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9" activeTab="5"/>
  </bookViews>
  <sheets>
    <sheet name="文档说明" sheetId="10" r:id="rId1"/>
    <sheet name="价值概述" sheetId="77" r:id="rId2"/>
    <sheet name="节奏总表" sheetId="85" r:id="rId3"/>
    <sheet name="章节关卡" sheetId="82" r:id="rId4"/>
    <sheet name="分段产出计算" sheetId="81" r:id="rId5"/>
    <sheet name="芦花古楼" sheetId="83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专属武器" sheetId="91" r:id="rId12"/>
    <sheet name="神器" sheetId="93" r:id="rId13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15" i="93" l="1"/>
  <c r="AS16" i="93"/>
  <c r="AS17" i="93"/>
  <c r="AS18" i="93"/>
  <c r="AS19" i="93"/>
  <c r="AS20" i="93"/>
  <c r="AS21" i="93"/>
  <c r="AS22" i="93"/>
  <c r="AS23" i="93"/>
  <c r="AS24" i="93"/>
  <c r="AS25" i="93"/>
  <c r="AS26" i="93"/>
  <c r="AS27" i="93"/>
  <c r="AS28" i="93"/>
  <c r="AS29" i="93"/>
  <c r="AS30" i="93"/>
  <c r="AS31" i="93"/>
  <c r="AS32" i="93"/>
  <c r="AS33" i="93"/>
  <c r="AS34" i="93"/>
  <c r="AS35" i="93"/>
  <c r="AS36" i="93"/>
  <c r="AS37" i="93"/>
  <c r="AS38" i="93"/>
  <c r="AS39" i="93"/>
  <c r="AS40" i="93"/>
  <c r="AS41" i="93"/>
  <c r="AS42" i="93"/>
  <c r="AS43" i="93"/>
  <c r="AS44" i="93"/>
  <c r="AS45" i="93"/>
  <c r="AS46" i="93"/>
  <c r="AS47" i="93"/>
  <c r="AS48" i="93"/>
  <c r="AS49" i="93"/>
  <c r="AS50" i="93"/>
  <c r="AS51" i="93"/>
  <c r="AS52" i="93"/>
  <c r="AS53" i="93"/>
  <c r="AS54" i="93"/>
  <c r="AS55" i="93"/>
  <c r="AS56" i="93"/>
  <c r="AS57" i="93"/>
  <c r="AS58" i="93"/>
  <c r="AS59" i="93"/>
  <c r="AS60" i="93"/>
  <c r="AS61" i="93"/>
  <c r="AS62" i="93"/>
  <c r="AS63" i="93"/>
  <c r="AS64" i="93"/>
  <c r="AS65" i="93"/>
  <c r="AS66" i="93"/>
  <c r="AS67" i="93"/>
  <c r="AS68" i="93"/>
  <c r="AS69" i="93"/>
  <c r="AS70" i="93"/>
  <c r="AS71" i="93"/>
  <c r="AS72" i="93"/>
  <c r="AS73" i="93"/>
  <c r="AS74" i="93"/>
  <c r="AS75" i="93"/>
  <c r="AS76" i="93"/>
  <c r="AS77" i="93"/>
  <c r="AS78" i="93"/>
  <c r="AS79" i="93"/>
  <c r="AS80" i="93"/>
  <c r="AS81" i="93"/>
  <c r="AS82" i="93"/>
  <c r="AS83" i="93"/>
  <c r="AS84" i="93"/>
  <c r="AS85" i="93"/>
  <c r="AS86" i="93"/>
  <c r="AS87" i="93"/>
  <c r="AS88" i="93"/>
  <c r="AS89" i="93"/>
  <c r="AS90" i="93"/>
  <c r="AS91" i="93"/>
  <c r="AS92" i="93"/>
  <c r="AS93" i="93"/>
  <c r="AS94" i="93"/>
  <c r="AS95" i="93"/>
  <c r="AS96" i="93"/>
  <c r="AS97" i="93"/>
  <c r="AS98" i="93"/>
  <c r="AS99" i="93"/>
  <c r="AS100" i="93"/>
  <c r="AS101" i="93"/>
  <c r="AS102" i="93"/>
  <c r="AS103" i="93"/>
  <c r="AS104" i="93"/>
  <c r="AS105" i="93"/>
  <c r="AS106" i="93"/>
  <c r="AS107" i="93"/>
  <c r="AS108" i="93"/>
  <c r="AS109" i="93"/>
  <c r="AS110" i="93"/>
  <c r="AS111" i="93"/>
  <c r="AS112" i="93"/>
  <c r="AS113" i="93"/>
  <c r="AS114" i="93"/>
  <c r="AS115" i="93"/>
  <c r="AS116" i="93"/>
  <c r="AS117" i="93"/>
  <c r="AS118" i="93"/>
  <c r="AS119" i="93"/>
  <c r="AS120" i="93"/>
  <c r="AS121" i="93"/>
  <c r="AS122" i="93"/>
  <c r="AS123" i="93"/>
  <c r="AS124" i="93"/>
  <c r="AS125" i="93"/>
  <c r="AS126" i="93"/>
  <c r="AS127" i="93"/>
  <c r="AS128" i="93"/>
  <c r="AS129" i="93"/>
  <c r="AS130" i="93"/>
  <c r="AS131" i="93"/>
  <c r="AS132" i="93"/>
  <c r="AS133" i="93"/>
  <c r="AS134" i="93"/>
  <c r="AS135" i="93"/>
  <c r="AS136" i="93"/>
  <c r="AS137" i="93"/>
  <c r="AS138" i="93"/>
  <c r="AS139" i="93"/>
  <c r="AS140" i="93"/>
  <c r="AS141" i="93"/>
  <c r="AS142" i="93"/>
  <c r="AS143" i="93"/>
  <c r="AS144" i="93"/>
  <c r="AS145" i="93"/>
  <c r="AS146" i="93"/>
  <c r="AS147" i="93"/>
  <c r="AS148" i="93"/>
  <c r="AS149" i="93"/>
  <c r="AS150" i="93"/>
  <c r="AS151" i="93"/>
  <c r="AS152" i="93"/>
  <c r="AS153" i="93"/>
  <c r="AS154" i="93"/>
  <c r="AS155" i="93"/>
  <c r="AS156" i="93"/>
  <c r="AS157" i="93"/>
  <c r="AS158" i="93"/>
  <c r="AS159" i="93"/>
  <c r="AS160" i="93"/>
  <c r="AS161" i="93"/>
  <c r="AS162" i="93"/>
  <c r="AS163" i="93"/>
  <c r="AS164" i="93"/>
  <c r="AS165" i="93"/>
  <c r="AS166" i="93"/>
  <c r="AS167" i="93"/>
  <c r="AS168" i="93"/>
  <c r="AS169" i="93"/>
  <c r="AS170" i="93"/>
  <c r="AS171" i="93"/>
  <c r="AS172" i="93"/>
  <c r="AS173" i="93"/>
  <c r="AS174" i="93"/>
  <c r="AS175" i="93"/>
  <c r="AS176" i="93"/>
  <c r="AS177" i="93"/>
  <c r="AS178" i="93"/>
  <c r="AS179" i="93"/>
  <c r="AS180" i="93"/>
  <c r="AS181" i="93"/>
  <c r="AS182" i="93"/>
  <c r="AS183" i="93"/>
  <c r="AS184" i="93"/>
  <c r="AS185" i="93"/>
  <c r="AS186" i="93"/>
  <c r="AS187" i="93"/>
  <c r="AS188" i="93"/>
  <c r="AS189" i="93"/>
  <c r="AS190" i="93"/>
  <c r="AS191" i="93"/>
  <c r="AS192" i="93"/>
  <c r="AS193" i="93"/>
  <c r="AS194" i="93"/>
  <c r="AS195" i="93"/>
  <c r="AS196" i="93"/>
  <c r="AS197" i="93"/>
  <c r="AS198" i="93"/>
  <c r="AS199" i="93"/>
  <c r="AS200" i="93"/>
  <c r="AS201" i="93"/>
  <c r="AS202" i="93"/>
  <c r="AS203" i="93"/>
  <c r="AS204" i="93"/>
  <c r="AS205" i="93"/>
  <c r="AS206" i="93"/>
  <c r="AS207" i="93"/>
  <c r="AS208" i="93"/>
  <c r="AS209" i="93"/>
  <c r="AS210" i="93"/>
  <c r="AS211" i="93"/>
  <c r="AS212" i="93"/>
  <c r="AS213" i="93"/>
  <c r="AS214" i="93"/>
  <c r="AS215" i="93"/>
  <c r="AS216" i="93"/>
  <c r="AS217" i="93"/>
  <c r="AS218" i="93"/>
  <c r="AS219" i="93"/>
  <c r="AS220" i="93"/>
  <c r="AS221" i="93"/>
  <c r="AS222" i="93"/>
  <c r="AS223" i="93"/>
  <c r="AS224" i="93"/>
  <c r="AS225" i="93"/>
  <c r="AS226" i="93"/>
  <c r="AS227" i="93"/>
  <c r="AS228" i="93"/>
  <c r="AS229" i="93"/>
  <c r="AS230" i="93"/>
  <c r="AS231" i="93"/>
  <c r="AS232" i="93"/>
  <c r="AS233" i="93"/>
  <c r="AS234" i="93"/>
  <c r="AS235" i="93"/>
  <c r="AS236" i="93"/>
  <c r="AS237" i="93"/>
  <c r="AS238" i="93"/>
  <c r="AS239" i="93"/>
  <c r="AS240" i="93"/>
  <c r="AS241" i="93"/>
  <c r="AS242" i="93"/>
  <c r="AS243" i="93"/>
  <c r="AS244" i="93"/>
  <c r="AS245" i="93"/>
  <c r="AS246" i="93"/>
  <c r="AS247" i="93"/>
  <c r="AS248" i="93"/>
  <c r="AS249" i="93"/>
  <c r="AS250" i="93"/>
  <c r="AS251" i="93"/>
  <c r="AS252" i="93"/>
  <c r="AS253" i="93"/>
  <c r="AS254" i="93"/>
  <c r="AS255" i="93"/>
  <c r="AS256" i="93"/>
  <c r="AS257" i="93"/>
  <c r="AS258" i="93"/>
  <c r="AS259" i="93"/>
  <c r="AS260" i="93"/>
  <c r="AS261" i="93"/>
  <c r="AS262" i="93"/>
  <c r="AS263" i="93"/>
  <c r="AS264" i="93"/>
  <c r="AS265" i="93"/>
  <c r="AS266" i="93"/>
  <c r="AS267" i="93"/>
  <c r="AS268" i="93"/>
  <c r="AS269" i="93"/>
  <c r="AS270" i="93"/>
  <c r="AS271" i="93"/>
  <c r="AS272" i="93"/>
  <c r="AS273" i="93"/>
  <c r="AS274" i="93"/>
  <c r="AS275" i="93"/>
  <c r="AS276" i="93"/>
  <c r="AS277" i="93"/>
  <c r="AS278" i="93"/>
  <c r="AS279" i="93"/>
  <c r="AS280" i="93"/>
  <c r="AS281" i="93"/>
  <c r="AS282" i="93"/>
  <c r="AS283" i="93"/>
  <c r="AS284" i="93"/>
  <c r="AS285" i="93"/>
  <c r="AS286" i="93"/>
  <c r="AS287" i="93"/>
  <c r="AS288" i="93"/>
  <c r="AS289" i="93"/>
  <c r="AS290" i="93"/>
  <c r="AS291" i="93"/>
  <c r="AS292" i="93"/>
  <c r="AS293" i="93"/>
  <c r="AS294" i="93"/>
  <c r="AS295" i="93"/>
  <c r="AS296" i="93"/>
  <c r="AS297" i="93"/>
  <c r="AS298" i="93"/>
  <c r="AS299" i="93"/>
  <c r="AS300" i="93"/>
  <c r="AS301" i="93"/>
  <c r="AS302" i="93"/>
  <c r="AS303" i="93"/>
  <c r="AS304" i="93"/>
  <c r="AS305" i="93"/>
  <c r="AS306" i="93"/>
  <c r="AS307" i="93"/>
  <c r="AS308" i="93"/>
  <c r="AS309" i="93"/>
  <c r="AS310" i="93"/>
  <c r="AS311" i="93"/>
  <c r="AS312" i="93"/>
  <c r="AS313" i="93"/>
  <c r="AS314" i="93"/>
  <c r="AS315" i="93"/>
  <c r="AS316" i="93"/>
  <c r="AS317" i="93"/>
  <c r="AS318" i="93"/>
  <c r="AS319" i="93"/>
  <c r="AS320" i="93"/>
  <c r="AS321" i="93"/>
  <c r="AS322" i="93"/>
  <c r="AS323" i="93"/>
  <c r="AS324" i="93"/>
  <c r="AS325" i="93"/>
  <c r="AS326" i="93"/>
  <c r="AS327" i="93"/>
  <c r="AS328" i="93"/>
  <c r="AS329" i="93"/>
  <c r="AS330" i="93"/>
  <c r="AS331" i="93"/>
  <c r="AS332" i="93"/>
  <c r="AS333" i="93"/>
  <c r="AS334" i="93"/>
  <c r="AS335" i="93"/>
  <c r="AS336" i="93"/>
  <c r="AS337" i="93"/>
  <c r="AS338" i="93"/>
  <c r="AS339" i="93"/>
  <c r="AS340" i="93"/>
  <c r="AS341" i="93"/>
  <c r="AS342" i="93"/>
  <c r="AS343" i="93"/>
  <c r="AS344" i="93"/>
  <c r="AS345" i="93"/>
  <c r="AS346" i="93"/>
  <c r="AS347" i="93"/>
  <c r="AS348" i="93"/>
  <c r="AS349" i="93"/>
  <c r="AS350" i="93"/>
  <c r="AS351" i="93"/>
  <c r="AS352" i="93"/>
  <c r="AS353" i="93"/>
  <c r="AS354" i="93"/>
  <c r="AS355" i="93"/>
  <c r="AS356" i="93"/>
  <c r="AS357" i="93"/>
  <c r="AS358" i="93"/>
  <c r="AS359" i="93"/>
  <c r="AS360" i="93"/>
  <c r="AS361" i="93"/>
  <c r="AS362" i="93"/>
  <c r="AS363" i="93"/>
  <c r="AS364" i="93"/>
  <c r="AS365" i="93"/>
  <c r="AS366" i="93"/>
  <c r="AS367" i="93"/>
  <c r="AS368" i="93"/>
  <c r="AS369" i="93"/>
  <c r="AS370" i="93"/>
  <c r="AS371" i="93"/>
  <c r="AS372" i="93"/>
  <c r="AS373" i="93"/>
  <c r="AS374" i="93"/>
  <c r="AS375" i="93"/>
  <c r="AS376" i="93"/>
  <c r="AS377" i="93"/>
  <c r="AS378" i="93"/>
  <c r="AS379" i="93"/>
  <c r="AS380" i="93"/>
  <c r="AS381" i="93"/>
  <c r="AS382" i="93"/>
  <c r="AS383" i="93"/>
  <c r="AS384" i="93"/>
  <c r="AS385" i="93"/>
  <c r="AS386" i="93"/>
  <c r="AS387" i="93"/>
  <c r="AS388" i="93"/>
  <c r="AS389" i="93"/>
  <c r="AS390" i="93"/>
  <c r="AS391" i="93"/>
  <c r="AS392" i="93"/>
  <c r="AS393" i="93"/>
  <c r="AS394" i="93"/>
  <c r="AS395" i="93"/>
  <c r="AS396" i="93"/>
  <c r="AS397" i="93"/>
  <c r="AS398" i="93"/>
  <c r="AS399" i="93"/>
  <c r="AS400" i="93"/>
  <c r="AS401" i="93"/>
  <c r="AS402" i="93"/>
  <c r="AS403" i="93"/>
  <c r="AS404" i="93"/>
  <c r="AS405" i="93"/>
  <c r="AS406" i="93"/>
  <c r="AS407" i="93"/>
  <c r="AS408" i="93"/>
  <c r="AS409" i="93"/>
  <c r="AS410" i="93"/>
  <c r="AS411" i="93"/>
  <c r="AS412" i="93"/>
  <c r="AS413" i="93"/>
  <c r="AS414" i="93"/>
  <c r="AS415" i="93"/>
  <c r="AS416" i="93"/>
  <c r="AS417" i="93"/>
  <c r="AS418" i="93"/>
  <c r="AS419" i="93"/>
  <c r="AS420" i="93"/>
  <c r="AS421" i="93"/>
  <c r="AS422" i="93"/>
  <c r="AS423" i="93"/>
  <c r="AS424" i="93"/>
  <c r="AS425" i="93"/>
  <c r="AS426" i="93"/>
  <c r="AS427" i="93"/>
  <c r="AS428" i="93"/>
  <c r="AS429" i="93"/>
  <c r="AS430" i="93"/>
  <c r="AS431" i="93"/>
  <c r="AS432" i="93"/>
  <c r="AS433" i="93"/>
  <c r="AS434" i="93"/>
  <c r="AS435" i="93"/>
  <c r="AS436" i="93"/>
  <c r="AS437" i="93"/>
  <c r="AS438" i="93"/>
  <c r="AS439" i="93"/>
  <c r="AS440" i="93"/>
  <c r="AS441" i="93"/>
  <c r="AS442" i="93"/>
  <c r="AS443" i="93"/>
  <c r="AS444" i="93"/>
  <c r="AS445" i="93"/>
  <c r="AS446" i="93"/>
  <c r="AS447" i="93"/>
  <c r="AS448" i="93"/>
  <c r="AS449" i="93"/>
  <c r="AS450" i="93"/>
  <c r="AS451" i="93"/>
  <c r="AS452" i="93"/>
  <c r="AS453" i="93"/>
  <c r="AS454" i="93"/>
  <c r="AS455" i="93"/>
  <c r="AS456" i="93"/>
  <c r="AS457" i="93"/>
  <c r="AS458" i="93"/>
  <c r="AS459" i="93"/>
  <c r="AS460" i="93"/>
  <c r="AS461" i="93"/>
  <c r="AS462" i="93"/>
  <c r="AS463" i="93"/>
  <c r="AS464" i="93"/>
  <c r="AS465" i="93"/>
  <c r="AS466" i="93"/>
  <c r="AS467" i="93"/>
  <c r="AS468" i="93"/>
  <c r="AS469" i="93"/>
  <c r="AS470" i="93"/>
  <c r="AS471" i="93"/>
  <c r="AS472" i="93"/>
  <c r="AS473" i="93"/>
  <c r="AS474" i="93"/>
  <c r="AS475" i="93"/>
  <c r="AS476" i="93"/>
  <c r="AS477" i="93"/>
  <c r="AS478" i="93"/>
  <c r="AS479" i="93"/>
  <c r="AS480" i="93"/>
  <c r="AS481" i="93"/>
  <c r="AS482" i="93"/>
  <c r="AS483" i="93"/>
  <c r="AS484" i="93"/>
  <c r="AS485" i="93"/>
  <c r="AS486" i="93"/>
  <c r="AS487" i="93"/>
  <c r="AS488" i="93"/>
  <c r="AS489" i="93"/>
  <c r="AS490" i="93"/>
  <c r="AS491" i="93"/>
  <c r="AS492" i="93"/>
  <c r="AS493" i="93"/>
  <c r="AS494" i="93"/>
  <c r="AS495" i="93"/>
  <c r="AS496" i="93"/>
  <c r="AS497" i="93"/>
  <c r="AS498" i="93"/>
  <c r="AS499" i="93"/>
  <c r="AS500" i="93"/>
  <c r="AS501" i="93"/>
  <c r="AS502" i="93"/>
  <c r="AS503" i="93"/>
  <c r="AS504" i="93"/>
  <c r="AS505" i="93"/>
  <c r="AS506" i="93"/>
  <c r="AS507" i="93"/>
  <c r="AS508" i="93"/>
  <c r="AS509" i="93"/>
  <c r="AS510" i="93"/>
  <c r="AS511" i="93"/>
  <c r="AS512" i="93"/>
  <c r="AS513" i="93"/>
  <c r="AS514" i="93"/>
  <c r="AS515" i="93"/>
  <c r="AS516" i="93"/>
  <c r="AS517" i="93"/>
  <c r="AS518" i="93"/>
  <c r="AS519" i="93"/>
  <c r="AS520" i="93"/>
  <c r="AS521" i="93"/>
  <c r="AS522" i="93"/>
  <c r="AS523" i="93"/>
  <c r="AS524" i="93"/>
  <c r="AS525" i="93"/>
  <c r="AS526" i="93"/>
  <c r="AS527" i="93"/>
  <c r="AS528" i="93"/>
  <c r="AS529" i="93"/>
  <c r="AS530" i="93"/>
  <c r="AS531" i="93"/>
  <c r="AS532" i="93"/>
  <c r="AS533" i="93"/>
  <c r="AS534" i="93"/>
  <c r="AS535" i="93"/>
  <c r="AS536" i="93"/>
  <c r="AS537" i="93"/>
  <c r="AS538" i="93"/>
  <c r="AS539" i="93"/>
  <c r="AS540" i="93"/>
  <c r="AS541" i="93"/>
  <c r="AS542" i="93"/>
  <c r="AS543" i="93"/>
  <c r="AS544" i="93"/>
  <c r="AS545" i="93"/>
  <c r="AS546" i="93"/>
  <c r="AS547" i="93"/>
  <c r="AS548" i="93"/>
  <c r="AS549" i="93"/>
  <c r="AS550" i="93"/>
  <c r="AS551" i="93"/>
  <c r="AS552" i="93"/>
  <c r="AS553" i="93"/>
  <c r="AS554" i="93"/>
  <c r="AS555" i="93"/>
  <c r="AS556" i="93"/>
  <c r="AS557" i="93"/>
  <c r="AS558" i="93"/>
  <c r="AS559" i="93"/>
  <c r="AS560" i="93"/>
  <c r="AS561" i="93"/>
  <c r="AS562" i="93"/>
  <c r="AS563" i="93"/>
  <c r="AS564" i="93"/>
  <c r="AS565" i="93"/>
  <c r="AS566" i="93"/>
  <c r="AS567" i="93"/>
  <c r="AS568" i="93"/>
  <c r="AS569" i="93"/>
  <c r="AS570" i="93"/>
  <c r="AS571" i="93"/>
  <c r="AS572" i="93"/>
  <c r="AS573" i="93"/>
  <c r="AS574" i="93"/>
  <c r="AS575" i="93"/>
  <c r="AS576" i="93"/>
  <c r="AS577" i="93"/>
  <c r="AS578" i="93"/>
  <c r="AS579" i="93"/>
  <c r="AS580" i="93"/>
  <c r="AS581" i="93"/>
  <c r="AS582" i="93"/>
  <c r="AS583" i="93"/>
  <c r="AS584" i="93"/>
  <c r="AS585" i="93"/>
  <c r="AS586" i="93"/>
  <c r="AS587" i="93"/>
  <c r="AS588" i="93"/>
  <c r="AS589" i="93"/>
  <c r="AS590" i="93"/>
  <c r="AS591" i="93"/>
  <c r="AS592" i="93"/>
  <c r="AS593" i="93"/>
  <c r="AS594" i="93"/>
  <c r="AS595" i="93"/>
  <c r="AS596" i="93"/>
  <c r="AS597" i="93"/>
  <c r="AS598" i="93"/>
  <c r="AS599" i="93"/>
  <c r="AS600" i="93"/>
  <c r="AS601" i="93"/>
  <c r="AS602" i="93"/>
  <c r="AS603" i="93"/>
  <c r="AS604" i="93"/>
  <c r="AS605" i="93"/>
  <c r="AS606" i="93"/>
  <c r="AS607" i="93"/>
  <c r="AS608" i="93"/>
  <c r="AS609" i="93"/>
  <c r="AS610" i="93"/>
  <c r="AS611" i="93"/>
  <c r="AS612" i="93"/>
  <c r="AS613" i="93"/>
  <c r="AS614" i="93"/>
  <c r="AS615" i="93"/>
  <c r="AS616" i="93"/>
  <c r="AS617" i="93"/>
  <c r="AS618" i="93"/>
  <c r="AS619" i="93"/>
  <c r="AS620" i="93"/>
  <c r="AS621" i="93"/>
  <c r="AS622" i="93"/>
  <c r="AS623" i="93"/>
  <c r="AS624" i="93"/>
  <c r="AS625" i="93"/>
  <c r="AS626" i="93"/>
  <c r="AS627" i="93"/>
  <c r="AS628" i="93"/>
  <c r="AS629" i="93"/>
  <c r="AS630" i="93"/>
  <c r="AS631" i="93"/>
  <c r="AS632" i="93"/>
  <c r="AS633" i="93"/>
  <c r="AS634" i="93"/>
  <c r="AS635" i="93"/>
  <c r="AS636" i="93"/>
  <c r="AS637" i="93"/>
  <c r="AS638" i="93"/>
  <c r="AS639" i="93"/>
  <c r="AS640" i="93"/>
  <c r="AS641" i="93"/>
  <c r="AS642" i="93"/>
  <c r="AS643" i="93"/>
  <c r="AS644" i="93"/>
  <c r="AS645" i="93"/>
  <c r="AS646" i="93"/>
  <c r="AS647" i="93"/>
  <c r="AS648" i="93"/>
  <c r="AS649" i="93"/>
  <c r="AS650" i="93"/>
  <c r="AS651" i="93"/>
  <c r="AS652" i="93"/>
  <c r="AS653" i="93"/>
  <c r="AS654" i="93"/>
  <c r="AS655" i="93"/>
  <c r="AS656" i="93"/>
  <c r="AS657" i="93"/>
  <c r="AS658" i="93"/>
  <c r="AS659" i="93"/>
  <c r="AS660" i="93"/>
  <c r="AS661" i="93"/>
  <c r="AS662" i="93"/>
  <c r="AS663" i="93"/>
  <c r="AS664" i="93"/>
  <c r="AS665" i="93"/>
  <c r="AS666" i="93"/>
  <c r="AS667" i="93"/>
  <c r="AS668" i="93"/>
  <c r="AS669" i="93"/>
  <c r="AS670" i="93"/>
  <c r="AS671" i="93"/>
  <c r="AS672" i="93"/>
  <c r="AS673" i="93"/>
  <c r="AS674" i="93"/>
  <c r="AS675" i="93"/>
  <c r="AS676" i="93"/>
  <c r="AS677" i="93"/>
  <c r="AS678" i="93"/>
  <c r="AS679" i="93"/>
  <c r="AS680" i="93"/>
  <c r="AS681" i="93"/>
  <c r="AS682" i="93"/>
  <c r="AS683" i="93"/>
  <c r="AS684" i="93"/>
  <c r="AS685" i="93"/>
  <c r="AS686" i="93"/>
  <c r="AS687" i="93"/>
  <c r="AS688" i="93"/>
  <c r="AS689" i="93"/>
  <c r="AS690" i="93"/>
  <c r="AS691" i="93"/>
  <c r="AS692" i="93"/>
  <c r="AS693" i="93"/>
  <c r="AS694" i="93"/>
  <c r="AS695" i="93"/>
  <c r="AS696" i="93"/>
  <c r="AS697" i="93"/>
  <c r="AS698" i="93"/>
  <c r="AS699" i="93"/>
  <c r="AS700" i="93"/>
  <c r="AS701" i="93"/>
  <c r="AS702" i="93"/>
  <c r="AS703" i="93"/>
  <c r="AS704" i="93"/>
  <c r="AS705" i="93"/>
  <c r="AS706" i="93"/>
  <c r="AS707" i="93"/>
  <c r="AS708" i="93"/>
  <c r="AS709" i="93"/>
  <c r="AS710" i="93"/>
  <c r="AS711" i="93"/>
  <c r="AS712" i="93"/>
  <c r="AS713" i="93"/>
  <c r="AS714" i="93"/>
  <c r="AS715" i="93"/>
  <c r="AS716" i="93"/>
  <c r="AS717" i="93"/>
  <c r="AS718" i="93"/>
  <c r="AS719" i="93"/>
  <c r="AS720" i="93"/>
  <c r="AS721" i="93"/>
  <c r="AS722" i="93"/>
  <c r="AS723" i="93"/>
  <c r="AS724" i="93"/>
  <c r="AS725" i="93"/>
  <c r="AS726" i="93"/>
  <c r="AS727" i="93"/>
  <c r="AS728" i="93"/>
  <c r="AS729" i="93"/>
  <c r="AS730" i="93"/>
  <c r="AS731" i="93"/>
  <c r="AS732" i="93"/>
  <c r="AS733" i="93"/>
  <c r="AS734" i="93"/>
  <c r="AS735" i="93"/>
  <c r="AS736" i="93"/>
  <c r="AS737" i="93"/>
  <c r="AS738" i="93"/>
  <c r="AS739" i="93"/>
  <c r="AS740" i="93"/>
  <c r="AS741" i="93"/>
  <c r="AS742" i="93"/>
  <c r="AS743" i="93"/>
  <c r="AS744" i="93"/>
  <c r="AS745" i="93"/>
  <c r="AS746" i="93"/>
  <c r="AS747" i="93"/>
  <c r="AS748" i="93"/>
  <c r="AS749" i="93"/>
  <c r="AS750" i="93"/>
  <c r="AS751" i="93"/>
  <c r="AS752" i="93"/>
  <c r="AS753" i="93"/>
  <c r="AS754" i="93"/>
  <c r="AS755" i="93"/>
  <c r="AS756" i="93"/>
  <c r="AS757" i="93"/>
  <c r="AS758" i="93"/>
  <c r="AS759" i="93"/>
  <c r="AS760" i="93"/>
  <c r="AS761" i="93"/>
  <c r="AS762" i="93"/>
  <c r="AS763" i="93"/>
  <c r="AS764" i="93"/>
  <c r="AS765" i="93"/>
  <c r="AS766" i="93"/>
  <c r="AS767" i="93"/>
  <c r="AS768" i="93"/>
  <c r="AS769" i="93"/>
  <c r="AS770" i="93"/>
  <c r="AS771" i="93"/>
  <c r="AS772" i="93"/>
  <c r="AS773" i="93"/>
  <c r="AS774" i="93"/>
  <c r="AS775" i="93"/>
  <c r="AS776" i="93"/>
  <c r="AS777" i="93"/>
  <c r="AS778" i="93"/>
  <c r="AS779" i="93"/>
  <c r="AS780" i="93"/>
  <c r="AS781" i="93"/>
  <c r="AS782" i="93"/>
  <c r="AS783" i="93"/>
  <c r="AS784" i="93"/>
  <c r="AS785" i="93"/>
  <c r="AS786" i="93"/>
  <c r="AS787" i="93"/>
  <c r="AS788" i="93"/>
  <c r="AS789" i="93"/>
  <c r="AS790" i="93"/>
  <c r="AS791" i="93"/>
  <c r="AS792" i="93"/>
  <c r="AS793" i="93"/>
  <c r="AS794" i="93"/>
  <c r="AS795" i="93"/>
  <c r="AS796" i="93"/>
  <c r="AS797" i="93"/>
  <c r="AS798" i="93"/>
  <c r="AS799" i="93"/>
  <c r="AS800" i="93"/>
  <c r="AS801" i="93"/>
  <c r="AS802" i="93"/>
  <c r="AS803" i="93"/>
  <c r="AS804" i="93"/>
  <c r="AS805" i="93"/>
  <c r="AS806" i="93"/>
  <c r="AS807" i="93"/>
  <c r="AS808" i="93"/>
  <c r="AS809" i="93"/>
  <c r="AS810" i="93"/>
  <c r="AS811" i="93"/>
  <c r="AS812" i="93"/>
  <c r="AS813" i="93"/>
  <c r="AS814" i="93"/>
  <c r="AS815" i="93"/>
  <c r="AS816" i="93"/>
  <c r="AS817" i="93"/>
  <c r="AS818" i="93"/>
  <c r="AS819" i="93"/>
  <c r="AS820" i="93"/>
  <c r="AS821" i="93"/>
  <c r="AS822" i="93"/>
  <c r="AS823" i="93"/>
  <c r="AS824" i="93"/>
  <c r="AS825" i="93"/>
  <c r="AS826" i="93"/>
  <c r="AS827" i="93"/>
  <c r="AS828" i="93"/>
  <c r="AS829" i="93"/>
  <c r="AS830" i="93"/>
  <c r="AS831" i="93"/>
  <c r="AS832" i="93"/>
  <c r="AS833" i="93"/>
  <c r="AS834" i="93"/>
  <c r="AS835" i="93"/>
  <c r="AS836" i="93"/>
  <c r="AS837" i="93"/>
  <c r="AS838" i="93"/>
  <c r="AS839" i="93"/>
  <c r="AS840" i="93"/>
  <c r="AS841" i="93"/>
  <c r="AS842" i="93"/>
  <c r="AS843" i="93"/>
  <c r="AS844" i="93"/>
  <c r="AS845" i="93"/>
  <c r="AS846" i="93"/>
  <c r="AS847" i="93"/>
  <c r="AS848" i="93"/>
  <c r="AS849" i="93"/>
  <c r="AS850" i="93"/>
  <c r="AS851" i="93"/>
  <c r="AS852" i="93"/>
  <c r="AS853" i="93"/>
  <c r="AS854" i="93"/>
  <c r="AS855" i="93"/>
  <c r="AS856" i="93"/>
  <c r="AS857" i="93"/>
  <c r="AS858" i="93"/>
  <c r="AS859" i="93"/>
  <c r="AS860" i="93"/>
  <c r="AS861" i="93"/>
  <c r="AS862" i="93"/>
  <c r="AS863" i="93"/>
  <c r="AS864" i="93"/>
  <c r="AS865" i="93"/>
  <c r="AS866" i="93"/>
  <c r="AS867" i="93"/>
  <c r="AS868" i="93"/>
  <c r="AS869" i="93"/>
  <c r="AS870" i="93"/>
  <c r="AS871" i="93"/>
  <c r="AS872" i="93"/>
  <c r="AS873" i="93"/>
  <c r="AS874" i="93"/>
  <c r="AS875" i="93"/>
  <c r="AS876" i="93"/>
  <c r="AS877" i="93"/>
  <c r="AS878" i="93"/>
  <c r="AS879" i="93"/>
  <c r="AS880" i="93"/>
  <c r="AS881" i="93"/>
  <c r="AS882" i="93"/>
  <c r="AS883" i="93"/>
  <c r="AS884" i="93"/>
  <c r="AS885" i="93"/>
  <c r="AS886" i="93"/>
  <c r="AS887" i="93"/>
  <c r="AS888" i="93"/>
  <c r="AS889" i="93"/>
  <c r="AS890" i="93"/>
  <c r="AS891" i="93"/>
  <c r="AS892" i="93"/>
  <c r="AS893" i="93"/>
  <c r="AS894" i="93"/>
  <c r="AS895" i="93"/>
  <c r="AS896" i="93"/>
  <c r="AS897" i="93"/>
  <c r="AS898" i="93"/>
  <c r="AS899" i="93"/>
  <c r="AS900" i="93"/>
  <c r="AS901" i="93"/>
  <c r="AS902" i="93"/>
  <c r="AS903" i="93"/>
  <c r="AS904" i="93"/>
  <c r="AS905" i="93"/>
  <c r="AS906" i="93"/>
  <c r="AS907" i="93"/>
  <c r="AS908" i="93"/>
  <c r="AS909" i="93"/>
  <c r="AS910" i="93"/>
  <c r="AS911" i="93"/>
  <c r="AS912" i="93"/>
  <c r="AS913" i="93"/>
  <c r="AS914" i="93"/>
  <c r="AS915" i="93"/>
  <c r="AS916" i="93"/>
  <c r="AS917" i="93"/>
  <c r="AS918" i="93"/>
  <c r="AS919" i="93"/>
  <c r="AS920" i="93"/>
  <c r="AS921" i="93"/>
  <c r="AS922" i="93"/>
  <c r="AS923" i="93"/>
  <c r="AS924" i="93"/>
  <c r="AS925" i="93"/>
  <c r="AS926" i="93"/>
  <c r="AS927" i="93"/>
  <c r="AS928" i="93"/>
  <c r="AS929" i="93"/>
  <c r="AS930" i="93"/>
  <c r="AS931" i="93"/>
  <c r="AS932" i="93"/>
  <c r="AS933" i="93"/>
  <c r="AS934" i="93"/>
  <c r="AS935" i="93"/>
  <c r="AS936" i="93"/>
  <c r="AS937" i="93"/>
  <c r="AS938" i="93"/>
  <c r="AS939" i="93"/>
  <c r="AS940" i="93"/>
  <c r="AS941" i="93"/>
  <c r="AS942" i="93"/>
  <c r="AS943" i="93"/>
  <c r="AS944" i="93"/>
  <c r="AS945" i="93"/>
  <c r="AS946" i="93"/>
  <c r="AS947" i="93"/>
  <c r="AS948" i="93"/>
  <c r="AS949" i="93"/>
  <c r="AS950" i="93"/>
  <c r="AS951" i="93"/>
  <c r="AS952" i="93"/>
  <c r="AS953" i="93"/>
  <c r="AS954" i="93"/>
  <c r="AS955" i="93"/>
  <c r="AS956" i="93"/>
  <c r="AS957" i="93"/>
  <c r="AS958" i="93"/>
  <c r="AS959" i="93"/>
  <c r="AS960" i="93"/>
  <c r="AS961" i="93"/>
  <c r="AS962" i="93"/>
  <c r="AS963" i="93"/>
  <c r="AS964" i="93"/>
  <c r="AS965" i="93"/>
  <c r="AS966" i="93"/>
  <c r="AS967" i="93"/>
  <c r="AS968" i="93"/>
  <c r="AS969" i="93"/>
  <c r="AS970" i="93"/>
  <c r="AS971" i="93"/>
  <c r="AS972" i="93"/>
  <c r="AS973" i="93"/>
  <c r="AS974" i="93"/>
  <c r="AS975" i="93"/>
  <c r="AS976" i="93"/>
  <c r="AS977" i="93"/>
  <c r="AS978" i="93"/>
  <c r="AS979" i="93"/>
  <c r="AS980" i="93"/>
  <c r="AS981" i="93"/>
  <c r="AS982" i="93"/>
  <c r="AS983" i="93"/>
  <c r="AS984" i="93"/>
  <c r="AS985" i="93"/>
  <c r="AS986" i="93"/>
  <c r="AS987" i="93"/>
  <c r="AS988" i="93"/>
  <c r="AS989" i="93"/>
  <c r="AS990" i="93"/>
  <c r="AS991" i="93"/>
  <c r="AS992" i="93"/>
  <c r="AS993" i="93"/>
  <c r="AS994" i="93"/>
  <c r="AS995" i="93"/>
  <c r="AS996" i="93"/>
  <c r="AS997" i="93"/>
  <c r="AS998" i="93"/>
  <c r="AS999" i="93"/>
  <c r="AS1000" i="93"/>
  <c r="AS1001" i="93"/>
  <c r="AS1002" i="93"/>
  <c r="AS1003" i="93"/>
  <c r="AS1004" i="93"/>
  <c r="AS1005" i="93"/>
  <c r="AS1006" i="93"/>
  <c r="AS1007" i="93"/>
  <c r="AS1008" i="93"/>
  <c r="AS1009" i="93"/>
  <c r="AS1010" i="93"/>
  <c r="AS1011" i="93"/>
  <c r="AS1012" i="93"/>
  <c r="AS1013" i="93"/>
  <c r="AS1014" i="93"/>
  <c r="AS1015" i="93"/>
  <c r="AS1016" i="93"/>
  <c r="AS1017" i="93"/>
  <c r="AS1018" i="93"/>
  <c r="AS1019" i="93"/>
  <c r="AS1020" i="93"/>
  <c r="AS1021" i="93"/>
  <c r="AS1022" i="93"/>
  <c r="AS1023" i="93"/>
  <c r="AS1024" i="93"/>
  <c r="AS1025" i="93"/>
  <c r="AS1026" i="93"/>
  <c r="AS1027" i="93"/>
  <c r="AS1028" i="93"/>
  <c r="AS1029" i="93"/>
  <c r="AS1030" i="93"/>
  <c r="AS1031" i="93"/>
  <c r="AS1032" i="93"/>
  <c r="AS1033" i="93"/>
  <c r="AS1034" i="93"/>
  <c r="AS1035" i="93"/>
  <c r="AS1036" i="93"/>
  <c r="AS1037" i="93"/>
  <c r="AS1038" i="93"/>
  <c r="AS1039" i="93"/>
  <c r="AS1040" i="93"/>
  <c r="AS1041" i="93"/>
  <c r="AS1042" i="93"/>
  <c r="AS1043" i="93"/>
  <c r="AS1044" i="93"/>
  <c r="AS1045" i="93"/>
  <c r="AS1046" i="93"/>
  <c r="AS1047" i="93"/>
  <c r="AS1048" i="93"/>
  <c r="AS1049" i="93"/>
  <c r="AS1050" i="93"/>
  <c r="AS1051" i="93"/>
  <c r="AS1052" i="93"/>
  <c r="AS1053" i="93"/>
  <c r="AS1054" i="93"/>
  <c r="AS1055" i="93"/>
  <c r="AS1056" i="93"/>
  <c r="AS1057" i="93"/>
  <c r="AS1058" i="93"/>
  <c r="AS1059" i="93"/>
  <c r="AS1060" i="93"/>
  <c r="AS1061" i="93"/>
  <c r="AS1062" i="93"/>
  <c r="AS1063" i="93"/>
  <c r="AS1064" i="93"/>
  <c r="AS1065" i="93"/>
  <c r="AS1066" i="93"/>
  <c r="AS1067" i="93"/>
  <c r="AS1068" i="93"/>
  <c r="AS1069" i="93"/>
  <c r="AS1070" i="93"/>
  <c r="AS1071" i="93"/>
  <c r="AS1072" i="93"/>
  <c r="AS1073" i="93"/>
  <c r="AS1074" i="93"/>
  <c r="AS1075" i="93"/>
  <c r="AS1076" i="93"/>
  <c r="AS1077" i="93"/>
  <c r="AS1078" i="93"/>
  <c r="AS1079" i="93"/>
  <c r="AS1080" i="93"/>
  <c r="AS1081" i="93"/>
  <c r="AS1082" i="93"/>
  <c r="AS1083" i="93"/>
  <c r="AS1084" i="93"/>
  <c r="AS1085" i="93"/>
  <c r="AS1086" i="93"/>
  <c r="AS1087" i="93"/>
  <c r="AS1088" i="93"/>
  <c r="AS1089" i="93"/>
  <c r="AS1090" i="93"/>
  <c r="AS1091" i="93"/>
  <c r="AS1092" i="93"/>
  <c r="AS1093" i="93"/>
  <c r="AS1094" i="93"/>
  <c r="AS1095" i="93"/>
  <c r="AS1096" i="93"/>
  <c r="AS1097" i="93"/>
  <c r="AS1098" i="93"/>
  <c r="AS1099" i="93"/>
  <c r="AS1100" i="93"/>
  <c r="AS1101" i="93"/>
  <c r="AS1102" i="93"/>
  <c r="AS1103" i="93"/>
  <c r="AS1104" i="93"/>
  <c r="AS1105" i="93"/>
  <c r="AS1106" i="93"/>
  <c r="AS1107" i="93"/>
  <c r="AS1108" i="93"/>
  <c r="AS1109" i="93"/>
  <c r="AS1110" i="93"/>
  <c r="AS1111" i="93"/>
  <c r="AS1112" i="93"/>
  <c r="AS1113" i="93"/>
  <c r="AS1114" i="93"/>
  <c r="AS1115" i="93"/>
  <c r="AS1116" i="93"/>
  <c r="AS1117" i="93"/>
  <c r="AS1118" i="93"/>
  <c r="AS1119" i="93"/>
  <c r="AS1120" i="93"/>
  <c r="AS1121" i="93"/>
  <c r="AS1122" i="93"/>
  <c r="AS1123" i="93"/>
  <c r="AS1124" i="93"/>
  <c r="AS1125" i="93"/>
  <c r="AS1126" i="93"/>
  <c r="AS1127" i="93"/>
  <c r="AS1128" i="93"/>
  <c r="AS1129" i="93"/>
  <c r="AS1130" i="93"/>
  <c r="AS1131" i="93"/>
  <c r="AS1132" i="93"/>
  <c r="AS1133" i="93"/>
  <c r="AS1134" i="93"/>
  <c r="AS1135" i="93"/>
  <c r="AS1136" i="93"/>
  <c r="AS1137" i="93"/>
  <c r="AS1138" i="93"/>
  <c r="AS1139" i="93"/>
  <c r="AS1140" i="93"/>
  <c r="AS1141" i="93"/>
  <c r="AS1142" i="93"/>
  <c r="AS1143" i="93"/>
  <c r="AS1144" i="93"/>
  <c r="AS1145" i="93"/>
  <c r="AS1146" i="93"/>
  <c r="AS1147" i="93"/>
  <c r="AS1148" i="93"/>
  <c r="AS1149" i="93"/>
  <c r="AS1150" i="93"/>
  <c r="AS1151" i="93"/>
  <c r="AS1152" i="93"/>
  <c r="AS1153" i="93"/>
  <c r="AS1154" i="93"/>
  <c r="AS1155" i="93"/>
  <c r="AS1156" i="93"/>
  <c r="AS1157" i="93"/>
  <c r="AS1158" i="93"/>
  <c r="AS1159" i="93"/>
  <c r="AS1160" i="93"/>
  <c r="AS1161" i="93"/>
  <c r="AS1162" i="93"/>
  <c r="AS1163" i="93"/>
  <c r="AS1164" i="93"/>
  <c r="AS1165" i="93"/>
  <c r="AS1166" i="93"/>
  <c r="AS1167" i="93"/>
  <c r="AS1168" i="93"/>
  <c r="AS1169" i="93"/>
  <c r="AS1170" i="93"/>
  <c r="AS1171" i="93"/>
  <c r="AS1172" i="93"/>
  <c r="AS1173" i="93"/>
  <c r="AS1174" i="93"/>
  <c r="AS1175" i="93"/>
  <c r="AS1176" i="93"/>
  <c r="AS1177" i="93"/>
  <c r="AS1178" i="93"/>
  <c r="AS1179" i="93"/>
  <c r="AS1180" i="93"/>
  <c r="AS1181" i="93"/>
  <c r="AS1182" i="93"/>
  <c r="AS1183" i="93"/>
  <c r="AS1184" i="93"/>
  <c r="AS1185" i="93"/>
  <c r="AS1186" i="93"/>
  <c r="AS1187" i="93"/>
  <c r="AS1188" i="93"/>
  <c r="AS1189" i="93"/>
  <c r="AS1190" i="93"/>
  <c r="AS1191" i="93"/>
  <c r="AS1192" i="93"/>
  <c r="AS1193" i="93"/>
  <c r="AS1194" i="93"/>
  <c r="AS1195" i="93"/>
  <c r="AS1196" i="93"/>
  <c r="AS1197" i="93"/>
  <c r="AS1198" i="93"/>
  <c r="AS1199" i="93"/>
  <c r="AS1200" i="93"/>
  <c r="AS1201" i="93"/>
  <c r="AS1202" i="93"/>
  <c r="AS1203" i="93"/>
  <c r="AS1204" i="93"/>
  <c r="AS1205" i="93"/>
  <c r="AS1206" i="93"/>
  <c r="AS1207" i="93"/>
  <c r="AS1208" i="93"/>
  <c r="AS1209" i="93"/>
  <c r="AS1210" i="93"/>
  <c r="AS1211" i="93"/>
  <c r="AS1212" i="93"/>
  <c r="AS1213" i="93"/>
  <c r="AS14" i="93"/>
  <c r="P15" i="93"/>
  <c r="Q15" i="93"/>
  <c r="R15" i="93"/>
  <c r="S15" i="93"/>
  <c r="T15" i="93"/>
  <c r="U15" i="93"/>
  <c r="V15" i="93"/>
  <c r="P16" i="93"/>
  <c r="Q16" i="93"/>
  <c r="R16" i="93"/>
  <c r="S16" i="93"/>
  <c r="T16" i="93"/>
  <c r="U16" i="93"/>
  <c r="V16" i="93"/>
  <c r="P17" i="93"/>
  <c r="Q17" i="93"/>
  <c r="R17" i="93"/>
  <c r="S17" i="93"/>
  <c r="T17" i="93"/>
  <c r="U17" i="93"/>
  <c r="V17" i="93"/>
  <c r="P18" i="93"/>
  <c r="Q18" i="93"/>
  <c r="R18" i="93"/>
  <c r="S18" i="93"/>
  <c r="T18" i="93"/>
  <c r="U18" i="93"/>
  <c r="V18" i="93"/>
  <c r="P19" i="93"/>
  <c r="Q19" i="93"/>
  <c r="R19" i="93"/>
  <c r="S19" i="93"/>
  <c r="T19" i="93"/>
  <c r="U19" i="93"/>
  <c r="V19" i="93"/>
  <c r="P20" i="93"/>
  <c r="Q20" i="93"/>
  <c r="R20" i="93"/>
  <c r="S20" i="93"/>
  <c r="T20" i="93"/>
  <c r="U20" i="93"/>
  <c r="V20" i="93"/>
  <c r="P21" i="93"/>
  <c r="Q21" i="93"/>
  <c r="R21" i="93"/>
  <c r="S21" i="93"/>
  <c r="T21" i="93"/>
  <c r="U21" i="93"/>
  <c r="V21" i="93"/>
  <c r="P22" i="93"/>
  <c r="Q22" i="93"/>
  <c r="R22" i="93"/>
  <c r="S22" i="93"/>
  <c r="T22" i="93"/>
  <c r="U22" i="93"/>
  <c r="V22" i="93"/>
  <c r="P23" i="93"/>
  <c r="Q23" i="93"/>
  <c r="R23" i="93"/>
  <c r="S23" i="93"/>
  <c r="T23" i="93"/>
  <c r="U23" i="93"/>
  <c r="V23" i="93"/>
  <c r="P24" i="93"/>
  <c r="Q24" i="93"/>
  <c r="R24" i="93"/>
  <c r="S24" i="93"/>
  <c r="T24" i="93"/>
  <c r="U24" i="93"/>
  <c r="V24" i="93"/>
  <c r="P25" i="93"/>
  <c r="Q25" i="93"/>
  <c r="R25" i="93"/>
  <c r="S25" i="93"/>
  <c r="T25" i="93"/>
  <c r="U25" i="93"/>
  <c r="V25" i="93"/>
  <c r="P26" i="93"/>
  <c r="Q26" i="93"/>
  <c r="R26" i="93"/>
  <c r="S26" i="93"/>
  <c r="T26" i="93"/>
  <c r="U26" i="93"/>
  <c r="V26" i="93"/>
  <c r="P27" i="93"/>
  <c r="Q27" i="93"/>
  <c r="R27" i="93"/>
  <c r="S27" i="93"/>
  <c r="T27" i="93"/>
  <c r="U27" i="93"/>
  <c r="V27" i="93"/>
  <c r="P28" i="93"/>
  <c r="Q28" i="93"/>
  <c r="R28" i="93"/>
  <c r="S28" i="93"/>
  <c r="T28" i="93"/>
  <c r="U28" i="93"/>
  <c r="V28" i="93"/>
  <c r="P29" i="93"/>
  <c r="Q29" i="93"/>
  <c r="R29" i="93"/>
  <c r="S29" i="93"/>
  <c r="T29" i="93"/>
  <c r="U29" i="93"/>
  <c r="V29" i="93"/>
  <c r="P30" i="93"/>
  <c r="Q30" i="93"/>
  <c r="R30" i="93"/>
  <c r="S30" i="93"/>
  <c r="T30" i="93"/>
  <c r="U30" i="93"/>
  <c r="V30" i="93"/>
  <c r="P31" i="93"/>
  <c r="Q31" i="93"/>
  <c r="R31" i="93"/>
  <c r="S31" i="93"/>
  <c r="T31" i="93"/>
  <c r="U31" i="93"/>
  <c r="V31" i="93"/>
  <c r="P32" i="93"/>
  <c r="Q32" i="93"/>
  <c r="R32" i="93"/>
  <c r="S32" i="93"/>
  <c r="T32" i="93"/>
  <c r="U32" i="93"/>
  <c r="V32" i="93"/>
  <c r="P33" i="93"/>
  <c r="Q33" i="93"/>
  <c r="R33" i="93"/>
  <c r="S33" i="93"/>
  <c r="T33" i="93"/>
  <c r="U33" i="93"/>
  <c r="V33" i="93"/>
  <c r="P34" i="93"/>
  <c r="Q34" i="93"/>
  <c r="R34" i="93"/>
  <c r="S34" i="93"/>
  <c r="T34" i="93"/>
  <c r="U34" i="93"/>
  <c r="V34" i="93"/>
  <c r="P35" i="93"/>
  <c r="Q35" i="93"/>
  <c r="R35" i="93"/>
  <c r="S35" i="93"/>
  <c r="T35" i="93"/>
  <c r="U35" i="93"/>
  <c r="V35" i="93"/>
  <c r="P36" i="93"/>
  <c r="Q36" i="93"/>
  <c r="R36" i="93"/>
  <c r="S36" i="93"/>
  <c r="T36" i="93"/>
  <c r="U36" i="93"/>
  <c r="V36" i="93"/>
  <c r="P37" i="93"/>
  <c r="Q37" i="93"/>
  <c r="R37" i="93"/>
  <c r="S37" i="93"/>
  <c r="T37" i="93"/>
  <c r="U37" i="93"/>
  <c r="V37" i="93"/>
  <c r="P38" i="93"/>
  <c r="Q38" i="93"/>
  <c r="R38" i="93"/>
  <c r="S38" i="93"/>
  <c r="T38" i="93"/>
  <c r="U38" i="93"/>
  <c r="V38" i="93"/>
  <c r="P39" i="93"/>
  <c r="Q39" i="93"/>
  <c r="R39" i="93"/>
  <c r="S39" i="93"/>
  <c r="T39" i="93"/>
  <c r="U39" i="93"/>
  <c r="V39" i="93"/>
  <c r="P40" i="93"/>
  <c r="Q40" i="93"/>
  <c r="R40" i="93"/>
  <c r="S40" i="93"/>
  <c r="T40" i="93"/>
  <c r="U40" i="93"/>
  <c r="V40" i="93"/>
  <c r="P41" i="93"/>
  <c r="Q41" i="93"/>
  <c r="R41" i="93"/>
  <c r="S41" i="93"/>
  <c r="T41" i="93"/>
  <c r="U41" i="93"/>
  <c r="V41" i="93"/>
  <c r="P42" i="93"/>
  <c r="Q42" i="93"/>
  <c r="R42" i="93"/>
  <c r="S42" i="93"/>
  <c r="T42" i="93"/>
  <c r="U42" i="93"/>
  <c r="V42" i="93"/>
  <c r="P43" i="93"/>
  <c r="Q43" i="93"/>
  <c r="R43" i="93"/>
  <c r="S43" i="93"/>
  <c r="T43" i="93"/>
  <c r="U43" i="93"/>
  <c r="V43" i="93"/>
  <c r="P44" i="93"/>
  <c r="Q44" i="93"/>
  <c r="R44" i="93"/>
  <c r="S44" i="93"/>
  <c r="T44" i="93"/>
  <c r="U44" i="93"/>
  <c r="V44" i="93"/>
  <c r="P45" i="93"/>
  <c r="Q45" i="93"/>
  <c r="R45" i="93"/>
  <c r="S45" i="93"/>
  <c r="T45" i="93"/>
  <c r="U45" i="93"/>
  <c r="V45" i="93"/>
  <c r="P46" i="93"/>
  <c r="Q46" i="93"/>
  <c r="R46" i="93"/>
  <c r="S46" i="93"/>
  <c r="T46" i="93"/>
  <c r="U46" i="93"/>
  <c r="V46" i="93"/>
  <c r="P47" i="93"/>
  <c r="Q47" i="93"/>
  <c r="R47" i="93"/>
  <c r="S47" i="93"/>
  <c r="T47" i="93"/>
  <c r="U47" i="93"/>
  <c r="V47" i="93"/>
  <c r="P48" i="93"/>
  <c r="Q48" i="93"/>
  <c r="R48" i="93"/>
  <c r="S48" i="93"/>
  <c r="T48" i="93"/>
  <c r="U48" i="93"/>
  <c r="V48" i="93"/>
  <c r="P49" i="93"/>
  <c r="Q49" i="93"/>
  <c r="R49" i="93"/>
  <c r="S49" i="93"/>
  <c r="T49" i="93"/>
  <c r="U49" i="93"/>
  <c r="V49" i="93"/>
  <c r="P50" i="93"/>
  <c r="Q50" i="93"/>
  <c r="R50" i="93"/>
  <c r="S50" i="93"/>
  <c r="T50" i="93"/>
  <c r="U50" i="93"/>
  <c r="V50" i="93"/>
  <c r="P51" i="93"/>
  <c r="Q51" i="93"/>
  <c r="R51" i="93"/>
  <c r="S51" i="93"/>
  <c r="T51" i="93"/>
  <c r="U51" i="93"/>
  <c r="V51" i="93"/>
  <c r="P52" i="93"/>
  <c r="Q52" i="93"/>
  <c r="R52" i="93"/>
  <c r="S52" i="93"/>
  <c r="T52" i="93"/>
  <c r="U52" i="93"/>
  <c r="V52" i="93"/>
  <c r="P53" i="93"/>
  <c r="Q53" i="93"/>
  <c r="R53" i="93"/>
  <c r="S53" i="93"/>
  <c r="T53" i="93"/>
  <c r="U53" i="93"/>
  <c r="V53" i="93"/>
  <c r="U14" i="93"/>
  <c r="V14" i="93"/>
  <c r="T14" i="93"/>
  <c r="Q14" i="93"/>
  <c r="R14" i="93"/>
  <c r="S14" i="93"/>
  <c r="P14" i="93"/>
  <c r="Q12" i="93"/>
  <c r="R12" i="93"/>
  <c r="S12" i="93"/>
  <c r="T12" i="93"/>
  <c r="U12" i="93"/>
  <c r="V12" i="93"/>
  <c r="P12" i="93"/>
  <c r="O15" i="93"/>
  <c r="O16" i="93"/>
  <c r="O17" i="93"/>
  <c r="O18" i="93"/>
  <c r="O19" i="93"/>
  <c r="O20" i="93"/>
  <c r="O21" i="93"/>
  <c r="O22" i="93"/>
  <c r="O23" i="93"/>
  <c r="O24" i="93"/>
  <c r="O25" i="93"/>
  <c r="O26" i="93"/>
  <c r="O27" i="93"/>
  <c r="O28" i="93"/>
  <c r="O29" i="93"/>
  <c r="O30" i="93"/>
  <c r="O31" i="93"/>
  <c r="O32" i="93"/>
  <c r="O33" i="93"/>
  <c r="O34" i="93"/>
  <c r="O35" i="93"/>
  <c r="O36" i="93"/>
  <c r="O37" i="93"/>
  <c r="O38" i="93"/>
  <c r="O39" i="93"/>
  <c r="O40" i="93"/>
  <c r="O41" i="93"/>
  <c r="O42" i="93"/>
  <c r="O43" i="93"/>
  <c r="O44" i="93"/>
  <c r="O45" i="93"/>
  <c r="O46" i="93"/>
  <c r="O47" i="93"/>
  <c r="O48" i="93"/>
  <c r="O49" i="93"/>
  <c r="O50" i="93"/>
  <c r="O51" i="93"/>
  <c r="O52" i="93"/>
  <c r="O53" i="93"/>
  <c r="O14" i="93"/>
  <c r="O12" i="93"/>
  <c r="N15" i="93"/>
  <c r="N16" i="93" s="1"/>
  <c r="N17" i="93" s="1"/>
  <c r="N18" i="93" s="1"/>
  <c r="N19" i="93" s="1"/>
  <c r="N20" i="93" s="1"/>
  <c r="N21" i="93" s="1"/>
  <c r="N22" i="93" s="1"/>
  <c r="N23" i="93" s="1"/>
  <c r="N24" i="93" s="1"/>
  <c r="N25" i="93" s="1"/>
  <c r="N26" i="93" s="1"/>
  <c r="N27" i="93" s="1"/>
  <c r="N28" i="93" s="1"/>
  <c r="N29" i="93" s="1"/>
  <c r="N30" i="93" s="1"/>
  <c r="N31" i="93" s="1"/>
  <c r="N32" i="93" s="1"/>
  <c r="N33" i="93" s="1"/>
  <c r="N34" i="93" s="1"/>
  <c r="N35" i="93" s="1"/>
  <c r="N36" i="93" s="1"/>
  <c r="N37" i="93" s="1"/>
  <c r="N38" i="93" s="1"/>
  <c r="N39" i="93" s="1"/>
  <c r="N40" i="93" s="1"/>
  <c r="N41" i="93" s="1"/>
  <c r="N42" i="93" s="1"/>
  <c r="N43" i="93" s="1"/>
  <c r="N44" i="93" s="1"/>
  <c r="N45" i="93" s="1"/>
  <c r="N46" i="93" s="1"/>
  <c r="N47" i="93" s="1"/>
  <c r="N48" i="93" s="1"/>
  <c r="N49" i="93" s="1"/>
  <c r="N50" i="93" s="1"/>
  <c r="N51" i="93" s="1"/>
  <c r="N52" i="93" s="1"/>
  <c r="N53" i="93" s="1"/>
  <c r="O4" i="93"/>
  <c r="BF7" i="83"/>
  <c r="BF8" i="83"/>
  <c r="BF9" i="83"/>
  <c r="BF10" i="83"/>
  <c r="BF11" i="83"/>
  <c r="BF12" i="83"/>
  <c r="BF13" i="83"/>
  <c r="BF14" i="83"/>
  <c r="BF15" i="83"/>
  <c r="BF16" i="83"/>
  <c r="BF17" i="83"/>
  <c r="BF18" i="83"/>
  <c r="BF19" i="83"/>
  <c r="BF20" i="83"/>
  <c r="BF21" i="83"/>
  <c r="BF22" i="83"/>
  <c r="BF23" i="83"/>
  <c r="BF24" i="83"/>
  <c r="BF25" i="83"/>
  <c r="BF26" i="83"/>
  <c r="BF27" i="83"/>
  <c r="BF28" i="83"/>
  <c r="BF29" i="83"/>
  <c r="BF30" i="83"/>
  <c r="BF31" i="83"/>
  <c r="BF32" i="83"/>
  <c r="BF33" i="83"/>
  <c r="BF34" i="83"/>
  <c r="BF35" i="83"/>
  <c r="BF36" i="83"/>
  <c r="BF37" i="83"/>
  <c r="BF38" i="83"/>
  <c r="BF39" i="83"/>
  <c r="BF40" i="83"/>
  <c r="BF41" i="83"/>
  <c r="BF42" i="83"/>
  <c r="BF43" i="83"/>
  <c r="BF44" i="83"/>
  <c r="BF45" i="83"/>
  <c r="BF46" i="83"/>
  <c r="BF47" i="83"/>
  <c r="BF48" i="83"/>
  <c r="BF49" i="83"/>
  <c r="BF50" i="83"/>
  <c r="BF51" i="83"/>
  <c r="BF52" i="83"/>
  <c r="BF53" i="83"/>
  <c r="BF54" i="83"/>
  <c r="BF55" i="83"/>
  <c r="BF56" i="83"/>
  <c r="BF57" i="83"/>
  <c r="BF58" i="83"/>
  <c r="BF59" i="83"/>
  <c r="BF60" i="83"/>
  <c r="BF61" i="83"/>
  <c r="BF62" i="83"/>
  <c r="BF63" i="83"/>
  <c r="BF64" i="83"/>
  <c r="BF65" i="83"/>
  <c r="BF66" i="83"/>
  <c r="BF67" i="83"/>
  <c r="BF68" i="83"/>
  <c r="BF69" i="83"/>
  <c r="BF70" i="83"/>
  <c r="BF71" i="83"/>
  <c r="BF72" i="83"/>
  <c r="BF73" i="83"/>
  <c r="BF74" i="83"/>
  <c r="BF75" i="83"/>
  <c r="BF76" i="83"/>
  <c r="BF77" i="83"/>
  <c r="BF78" i="83"/>
  <c r="BF79" i="83"/>
  <c r="BF80" i="83"/>
  <c r="BF81" i="83"/>
  <c r="BF82" i="83"/>
  <c r="BF83" i="83"/>
  <c r="BF84" i="83"/>
  <c r="BF85" i="83"/>
  <c r="BF86" i="83"/>
  <c r="BF87" i="83"/>
  <c r="BF88" i="83"/>
  <c r="BF89" i="83"/>
  <c r="BF90" i="83"/>
  <c r="BF91" i="83"/>
  <c r="BF92" i="83"/>
  <c r="BF93" i="83"/>
  <c r="BF94" i="83"/>
  <c r="BF95" i="83"/>
  <c r="BF96" i="83"/>
  <c r="BF97" i="83"/>
  <c r="BF98" i="83"/>
  <c r="BF99" i="83"/>
  <c r="BF100" i="83"/>
  <c r="BF101" i="83"/>
  <c r="BF102" i="83"/>
  <c r="BF103" i="83"/>
  <c r="BF104" i="83"/>
  <c r="BF105" i="83"/>
  <c r="BF6" i="83"/>
  <c r="AO46" i="93" l="1"/>
  <c r="AO142" i="93"/>
  <c r="AO174" i="93"/>
  <c r="AO270" i="93"/>
  <c r="AO302" i="93"/>
  <c r="AO376" i="93"/>
  <c r="AO440" i="93"/>
  <c r="AO504" i="93"/>
  <c r="AO537" i="93"/>
  <c r="AO553" i="93"/>
  <c r="AO569" i="93"/>
  <c r="AO585" i="93"/>
  <c r="AO601" i="93"/>
  <c r="AO617" i="93"/>
  <c r="AO633" i="93"/>
  <c r="AO649" i="93"/>
  <c r="AO665" i="93"/>
  <c r="AO681" i="93"/>
  <c r="AO693" i="93"/>
  <c r="AO701" i="93"/>
  <c r="AO709" i="93"/>
  <c r="AO717" i="93"/>
  <c r="AO725" i="93"/>
  <c r="AO733" i="93"/>
  <c r="AO741" i="93"/>
  <c r="AO749" i="93"/>
  <c r="AO757" i="93"/>
  <c r="AO765" i="93"/>
  <c r="AO773" i="93"/>
  <c r="AO781" i="93"/>
  <c r="AO789" i="93"/>
  <c r="AO797" i="93"/>
  <c r="AO805" i="93"/>
  <c r="AO813" i="93"/>
  <c r="AO821" i="93"/>
  <c r="AO829" i="93"/>
  <c r="AO837" i="93"/>
  <c r="AO845" i="93"/>
  <c r="AO853" i="93"/>
  <c r="AO861" i="93"/>
  <c r="AO869" i="93"/>
  <c r="AO877" i="93"/>
  <c r="AO885" i="93"/>
  <c r="AO893" i="93"/>
  <c r="AO901" i="93"/>
  <c r="AO909" i="93"/>
  <c r="AO917" i="93"/>
  <c r="AO925" i="93"/>
  <c r="AO933" i="93"/>
  <c r="AO941" i="93"/>
  <c r="AO949" i="93"/>
  <c r="AO957" i="93"/>
  <c r="AO965" i="93"/>
  <c r="AO973" i="93"/>
  <c r="AO981" i="93"/>
  <c r="AO989" i="93"/>
  <c r="AO997" i="93"/>
  <c r="AO1005" i="93"/>
  <c r="AO1013" i="93"/>
  <c r="AO1021" i="93"/>
  <c r="AO1029" i="93"/>
  <c r="AO1037" i="93"/>
  <c r="AO1045" i="93"/>
  <c r="AO1053" i="93"/>
  <c r="AO1061" i="93"/>
  <c r="AO1069" i="93"/>
  <c r="AO1077" i="93"/>
  <c r="AO1085" i="93"/>
  <c r="AO1093" i="93"/>
  <c r="AO1101" i="93"/>
  <c r="AO1109" i="93"/>
  <c r="AO1117" i="93"/>
  <c r="AM15" i="93"/>
  <c r="AO15" i="93" s="1"/>
  <c r="AM16" i="93"/>
  <c r="AO16" i="93" s="1"/>
  <c r="AM17" i="93"/>
  <c r="AO17" i="93" s="1"/>
  <c r="AM18" i="93"/>
  <c r="AO18" i="93" s="1"/>
  <c r="AM19" i="93"/>
  <c r="AO19" i="93" s="1"/>
  <c r="AM20" i="93"/>
  <c r="AO20" i="93" s="1"/>
  <c r="AM21" i="93"/>
  <c r="AO21" i="93" s="1"/>
  <c r="AM22" i="93"/>
  <c r="AO22" i="93" s="1"/>
  <c r="AM23" i="93"/>
  <c r="AO23" i="93" s="1"/>
  <c r="AM24" i="93"/>
  <c r="AO24" i="93" s="1"/>
  <c r="AM25" i="93"/>
  <c r="AO25" i="93" s="1"/>
  <c r="AM26" i="93"/>
  <c r="AO26" i="93" s="1"/>
  <c r="AM27" i="93"/>
  <c r="AO27" i="93" s="1"/>
  <c r="AM28" i="93"/>
  <c r="AO28" i="93" s="1"/>
  <c r="AM29" i="93"/>
  <c r="AO29" i="93" s="1"/>
  <c r="AM30" i="93"/>
  <c r="AO30" i="93" s="1"/>
  <c r="AM31" i="93"/>
  <c r="AO31" i="93" s="1"/>
  <c r="AM32" i="93"/>
  <c r="AO32" i="93" s="1"/>
  <c r="AM33" i="93"/>
  <c r="AO33" i="93" s="1"/>
  <c r="AM34" i="93"/>
  <c r="AO34" i="93" s="1"/>
  <c r="AM35" i="93"/>
  <c r="AO35" i="93" s="1"/>
  <c r="AM36" i="93"/>
  <c r="AO36" i="93" s="1"/>
  <c r="AM37" i="93"/>
  <c r="AO37" i="93" s="1"/>
  <c r="AM38" i="93"/>
  <c r="AO38" i="93" s="1"/>
  <c r="AM39" i="93"/>
  <c r="AO39" i="93" s="1"/>
  <c r="AM40" i="93"/>
  <c r="AO40" i="93" s="1"/>
  <c r="AM41" i="93"/>
  <c r="AO41" i="93" s="1"/>
  <c r="AM42" i="93"/>
  <c r="AO42" i="93" s="1"/>
  <c r="AM43" i="93"/>
  <c r="AO43" i="93" s="1"/>
  <c r="AM44" i="93"/>
  <c r="AO44" i="93" s="1"/>
  <c r="AM45" i="93"/>
  <c r="AO45" i="93" s="1"/>
  <c r="AM46" i="93"/>
  <c r="AM47" i="93"/>
  <c r="AO47" i="93" s="1"/>
  <c r="AM48" i="93"/>
  <c r="AO48" i="93" s="1"/>
  <c r="AM49" i="93"/>
  <c r="AO49" i="93" s="1"/>
  <c r="AM50" i="93"/>
  <c r="AO50" i="93" s="1"/>
  <c r="AM51" i="93"/>
  <c r="AO51" i="93" s="1"/>
  <c r="AM52" i="93"/>
  <c r="AO52" i="93" s="1"/>
  <c r="AM53" i="93"/>
  <c r="AO53" i="93" s="1"/>
  <c r="AM54" i="93"/>
  <c r="AO54" i="93" s="1"/>
  <c r="AM55" i="93"/>
  <c r="AO55" i="93" s="1"/>
  <c r="AM56" i="93"/>
  <c r="AO56" i="93" s="1"/>
  <c r="AM57" i="93"/>
  <c r="AO57" i="93" s="1"/>
  <c r="AM58" i="93"/>
  <c r="AO58" i="93" s="1"/>
  <c r="AM59" i="93"/>
  <c r="AO59" i="93" s="1"/>
  <c r="AM60" i="93"/>
  <c r="AO60" i="93" s="1"/>
  <c r="AM61" i="93"/>
  <c r="AO61" i="93" s="1"/>
  <c r="AM62" i="93"/>
  <c r="AO62" i="93" s="1"/>
  <c r="AM63" i="93"/>
  <c r="AO63" i="93" s="1"/>
  <c r="AM64" i="93"/>
  <c r="AO64" i="93" s="1"/>
  <c r="AM65" i="93"/>
  <c r="AO65" i="93" s="1"/>
  <c r="AM66" i="93"/>
  <c r="AO66" i="93" s="1"/>
  <c r="AM67" i="93"/>
  <c r="AO67" i="93" s="1"/>
  <c r="AM68" i="93"/>
  <c r="AO68" i="93" s="1"/>
  <c r="AM69" i="93"/>
  <c r="AO69" i="93" s="1"/>
  <c r="AM70" i="93"/>
  <c r="AO70" i="93" s="1"/>
  <c r="AM71" i="93"/>
  <c r="AO71" i="93" s="1"/>
  <c r="AM72" i="93"/>
  <c r="AO72" i="93" s="1"/>
  <c r="AM73" i="93"/>
  <c r="AO73" i="93" s="1"/>
  <c r="AM74" i="93"/>
  <c r="AO74" i="93" s="1"/>
  <c r="AM75" i="93"/>
  <c r="AO75" i="93" s="1"/>
  <c r="AM76" i="93"/>
  <c r="AO76" i="93" s="1"/>
  <c r="AM77" i="93"/>
  <c r="AO77" i="93" s="1"/>
  <c r="AM78" i="93"/>
  <c r="AO78" i="93" s="1"/>
  <c r="AM79" i="93"/>
  <c r="AO79" i="93" s="1"/>
  <c r="AM80" i="93"/>
  <c r="AO80" i="93" s="1"/>
  <c r="AM81" i="93"/>
  <c r="AO81" i="93" s="1"/>
  <c r="AM82" i="93"/>
  <c r="AO82" i="93" s="1"/>
  <c r="AM83" i="93"/>
  <c r="AO83" i="93" s="1"/>
  <c r="AM84" i="93"/>
  <c r="AO84" i="93" s="1"/>
  <c r="AM85" i="93"/>
  <c r="AO85" i="93" s="1"/>
  <c r="AM86" i="93"/>
  <c r="AO86" i="93" s="1"/>
  <c r="AM87" i="93"/>
  <c r="AO87" i="93" s="1"/>
  <c r="AM88" i="93"/>
  <c r="AO88" i="93" s="1"/>
  <c r="AM89" i="93"/>
  <c r="AO89" i="93" s="1"/>
  <c r="AM90" i="93"/>
  <c r="AO90" i="93" s="1"/>
  <c r="AM91" i="93"/>
  <c r="AO91" i="93" s="1"/>
  <c r="AM92" i="93"/>
  <c r="AO92" i="93" s="1"/>
  <c r="AM93" i="93"/>
  <c r="AO93" i="93" s="1"/>
  <c r="AM94" i="93"/>
  <c r="AO94" i="93" s="1"/>
  <c r="AM95" i="93"/>
  <c r="AO95" i="93" s="1"/>
  <c r="AM96" i="93"/>
  <c r="AO96" i="93" s="1"/>
  <c r="AM97" i="93"/>
  <c r="AO97" i="93" s="1"/>
  <c r="AM98" i="93"/>
  <c r="AO98" i="93" s="1"/>
  <c r="AM99" i="93"/>
  <c r="AO99" i="93" s="1"/>
  <c r="AM100" i="93"/>
  <c r="AO100" i="93" s="1"/>
  <c r="AM101" i="93"/>
  <c r="AO101" i="93" s="1"/>
  <c r="AM102" i="93"/>
  <c r="AO102" i="93" s="1"/>
  <c r="AM103" i="93"/>
  <c r="AO103" i="93" s="1"/>
  <c r="AM104" i="93"/>
  <c r="AO104" i="93" s="1"/>
  <c r="AM105" i="93"/>
  <c r="AO105" i="93" s="1"/>
  <c r="AM106" i="93"/>
  <c r="AO106" i="93" s="1"/>
  <c r="AM107" i="93"/>
  <c r="AO107" i="93" s="1"/>
  <c r="AM108" i="93"/>
  <c r="AO108" i="93" s="1"/>
  <c r="AM109" i="93"/>
  <c r="AO109" i="93" s="1"/>
  <c r="AM110" i="93"/>
  <c r="AO110" i="93" s="1"/>
  <c r="AM111" i="93"/>
  <c r="AO111" i="93" s="1"/>
  <c r="AM112" i="93"/>
  <c r="AO112" i="93" s="1"/>
  <c r="AM113" i="93"/>
  <c r="AO113" i="93" s="1"/>
  <c r="AM114" i="93"/>
  <c r="AO114" i="93" s="1"/>
  <c r="AM115" i="93"/>
  <c r="AO115" i="93" s="1"/>
  <c r="AM116" i="93"/>
  <c r="AO116" i="93" s="1"/>
  <c r="AM117" i="93"/>
  <c r="AO117" i="93" s="1"/>
  <c r="AM118" i="93"/>
  <c r="AO118" i="93" s="1"/>
  <c r="AM119" i="93"/>
  <c r="AO119" i="93" s="1"/>
  <c r="AM120" i="93"/>
  <c r="AO120" i="93" s="1"/>
  <c r="AM121" i="93"/>
  <c r="AO121" i="93" s="1"/>
  <c r="AM122" i="93"/>
  <c r="AO122" i="93" s="1"/>
  <c r="AM123" i="93"/>
  <c r="AO123" i="93" s="1"/>
  <c r="AM124" i="93"/>
  <c r="AO124" i="93" s="1"/>
  <c r="AM125" i="93"/>
  <c r="AO125" i="93" s="1"/>
  <c r="AM126" i="93"/>
  <c r="AO126" i="93" s="1"/>
  <c r="AM127" i="93"/>
  <c r="AO127" i="93" s="1"/>
  <c r="AM128" i="93"/>
  <c r="AO128" i="93" s="1"/>
  <c r="AM129" i="93"/>
  <c r="AO129" i="93" s="1"/>
  <c r="AM130" i="93"/>
  <c r="AO130" i="93" s="1"/>
  <c r="AM131" i="93"/>
  <c r="AO131" i="93" s="1"/>
  <c r="AM132" i="93"/>
  <c r="AO132" i="93" s="1"/>
  <c r="AM133" i="93"/>
  <c r="AO133" i="93" s="1"/>
  <c r="AM134" i="93"/>
  <c r="AO134" i="93" s="1"/>
  <c r="AM135" i="93"/>
  <c r="AO135" i="93" s="1"/>
  <c r="AM136" i="93"/>
  <c r="AO136" i="93" s="1"/>
  <c r="AM137" i="93"/>
  <c r="AO137" i="93" s="1"/>
  <c r="AM138" i="93"/>
  <c r="AO138" i="93" s="1"/>
  <c r="AM139" i="93"/>
  <c r="AO139" i="93" s="1"/>
  <c r="AM140" i="93"/>
  <c r="AO140" i="93" s="1"/>
  <c r="AM141" i="93"/>
  <c r="AO141" i="93" s="1"/>
  <c r="AM142" i="93"/>
  <c r="AM143" i="93"/>
  <c r="AO143" i="93" s="1"/>
  <c r="AM144" i="93"/>
  <c r="AO144" i="93" s="1"/>
  <c r="AM145" i="93"/>
  <c r="AO145" i="93" s="1"/>
  <c r="AM146" i="93"/>
  <c r="AO146" i="93" s="1"/>
  <c r="AM147" i="93"/>
  <c r="AO147" i="93" s="1"/>
  <c r="AM148" i="93"/>
  <c r="AO148" i="93" s="1"/>
  <c r="AM149" i="93"/>
  <c r="AO149" i="93" s="1"/>
  <c r="AM150" i="93"/>
  <c r="AO150" i="93" s="1"/>
  <c r="AM151" i="93"/>
  <c r="AO151" i="93" s="1"/>
  <c r="AM152" i="93"/>
  <c r="AO152" i="93" s="1"/>
  <c r="AM153" i="93"/>
  <c r="AO153" i="93" s="1"/>
  <c r="AM154" i="93"/>
  <c r="AO154" i="93" s="1"/>
  <c r="AM155" i="93"/>
  <c r="AO155" i="93" s="1"/>
  <c r="AM156" i="93"/>
  <c r="AO156" i="93" s="1"/>
  <c r="AM157" i="93"/>
  <c r="AO157" i="93" s="1"/>
  <c r="AM158" i="93"/>
  <c r="AO158" i="93" s="1"/>
  <c r="AM159" i="93"/>
  <c r="AO159" i="93" s="1"/>
  <c r="AM160" i="93"/>
  <c r="AO160" i="93" s="1"/>
  <c r="AM161" i="93"/>
  <c r="AO161" i="93" s="1"/>
  <c r="AM162" i="93"/>
  <c r="AO162" i="93" s="1"/>
  <c r="AM163" i="93"/>
  <c r="AO163" i="93" s="1"/>
  <c r="AM164" i="93"/>
  <c r="AO164" i="93" s="1"/>
  <c r="AM165" i="93"/>
  <c r="AO165" i="93" s="1"/>
  <c r="AM166" i="93"/>
  <c r="AO166" i="93" s="1"/>
  <c r="AM167" i="93"/>
  <c r="AO167" i="93" s="1"/>
  <c r="AM168" i="93"/>
  <c r="AO168" i="93" s="1"/>
  <c r="AM169" i="93"/>
  <c r="AO169" i="93" s="1"/>
  <c r="AM170" i="93"/>
  <c r="AO170" i="93" s="1"/>
  <c r="AM171" i="93"/>
  <c r="AO171" i="93" s="1"/>
  <c r="AM172" i="93"/>
  <c r="AO172" i="93" s="1"/>
  <c r="AM173" i="93"/>
  <c r="AO173" i="93" s="1"/>
  <c r="AM174" i="93"/>
  <c r="AM175" i="93"/>
  <c r="AO175" i="93" s="1"/>
  <c r="AM176" i="93"/>
  <c r="AO176" i="93" s="1"/>
  <c r="AM177" i="93"/>
  <c r="AO177" i="93" s="1"/>
  <c r="AM178" i="93"/>
  <c r="AO178" i="93" s="1"/>
  <c r="AM179" i="93"/>
  <c r="AO179" i="93" s="1"/>
  <c r="AM180" i="93"/>
  <c r="AO180" i="93" s="1"/>
  <c r="AM181" i="93"/>
  <c r="AO181" i="93" s="1"/>
  <c r="AM182" i="93"/>
  <c r="AO182" i="93" s="1"/>
  <c r="AM183" i="93"/>
  <c r="AO183" i="93" s="1"/>
  <c r="AM184" i="93"/>
  <c r="AO184" i="93" s="1"/>
  <c r="AM185" i="93"/>
  <c r="AO185" i="93" s="1"/>
  <c r="AM186" i="93"/>
  <c r="AO186" i="93" s="1"/>
  <c r="AM187" i="93"/>
  <c r="AO187" i="93" s="1"/>
  <c r="AM188" i="93"/>
  <c r="AO188" i="93" s="1"/>
  <c r="AM189" i="93"/>
  <c r="AO189" i="93" s="1"/>
  <c r="AM190" i="93"/>
  <c r="AO190" i="93" s="1"/>
  <c r="AM191" i="93"/>
  <c r="AO191" i="93" s="1"/>
  <c r="AM192" i="93"/>
  <c r="AO192" i="93" s="1"/>
  <c r="AM193" i="93"/>
  <c r="AO193" i="93" s="1"/>
  <c r="AM194" i="93"/>
  <c r="AO194" i="93" s="1"/>
  <c r="AM195" i="93"/>
  <c r="AO195" i="93" s="1"/>
  <c r="AM196" i="93"/>
  <c r="AO196" i="93" s="1"/>
  <c r="AM197" i="93"/>
  <c r="AO197" i="93" s="1"/>
  <c r="AM198" i="93"/>
  <c r="AO198" i="93" s="1"/>
  <c r="AM199" i="93"/>
  <c r="AO199" i="93" s="1"/>
  <c r="AM200" i="93"/>
  <c r="AO200" i="93" s="1"/>
  <c r="AM201" i="93"/>
  <c r="AO201" i="93" s="1"/>
  <c r="AM202" i="93"/>
  <c r="AO202" i="93" s="1"/>
  <c r="AM203" i="93"/>
  <c r="AO203" i="93" s="1"/>
  <c r="AM204" i="93"/>
  <c r="AO204" i="93" s="1"/>
  <c r="AM205" i="93"/>
  <c r="AO205" i="93" s="1"/>
  <c r="AM206" i="93"/>
  <c r="AO206" i="93" s="1"/>
  <c r="AM207" i="93"/>
  <c r="AO207" i="93" s="1"/>
  <c r="AM208" i="93"/>
  <c r="AO208" i="93" s="1"/>
  <c r="AM209" i="93"/>
  <c r="AO209" i="93" s="1"/>
  <c r="AM210" i="93"/>
  <c r="AO210" i="93" s="1"/>
  <c r="AM211" i="93"/>
  <c r="AO211" i="93" s="1"/>
  <c r="AM212" i="93"/>
  <c r="AO212" i="93" s="1"/>
  <c r="AM213" i="93"/>
  <c r="AO213" i="93" s="1"/>
  <c r="AM214" i="93"/>
  <c r="AO214" i="93" s="1"/>
  <c r="AM215" i="93"/>
  <c r="AO215" i="93" s="1"/>
  <c r="AM216" i="93"/>
  <c r="AO216" i="93" s="1"/>
  <c r="AM217" i="93"/>
  <c r="AO217" i="93" s="1"/>
  <c r="AM218" i="93"/>
  <c r="AO218" i="93" s="1"/>
  <c r="AM219" i="93"/>
  <c r="AO219" i="93" s="1"/>
  <c r="AM220" i="93"/>
  <c r="AO220" i="93" s="1"/>
  <c r="AM221" i="93"/>
  <c r="AO221" i="93" s="1"/>
  <c r="AM222" i="93"/>
  <c r="AO222" i="93" s="1"/>
  <c r="AM223" i="93"/>
  <c r="AO223" i="93" s="1"/>
  <c r="AM224" i="93"/>
  <c r="AO224" i="93" s="1"/>
  <c r="AM225" i="93"/>
  <c r="AO225" i="93" s="1"/>
  <c r="AM226" i="93"/>
  <c r="AO226" i="93" s="1"/>
  <c r="AM227" i="93"/>
  <c r="AO227" i="93" s="1"/>
  <c r="AM228" i="93"/>
  <c r="AO228" i="93" s="1"/>
  <c r="AM229" i="93"/>
  <c r="AO229" i="93" s="1"/>
  <c r="AM230" i="93"/>
  <c r="AO230" i="93" s="1"/>
  <c r="AM231" i="93"/>
  <c r="AO231" i="93" s="1"/>
  <c r="AM232" i="93"/>
  <c r="AO232" i="93" s="1"/>
  <c r="AM233" i="93"/>
  <c r="AO233" i="93" s="1"/>
  <c r="AM234" i="93"/>
  <c r="AO234" i="93" s="1"/>
  <c r="AM235" i="93"/>
  <c r="AO235" i="93" s="1"/>
  <c r="AM236" i="93"/>
  <c r="AO236" i="93" s="1"/>
  <c r="AM237" i="93"/>
  <c r="AO237" i="93" s="1"/>
  <c r="AM238" i="93"/>
  <c r="AO238" i="93" s="1"/>
  <c r="AM239" i="93"/>
  <c r="AO239" i="93" s="1"/>
  <c r="AM240" i="93"/>
  <c r="AO240" i="93" s="1"/>
  <c r="AM241" i="93"/>
  <c r="AO241" i="93" s="1"/>
  <c r="AM242" i="93"/>
  <c r="AO242" i="93" s="1"/>
  <c r="AM243" i="93"/>
  <c r="AO243" i="93" s="1"/>
  <c r="AM244" i="93"/>
  <c r="AO244" i="93" s="1"/>
  <c r="AM245" i="93"/>
  <c r="AO245" i="93" s="1"/>
  <c r="AM246" i="93"/>
  <c r="AO246" i="93" s="1"/>
  <c r="AM247" i="93"/>
  <c r="AO247" i="93" s="1"/>
  <c r="AM248" i="93"/>
  <c r="AO248" i="93" s="1"/>
  <c r="AM249" i="93"/>
  <c r="AO249" i="93" s="1"/>
  <c r="AM250" i="93"/>
  <c r="AO250" i="93" s="1"/>
  <c r="AM251" i="93"/>
  <c r="AO251" i="93" s="1"/>
  <c r="AM252" i="93"/>
  <c r="AO252" i="93" s="1"/>
  <c r="AM253" i="93"/>
  <c r="AO253" i="93" s="1"/>
  <c r="AM254" i="93"/>
  <c r="AO254" i="93" s="1"/>
  <c r="AM255" i="93"/>
  <c r="AO255" i="93" s="1"/>
  <c r="AM256" i="93"/>
  <c r="AO256" i="93" s="1"/>
  <c r="AM257" i="93"/>
  <c r="AO257" i="93" s="1"/>
  <c r="AM258" i="93"/>
  <c r="AO258" i="93" s="1"/>
  <c r="AM259" i="93"/>
  <c r="AO259" i="93" s="1"/>
  <c r="AM260" i="93"/>
  <c r="AO260" i="93" s="1"/>
  <c r="AM261" i="93"/>
  <c r="AO261" i="93" s="1"/>
  <c r="AM262" i="93"/>
  <c r="AO262" i="93" s="1"/>
  <c r="AM263" i="93"/>
  <c r="AO263" i="93" s="1"/>
  <c r="AM264" i="93"/>
  <c r="AO264" i="93" s="1"/>
  <c r="AM265" i="93"/>
  <c r="AO265" i="93" s="1"/>
  <c r="AM266" i="93"/>
  <c r="AO266" i="93" s="1"/>
  <c r="AM267" i="93"/>
  <c r="AO267" i="93" s="1"/>
  <c r="AM268" i="93"/>
  <c r="AO268" i="93" s="1"/>
  <c r="AM269" i="93"/>
  <c r="AO269" i="93" s="1"/>
  <c r="AM270" i="93"/>
  <c r="AM271" i="93"/>
  <c r="AO271" i="93" s="1"/>
  <c r="AM272" i="93"/>
  <c r="AO272" i="93" s="1"/>
  <c r="AM273" i="93"/>
  <c r="AO273" i="93" s="1"/>
  <c r="AM274" i="93"/>
  <c r="AO274" i="93" s="1"/>
  <c r="AM275" i="93"/>
  <c r="AO275" i="93" s="1"/>
  <c r="AM276" i="93"/>
  <c r="AO276" i="93" s="1"/>
  <c r="AM277" i="93"/>
  <c r="AO277" i="93" s="1"/>
  <c r="AM278" i="93"/>
  <c r="AO278" i="93" s="1"/>
  <c r="AM279" i="93"/>
  <c r="AO279" i="93" s="1"/>
  <c r="AM280" i="93"/>
  <c r="AO280" i="93" s="1"/>
  <c r="AM281" i="93"/>
  <c r="AO281" i="93" s="1"/>
  <c r="AM282" i="93"/>
  <c r="AO282" i="93" s="1"/>
  <c r="AM283" i="93"/>
  <c r="AO283" i="93" s="1"/>
  <c r="AM284" i="93"/>
  <c r="AO284" i="93" s="1"/>
  <c r="AM285" i="93"/>
  <c r="AO285" i="93" s="1"/>
  <c r="AM286" i="93"/>
  <c r="AO286" i="93" s="1"/>
  <c r="AM287" i="93"/>
  <c r="AO287" i="93" s="1"/>
  <c r="AM288" i="93"/>
  <c r="AO288" i="93" s="1"/>
  <c r="AM289" i="93"/>
  <c r="AO289" i="93" s="1"/>
  <c r="AM290" i="93"/>
  <c r="AO290" i="93" s="1"/>
  <c r="AM291" i="93"/>
  <c r="AO291" i="93" s="1"/>
  <c r="AM292" i="93"/>
  <c r="AO292" i="93" s="1"/>
  <c r="AM293" i="93"/>
  <c r="AO293" i="93" s="1"/>
  <c r="AM294" i="93"/>
  <c r="AO294" i="93" s="1"/>
  <c r="AM295" i="93"/>
  <c r="AO295" i="93" s="1"/>
  <c r="AM296" i="93"/>
  <c r="AO296" i="93" s="1"/>
  <c r="AM297" i="93"/>
  <c r="AO297" i="93" s="1"/>
  <c r="AM298" i="93"/>
  <c r="AO298" i="93" s="1"/>
  <c r="AM299" i="93"/>
  <c r="AO299" i="93" s="1"/>
  <c r="AM300" i="93"/>
  <c r="AO300" i="93" s="1"/>
  <c r="AM301" i="93"/>
  <c r="AO301" i="93" s="1"/>
  <c r="AM302" i="93"/>
  <c r="AM303" i="93"/>
  <c r="AO303" i="93" s="1"/>
  <c r="AM304" i="93"/>
  <c r="AO304" i="93" s="1"/>
  <c r="AM305" i="93"/>
  <c r="AO305" i="93" s="1"/>
  <c r="AM306" i="93"/>
  <c r="AO306" i="93" s="1"/>
  <c r="AM307" i="93"/>
  <c r="AO307" i="93" s="1"/>
  <c r="AM308" i="93"/>
  <c r="AO308" i="93" s="1"/>
  <c r="AM309" i="93"/>
  <c r="AO309" i="93" s="1"/>
  <c r="AM310" i="93"/>
  <c r="AO310" i="93" s="1"/>
  <c r="AM311" i="93"/>
  <c r="AO311" i="93" s="1"/>
  <c r="AM312" i="93"/>
  <c r="AO312" i="93" s="1"/>
  <c r="AM313" i="93"/>
  <c r="AO313" i="93" s="1"/>
  <c r="AM314" i="93"/>
  <c r="AO314" i="93" s="1"/>
  <c r="AM315" i="93"/>
  <c r="AO315" i="93" s="1"/>
  <c r="AM316" i="93"/>
  <c r="AO316" i="93" s="1"/>
  <c r="AM317" i="93"/>
  <c r="AO317" i="93" s="1"/>
  <c r="AM318" i="93"/>
  <c r="AO318" i="93" s="1"/>
  <c r="AM319" i="93"/>
  <c r="AO319" i="93" s="1"/>
  <c r="AM320" i="93"/>
  <c r="AO320" i="93" s="1"/>
  <c r="AM321" i="93"/>
  <c r="AO321" i="93" s="1"/>
  <c r="AM322" i="93"/>
  <c r="AO322" i="93" s="1"/>
  <c r="AM323" i="93"/>
  <c r="AO323" i="93" s="1"/>
  <c r="AM324" i="93"/>
  <c r="AO324" i="93" s="1"/>
  <c r="AM325" i="93"/>
  <c r="AO325" i="93" s="1"/>
  <c r="AM326" i="93"/>
  <c r="AO326" i="93" s="1"/>
  <c r="AM327" i="93"/>
  <c r="AO327" i="93" s="1"/>
  <c r="AM328" i="93"/>
  <c r="AO328" i="93" s="1"/>
  <c r="AM329" i="93"/>
  <c r="AO329" i="93" s="1"/>
  <c r="AM330" i="93"/>
  <c r="AO330" i="93" s="1"/>
  <c r="AM331" i="93"/>
  <c r="AO331" i="93" s="1"/>
  <c r="AM332" i="93"/>
  <c r="AO332" i="93" s="1"/>
  <c r="AM333" i="93"/>
  <c r="AO333" i="93" s="1"/>
  <c r="AM334" i="93"/>
  <c r="AO334" i="93" s="1"/>
  <c r="AM335" i="93"/>
  <c r="AO335" i="93" s="1"/>
  <c r="AM336" i="93"/>
  <c r="AO336" i="93" s="1"/>
  <c r="AM337" i="93"/>
  <c r="AO337" i="93" s="1"/>
  <c r="AM338" i="93"/>
  <c r="AO338" i="93" s="1"/>
  <c r="AM339" i="93"/>
  <c r="AO339" i="93" s="1"/>
  <c r="AM340" i="93"/>
  <c r="AO340" i="93" s="1"/>
  <c r="AM341" i="93"/>
  <c r="AO341" i="93" s="1"/>
  <c r="AM342" i="93"/>
  <c r="AO342" i="93" s="1"/>
  <c r="AM343" i="93"/>
  <c r="AO343" i="93" s="1"/>
  <c r="AM344" i="93"/>
  <c r="AO344" i="93" s="1"/>
  <c r="AM345" i="93"/>
  <c r="AO345" i="93" s="1"/>
  <c r="AM346" i="93"/>
  <c r="AO346" i="93" s="1"/>
  <c r="AM347" i="93"/>
  <c r="AO347" i="93" s="1"/>
  <c r="AM348" i="93"/>
  <c r="AO348" i="93" s="1"/>
  <c r="AM349" i="93"/>
  <c r="AO349" i="93" s="1"/>
  <c r="AM350" i="93"/>
  <c r="AO350" i="93" s="1"/>
  <c r="AM351" i="93"/>
  <c r="AO351" i="93" s="1"/>
  <c r="AM352" i="93"/>
  <c r="AO352" i="93" s="1"/>
  <c r="AM353" i="93"/>
  <c r="AO353" i="93" s="1"/>
  <c r="AM354" i="93"/>
  <c r="AO354" i="93" s="1"/>
  <c r="AM355" i="93"/>
  <c r="AO355" i="93" s="1"/>
  <c r="AM356" i="93"/>
  <c r="AO356" i="93" s="1"/>
  <c r="AM357" i="93"/>
  <c r="AO357" i="93" s="1"/>
  <c r="AM358" i="93"/>
  <c r="AO358" i="93" s="1"/>
  <c r="AM359" i="93"/>
  <c r="AO359" i="93" s="1"/>
  <c r="AM360" i="93"/>
  <c r="AO360" i="93" s="1"/>
  <c r="AM361" i="93"/>
  <c r="AO361" i="93" s="1"/>
  <c r="AM362" i="93"/>
  <c r="AO362" i="93" s="1"/>
  <c r="AM363" i="93"/>
  <c r="AO363" i="93" s="1"/>
  <c r="AM364" i="93"/>
  <c r="AO364" i="93" s="1"/>
  <c r="AM365" i="93"/>
  <c r="AO365" i="93" s="1"/>
  <c r="AM366" i="93"/>
  <c r="AO366" i="93" s="1"/>
  <c r="AM367" i="93"/>
  <c r="AO367" i="93" s="1"/>
  <c r="AM368" i="93"/>
  <c r="AO368" i="93" s="1"/>
  <c r="AM369" i="93"/>
  <c r="AO369" i="93" s="1"/>
  <c r="AM370" i="93"/>
  <c r="AO370" i="93" s="1"/>
  <c r="AM371" i="93"/>
  <c r="AO371" i="93" s="1"/>
  <c r="AM372" i="93"/>
  <c r="AO372" i="93" s="1"/>
  <c r="AM373" i="93"/>
  <c r="AO373" i="93" s="1"/>
  <c r="AM374" i="93"/>
  <c r="AO374" i="93" s="1"/>
  <c r="AM375" i="93"/>
  <c r="AO375" i="93" s="1"/>
  <c r="AM376" i="93"/>
  <c r="AM377" i="93"/>
  <c r="AO377" i="93" s="1"/>
  <c r="AM378" i="93"/>
  <c r="AO378" i="93" s="1"/>
  <c r="AM379" i="93"/>
  <c r="AO379" i="93" s="1"/>
  <c r="AM380" i="93"/>
  <c r="AO380" i="93" s="1"/>
  <c r="AM381" i="93"/>
  <c r="AO381" i="93" s="1"/>
  <c r="AM382" i="93"/>
  <c r="AO382" i="93" s="1"/>
  <c r="AM383" i="93"/>
  <c r="AO383" i="93" s="1"/>
  <c r="AM384" i="93"/>
  <c r="AO384" i="93" s="1"/>
  <c r="AM385" i="93"/>
  <c r="AO385" i="93" s="1"/>
  <c r="AM386" i="93"/>
  <c r="AO386" i="93" s="1"/>
  <c r="AM387" i="93"/>
  <c r="AO387" i="93" s="1"/>
  <c r="AM388" i="93"/>
  <c r="AO388" i="93" s="1"/>
  <c r="AM389" i="93"/>
  <c r="AO389" i="93" s="1"/>
  <c r="AM390" i="93"/>
  <c r="AO390" i="93" s="1"/>
  <c r="AM391" i="93"/>
  <c r="AO391" i="93" s="1"/>
  <c r="AM392" i="93"/>
  <c r="AO392" i="93" s="1"/>
  <c r="AM393" i="93"/>
  <c r="AO393" i="93" s="1"/>
  <c r="AM394" i="93"/>
  <c r="AO394" i="93" s="1"/>
  <c r="AM395" i="93"/>
  <c r="AO395" i="93" s="1"/>
  <c r="AM396" i="93"/>
  <c r="AO396" i="93" s="1"/>
  <c r="AM397" i="93"/>
  <c r="AO397" i="93" s="1"/>
  <c r="AM398" i="93"/>
  <c r="AO398" i="93" s="1"/>
  <c r="AM399" i="93"/>
  <c r="AO399" i="93" s="1"/>
  <c r="AM400" i="93"/>
  <c r="AO400" i="93" s="1"/>
  <c r="AM401" i="93"/>
  <c r="AO401" i="93" s="1"/>
  <c r="AM402" i="93"/>
  <c r="AO402" i="93" s="1"/>
  <c r="AM403" i="93"/>
  <c r="AO403" i="93" s="1"/>
  <c r="AM404" i="93"/>
  <c r="AO404" i="93" s="1"/>
  <c r="AM405" i="93"/>
  <c r="AO405" i="93" s="1"/>
  <c r="AM406" i="93"/>
  <c r="AO406" i="93" s="1"/>
  <c r="AM407" i="93"/>
  <c r="AO407" i="93" s="1"/>
  <c r="AM408" i="93"/>
  <c r="AO408" i="93" s="1"/>
  <c r="AM409" i="93"/>
  <c r="AO409" i="93" s="1"/>
  <c r="AM410" i="93"/>
  <c r="AO410" i="93" s="1"/>
  <c r="AM411" i="93"/>
  <c r="AO411" i="93" s="1"/>
  <c r="AM412" i="93"/>
  <c r="AO412" i="93" s="1"/>
  <c r="AM413" i="93"/>
  <c r="AO413" i="93" s="1"/>
  <c r="AM414" i="93"/>
  <c r="AO414" i="93" s="1"/>
  <c r="AM415" i="93"/>
  <c r="AO415" i="93" s="1"/>
  <c r="AM416" i="93"/>
  <c r="AO416" i="93" s="1"/>
  <c r="AM417" i="93"/>
  <c r="AO417" i="93" s="1"/>
  <c r="AM418" i="93"/>
  <c r="AO418" i="93" s="1"/>
  <c r="AM419" i="93"/>
  <c r="AO419" i="93" s="1"/>
  <c r="AM420" i="93"/>
  <c r="AO420" i="93" s="1"/>
  <c r="AM421" i="93"/>
  <c r="AO421" i="93" s="1"/>
  <c r="AM422" i="93"/>
  <c r="AO422" i="93" s="1"/>
  <c r="AM423" i="93"/>
  <c r="AO423" i="93" s="1"/>
  <c r="AM424" i="93"/>
  <c r="AO424" i="93" s="1"/>
  <c r="AM425" i="93"/>
  <c r="AO425" i="93" s="1"/>
  <c r="AM426" i="93"/>
  <c r="AO426" i="93" s="1"/>
  <c r="AM427" i="93"/>
  <c r="AO427" i="93" s="1"/>
  <c r="AM428" i="93"/>
  <c r="AO428" i="93" s="1"/>
  <c r="AM429" i="93"/>
  <c r="AO429" i="93" s="1"/>
  <c r="AM430" i="93"/>
  <c r="AO430" i="93" s="1"/>
  <c r="AM431" i="93"/>
  <c r="AO431" i="93" s="1"/>
  <c r="AM432" i="93"/>
  <c r="AO432" i="93" s="1"/>
  <c r="AM433" i="93"/>
  <c r="AO433" i="93" s="1"/>
  <c r="AM434" i="93"/>
  <c r="AO434" i="93" s="1"/>
  <c r="AM435" i="93"/>
  <c r="AO435" i="93" s="1"/>
  <c r="AM436" i="93"/>
  <c r="AO436" i="93" s="1"/>
  <c r="AM437" i="93"/>
  <c r="AO437" i="93" s="1"/>
  <c r="AM438" i="93"/>
  <c r="AO438" i="93" s="1"/>
  <c r="AM439" i="93"/>
  <c r="AO439" i="93" s="1"/>
  <c r="AM440" i="93"/>
  <c r="AM441" i="93"/>
  <c r="AO441" i="93" s="1"/>
  <c r="AM442" i="93"/>
  <c r="AO442" i="93" s="1"/>
  <c r="AM443" i="93"/>
  <c r="AO443" i="93" s="1"/>
  <c r="AM444" i="93"/>
  <c r="AO444" i="93" s="1"/>
  <c r="AM445" i="93"/>
  <c r="AO445" i="93" s="1"/>
  <c r="AM446" i="93"/>
  <c r="AO446" i="93" s="1"/>
  <c r="AM447" i="93"/>
  <c r="AO447" i="93" s="1"/>
  <c r="AM448" i="93"/>
  <c r="AO448" i="93" s="1"/>
  <c r="AM449" i="93"/>
  <c r="AO449" i="93" s="1"/>
  <c r="AM450" i="93"/>
  <c r="AO450" i="93" s="1"/>
  <c r="AM451" i="93"/>
  <c r="AO451" i="93" s="1"/>
  <c r="AM452" i="93"/>
  <c r="AO452" i="93" s="1"/>
  <c r="AM453" i="93"/>
  <c r="AO453" i="93" s="1"/>
  <c r="AM454" i="93"/>
  <c r="AO454" i="93" s="1"/>
  <c r="AM455" i="93"/>
  <c r="AO455" i="93" s="1"/>
  <c r="AM456" i="93"/>
  <c r="AO456" i="93" s="1"/>
  <c r="AM457" i="93"/>
  <c r="AO457" i="93" s="1"/>
  <c r="AM458" i="93"/>
  <c r="AO458" i="93" s="1"/>
  <c r="AM459" i="93"/>
  <c r="AO459" i="93" s="1"/>
  <c r="AM460" i="93"/>
  <c r="AO460" i="93" s="1"/>
  <c r="AM461" i="93"/>
  <c r="AO461" i="93" s="1"/>
  <c r="AM462" i="93"/>
  <c r="AO462" i="93" s="1"/>
  <c r="AM463" i="93"/>
  <c r="AO463" i="93" s="1"/>
  <c r="AM464" i="93"/>
  <c r="AO464" i="93" s="1"/>
  <c r="AM465" i="93"/>
  <c r="AO465" i="93" s="1"/>
  <c r="AM466" i="93"/>
  <c r="AO466" i="93" s="1"/>
  <c r="AM467" i="93"/>
  <c r="AO467" i="93" s="1"/>
  <c r="AM468" i="93"/>
  <c r="AO468" i="93" s="1"/>
  <c r="AM469" i="93"/>
  <c r="AO469" i="93" s="1"/>
  <c r="AM470" i="93"/>
  <c r="AO470" i="93" s="1"/>
  <c r="AM471" i="93"/>
  <c r="AO471" i="93" s="1"/>
  <c r="AM472" i="93"/>
  <c r="AO472" i="93" s="1"/>
  <c r="AM473" i="93"/>
  <c r="AO473" i="93" s="1"/>
  <c r="AM474" i="93"/>
  <c r="AO474" i="93" s="1"/>
  <c r="AM475" i="93"/>
  <c r="AO475" i="93" s="1"/>
  <c r="AM476" i="93"/>
  <c r="AO476" i="93" s="1"/>
  <c r="AM477" i="93"/>
  <c r="AO477" i="93" s="1"/>
  <c r="AM478" i="93"/>
  <c r="AO478" i="93" s="1"/>
  <c r="AM479" i="93"/>
  <c r="AO479" i="93" s="1"/>
  <c r="AM480" i="93"/>
  <c r="AO480" i="93" s="1"/>
  <c r="AM481" i="93"/>
  <c r="AO481" i="93" s="1"/>
  <c r="AM482" i="93"/>
  <c r="AO482" i="93" s="1"/>
  <c r="AM483" i="93"/>
  <c r="AO483" i="93" s="1"/>
  <c r="AM484" i="93"/>
  <c r="AO484" i="93" s="1"/>
  <c r="AM485" i="93"/>
  <c r="AO485" i="93" s="1"/>
  <c r="AM486" i="93"/>
  <c r="AO486" i="93" s="1"/>
  <c r="AM487" i="93"/>
  <c r="AO487" i="93" s="1"/>
  <c r="AM488" i="93"/>
  <c r="AO488" i="93" s="1"/>
  <c r="AM489" i="93"/>
  <c r="AO489" i="93" s="1"/>
  <c r="AM490" i="93"/>
  <c r="AO490" i="93" s="1"/>
  <c r="AM491" i="93"/>
  <c r="AO491" i="93" s="1"/>
  <c r="AM492" i="93"/>
  <c r="AO492" i="93" s="1"/>
  <c r="AM493" i="93"/>
  <c r="AO493" i="93" s="1"/>
  <c r="AM494" i="93"/>
  <c r="AO494" i="93" s="1"/>
  <c r="AM495" i="93"/>
  <c r="AO495" i="93" s="1"/>
  <c r="AM496" i="93"/>
  <c r="AO496" i="93" s="1"/>
  <c r="AM497" i="93"/>
  <c r="AO497" i="93" s="1"/>
  <c r="AM498" i="93"/>
  <c r="AO498" i="93" s="1"/>
  <c r="AM499" i="93"/>
  <c r="AO499" i="93" s="1"/>
  <c r="AM500" i="93"/>
  <c r="AO500" i="93" s="1"/>
  <c r="AM501" i="93"/>
  <c r="AO501" i="93" s="1"/>
  <c r="AM502" i="93"/>
  <c r="AO502" i="93" s="1"/>
  <c r="AM503" i="93"/>
  <c r="AO503" i="93" s="1"/>
  <c r="AM504" i="93"/>
  <c r="AM505" i="93"/>
  <c r="AO505" i="93" s="1"/>
  <c r="AM506" i="93"/>
  <c r="AO506" i="93" s="1"/>
  <c r="AM507" i="93"/>
  <c r="AO507" i="93" s="1"/>
  <c r="AM508" i="93"/>
  <c r="AO508" i="93" s="1"/>
  <c r="AM509" i="93"/>
  <c r="AO509" i="93" s="1"/>
  <c r="AM510" i="93"/>
  <c r="AO510" i="93" s="1"/>
  <c r="AM511" i="93"/>
  <c r="AO511" i="93" s="1"/>
  <c r="AM512" i="93"/>
  <c r="AO512" i="93" s="1"/>
  <c r="AM513" i="93"/>
  <c r="AO513" i="93" s="1"/>
  <c r="AM514" i="93"/>
  <c r="AO514" i="93" s="1"/>
  <c r="AM515" i="93"/>
  <c r="AO515" i="93" s="1"/>
  <c r="AM516" i="93"/>
  <c r="AO516" i="93" s="1"/>
  <c r="AM517" i="93"/>
  <c r="AO517" i="93" s="1"/>
  <c r="AM518" i="93"/>
  <c r="AO518" i="93" s="1"/>
  <c r="AM519" i="93"/>
  <c r="AO519" i="93" s="1"/>
  <c r="AM520" i="93"/>
  <c r="AO520" i="93" s="1"/>
  <c r="AM521" i="93"/>
  <c r="AO521" i="93" s="1"/>
  <c r="AM522" i="93"/>
  <c r="AO522" i="93" s="1"/>
  <c r="AM523" i="93"/>
  <c r="AO523" i="93" s="1"/>
  <c r="AM524" i="93"/>
  <c r="AO524" i="93" s="1"/>
  <c r="AM525" i="93"/>
  <c r="AO525" i="93" s="1"/>
  <c r="AM526" i="93"/>
  <c r="AO526" i="93" s="1"/>
  <c r="AM527" i="93"/>
  <c r="AO527" i="93" s="1"/>
  <c r="AM528" i="93"/>
  <c r="AO528" i="93" s="1"/>
  <c r="AM529" i="93"/>
  <c r="AO529" i="93" s="1"/>
  <c r="AM530" i="93"/>
  <c r="AO530" i="93" s="1"/>
  <c r="AM531" i="93"/>
  <c r="AO531" i="93" s="1"/>
  <c r="AM532" i="93"/>
  <c r="AO532" i="93" s="1"/>
  <c r="AM533" i="93"/>
  <c r="AO533" i="93" s="1"/>
  <c r="AM534" i="93"/>
  <c r="AO534" i="93" s="1"/>
  <c r="AM535" i="93"/>
  <c r="AO535" i="93" s="1"/>
  <c r="AM536" i="93"/>
  <c r="AO536" i="93" s="1"/>
  <c r="AM537" i="93"/>
  <c r="AM538" i="93"/>
  <c r="AO538" i="93" s="1"/>
  <c r="AM539" i="93"/>
  <c r="AO539" i="93" s="1"/>
  <c r="AM540" i="93"/>
  <c r="AO540" i="93" s="1"/>
  <c r="AM541" i="93"/>
  <c r="AO541" i="93" s="1"/>
  <c r="AM542" i="93"/>
  <c r="AO542" i="93" s="1"/>
  <c r="AM543" i="93"/>
  <c r="AO543" i="93" s="1"/>
  <c r="AM544" i="93"/>
  <c r="AO544" i="93" s="1"/>
  <c r="AM545" i="93"/>
  <c r="AO545" i="93" s="1"/>
  <c r="AM546" i="93"/>
  <c r="AO546" i="93" s="1"/>
  <c r="AM547" i="93"/>
  <c r="AO547" i="93" s="1"/>
  <c r="AM548" i="93"/>
  <c r="AO548" i="93" s="1"/>
  <c r="AM549" i="93"/>
  <c r="AO549" i="93" s="1"/>
  <c r="AM550" i="93"/>
  <c r="AO550" i="93" s="1"/>
  <c r="AM551" i="93"/>
  <c r="AO551" i="93" s="1"/>
  <c r="AM552" i="93"/>
  <c r="AO552" i="93" s="1"/>
  <c r="AM553" i="93"/>
  <c r="AM554" i="93"/>
  <c r="AO554" i="93" s="1"/>
  <c r="AM555" i="93"/>
  <c r="AO555" i="93" s="1"/>
  <c r="AM556" i="93"/>
  <c r="AO556" i="93" s="1"/>
  <c r="AM557" i="93"/>
  <c r="AO557" i="93" s="1"/>
  <c r="AM558" i="93"/>
  <c r="AO558" i="93" s="1"/>
  <c r="AM559" i="93"/>
  <c r="AO559" i="93" s="1"/>
  <c r="AM560" i="93"/>
  <c r="AO560" i="93" s="1"/>
  <c r="AM561" i="93"/>
  <c r="AO561" i="93" s="1"/>
  <c r="AM562" i="93"/>
  <c r="AO562" i="93" s="1"/>
  <c r="AM563" i="93"/>
  <c r="AO563" i="93" s="1"/>
  <c r="AM564" i="93"/>
  <c r="AO564" i="93" s="1"/>
  <c r="AM565" i="93"/>
  <c r="AO565" i="93" s="1"/>
  <c r="AM566" i="93"/>
  <c r="AO566" i="93" s="1"/>
  <c r="AM567" i="93"/>
  <c r="AO567" i="93" s="1"/>
  <c r="AM568" i="93"/>
  <c r="AO568" i="93" s="1"/>
  <c r="AM569" i="93"/>
  <c r="AM570" i="93"/>
  <c r="AO570" i="93" s="1"/>
  <c r="AM571" i="93"/>
  <c r="AO571" i="93" s="1"/>
  <c r="AM572" i="93"/>
  <c r="AO572" i="93" s="1"/>
  <c r="AM573" i="93"/>
  <c r="AO573" i="93" s="1"/>
  <c r="AM574" i="93"/>
  <c r="AO574" i="93" s="1"/>
  <c r="AM575" i="93"/>
  <c r="AO575" i="93" s="1"/>
  <c r="AM576" i="93"/>
  <c r="AO576" i="93" s="1"/>
  <c r="AM577" i="93"/>
  <c r="AO577" i="93" s="1"/>
  <c r="AM578" i="93"/>
  <c r="AO578" i="93" s="1"/>
  <c r="AM579" i="93"/>
  <c r="AO579" i="93" s="1"/>
  <c r="AM580" i="93"/>
  <c r="AO580" i="93" s="1"/>
  <c r="AM581" i="93"/>
  <c r="AO581" i="93" s="1"/>
  <c r="AM582" i="93"/>
  <c r="AO582" i="93" s="1"/>
  <c r="AM583" i="93"/>
  <c r="AO583" i="93" s="1"/>
  <c r="AM584" i="93"/>
  <c r="AO584" i="93" s="1"/>
  <c r="AM585" i="93"/>
  <c r="AM586" i="93"/>
  <c r="AO586" i="93" s="1"/>
  <c r="AM587" i="93"/>
  <c r="AO587" i="93" s="1"/>
  <c r="AM588" i="93"/>
  <c r="AO588" i="93" s="1"/>
  <c r="AM589" i="93"/>
  <c r="AO589" i="93" s="1"/>
  <c r="AM590" i="93"/>
  <c r="AO590" i="93" s="1"/>
  <c r="AM591" i="93"/>
  <c r="AO591" i="93" s="1"/>
  <c r="AM592" i="93"/>
  <c r="AO592" i="93" s="1"/>
  <c r="AM593" i="93"/>
  <c r="AO593" i="93" s="1"/>
  <c r="AM594" i="93"/>
  <c r="AO594" i="93" s="1"/>
  <c r="AM595" i="93"/>
  <c r="AO595" i="93" s="1"/>
  <c r="AM596" i="93"/>
  <c r="AO596" i="93" s="1"/>
  <c r="AM597" i="93"/>
  <c r="AO597" i="93" s="1"/>
  <c r="AM598" i="93"/>
  <c r="AO598" i="93" s="1"/>
  <c r="AM599" i="93"/>
  <c r="AO599" i="93" s="1"/>
  <c r="AM600" i="93"/>
  <c r="AO600" i="93" s="1"/>
  <c r="AM601" i="93"/>
  <c r="AM602" i="93"/>
  <c r="AO602" i="93" s="1"/>
  <c r="AM603" i="93"/>
  <c r="AO603" i="93" s="1"/>
  <c r="AM604" i="93"/>
  <c r="AO604" i="93" s="1"/>
  <c r="AM605" i="93"/>
  <c r="AO605" i="93" s="1"/>
  <c r="AM606" i="93"/>
  <c r="AO606" i="93" s="1"/>
  <c r="AM607" i="93"/>
  <c r="AO607" i="93" s="1"/>
  <c r="AM608" i="93"/>
  <c r="AO608" i="93" s="1"/>
  <c r="AM609" i="93"/>
  <c r="AO609" i="93" s="1"/>
  <c r="AM610" i="93"/>
  <c r="AO610" i="93" s="1"/>
  <c r="AM611" i="93"/>
  <c r="AO611" i="93" s="1"/>
  <c r="AM612" i="93"/>
  <c r="AO612" i="93" s="1"/>
  <c r="AM613" i="93"/>
  <c r="AO613" i="93" s="1"/>
  <c r="AM614" i="93"/>
  <c r="AO614" i="93" s="1"/>
  <c r="AM615" i="93"/>
  <c r="AO615" i="93" s="1"/>
  <c r="AM616" i="93"/>
  <c r="AO616" i="93" s="1"/>
  <c r="AM617" i="93"/>
  <c r="AM618" i="93"/>
  <c r="AO618" i="93" s="1"/>
  <c r="AM619" i="93"/>
  <c r="AO619" i="93" s="1"/>
  <c r="AM620" i="93"/>
  <c r="AO620" i="93" s="1"/>
  <c r="AM621" i="93"/>
  <c r="AO621" i="93" s="1"/>
  <c r="AM622" i="93"/>
  <c r="AO622" i="93" s="1"/>
  <c r="AM623" i="93"/>
  <c r="AO623" i="93" s="1"/>
  <c r="AM624" i="93"/>
  <c r="AO624" i="93" s="1"/>
  <c r="AM625" i="93"/>
  <c r="AO625" i="93" s="1"/>
  <c r="AM626" i="93"/>
  <c r="AO626" i="93" s="1"/>
  <c r="AM627" i="93"/>
  <c r="AO627" i="93" s="1"/>
  <c r="AM628" i="93"/>
  <c r="AO628" i="93" s="1"/>
  <c r="AM629" i="93"/>
  <c r="AO629" i="93" s="1"/>
  <c r="AM630" i="93"/>
  <c r="AO630" i="93" s="1"/>
  <c r="AM631" i="93"/>
  <c r="AO631" i="93" s="1"/>
  <c r="AM632" i="93"/>
  <c r="AO632" i="93" s="1"/>
  <c r="AM633" i="93"/>
  <c r="AM634" i="93"/>
  <c r="AO634" i="93" s="1"/>
  <c r="AM635" i="93"/>
  <c r="AO635" i="93" s="1"/>
  <c r="AM636" i="93"/>
  <c r="AO636" i="93" s="1"/>
  <c r="AM637" i="93"/>
  <c r="AO637" i="93" s="1"/>
  <c r="AM638" i="93"/>
  <c r="AO638" i="93" s="1"/>
  <c r="AM639" i="93"/>
  <c r="AO639" i="93" s="1"/>
  <c r="AM640" i="93"/>
  <c r="AO640" i="93" s="1"/>
  <c r="AM641" i="93"/>
  <c r="AO641" i="93" s="1"/>
  <c r="AM642" i="93"/>
  <c r="AO642" i="93" s="1"/>
  <c r="AM643" i="93"/>
  <c r="AO643" i="93" s="1"/>
  <c r="AM644" i="93"/>
  <c r="AO644" i="93" s="1"/>
  <c r="AM645" i="93"/>
  <c r="AO645" i="93" s="1"/>
  <c r="AM646" i="93"/>
  <c r="AO646" i="93" s="1"/>
  <c r="AM647" i="93"/>
  <c r="AO647" i="93" s="1"/>
  <c r="AM648" i="93"/>
  <c r="AO648" i="93" s="1"/>
  <c r="AM649" i="93"/>
  <c r="AM650" i="93"/>
  <c r="AO650" i="93" s="1"/>
  <c r="AM651" i="93"/>
  <c r="AO651" i="93" s="1"/>
  <c r="AM652" i="93"/>
  <c r="AO652" i="93" s="1"/>
  <c r="AM653" i="93"/>
  <c r="AO653" i="93" s="1"/>
  <c r="AM654" i="93"/>
  <c r="AO654" i="93" s="1"/>
  <c r="AM655" i="93"/>
  <c r="AO655" i="93" s="1"/>
  <c r="AM656" i="93"/>
  <c r="AO656" i="93" s="1"/>
  <c r="AM657" i="93"/>
  <c r="AO657" i="93" s="1"/>
  <c r="AM658" i="93"/>
  <c r="AO658" i="93" s="1"/>
  <c r="AM659" i="93"/>
  <c r="AO659" i="93" s="1"/>
  <c r="AM660" i="93"/>
  <c r="AO660" i="93" s="1"/>
  <c r="AM661" i="93"/>
  <c r="AO661" i="93" s="1"/>
  <c r="AM662" i="93"/>
  <c r="AO662" i="93" s="1"/>
  <c r="AM663" i="93"/>
  <c r="AO663" i="93" s="1"/>
  <c r="AM664" i="93"/>
  <c r="AO664" i="93" s="1"/>
  <c r="AM665" i="93"/>
  <c r="AM666" i="93"/>
  <c r="AO666" i="93" s="1"/>
  <c r="AM667" i="93"/>
  <c r="AO667" i="93" s="1"/>
  <c r="AM668" i="93"/>
  <c r="AO668" i="93" s="1"/>
  <c r="AM669" i="93"/>
  <c r="AO669" i="93" s="1"/>
  <c r="AM670" i="93"/>
  <c r="AO670" i="93" s="1"/>
  <c r="AM671" i="93"/>
  <c r="AO671" i="93" s="1"/>
  <c r="AM672" i="93"/>
  <c r="AO672" i="93" s="1"/>
  <c r="AM673" i="93"/>
  <c r="AO673" i="93" s="1"/>
  <c r="AM674" i="93"/>
  <c r="AO674" i="93" s="1"/>
  <c r="AM675" i="93"/>
  <c r="AO675" i="93" s="1"/>
  <c r="AM676" i="93"/>
  <c r="AO676" i="93" s="1"/>
  <c r="AM677" i="93"/>
  <c r="AO677" i="93" s="1"/>
  <c r="AM678" i="93"/>
  <c r="AO678" i="93" s="1"/>
  <c r="AM679" i="93"/>
  <c r="AO679" i="93" s="1"/>
  <c r="AM680" i="93"/>
  <c r="AO680" i="93" s="1"/>
  <c r="AM681" i="93"/>
  <c r="AM682" i="93"/>
  <c r="AO682" i="93" s="1"/>
  <c r="AM683" i="93"/>
  <c r="AO683" i="93" s="1"/>
  <c r="AM684" i="93"/>
  <c r="AO684" i="93" s="1"/>
  <c r="AM685" i="93"/>
  <c r="AO685" i="93" s="1"/>
  <c r="AM686" i="93"/>
  <c r="AO686" i="93" s="1"/>
  <c r="AM687" i="93"/>
  <c r="AO687" i="93" s="1"/>
  <c r="AM688" i="93"/>
  <c r="AO688" i="93" s="1"/>
  <c r="AM689" i="93"/>
  <c r="AO689" i="93" s="1"/>
  <c r="AM690" i="93"/>
  <c r="AO690" i="93" s="1"/>
  <c r="AM691" i="93"/>
  <c r="AO691" i="93" s="1"/>
  <c r="AM692" i="93"/>
  <c r="AO692" i="93" s="1"/>
  <c r="AM693" i="93"/>
  <c r="AM694" i="93"/>
  <c r="AO694" i="93" s="1"/>
  <c r="AM695" i="93"/>
  <c r="AO695" i="93" s="1"/>
  <c r="AM696" i="93"/>
  <c r="AO696" i="93" s="1"/>
  <c r="AM697" i="93"/>
  <c r="AO697" i="93" s="1"/>
  <c r="AM698" i="93"/>
  <c r="AO698" i="93" s="1"/>
  <c r="AM699" i="93"/>
  <c r="AO699" i="93" s="1"/>
  <c r="AM700" i="93"/>
  <c r="AO700" i="93" s="1"/>
  <c r="AM701" i="93"/>
  <c r="AM702" i="93"/>
  <c r="AO702" i="93" s="1"/>
  <c r="AM703" i="93"/>
  <c r="AO703" i="93" s="1"/>
  <c r="AM704" i="93"/>
  <c r="AO704" i="93" s="1"/>
  <c r="AM705" i="93"/>
  <c r="AO705" i="93" s="1"/>
  <c r="AM706" i="93"/>
  <c r="AO706" i="93" s="1"/>
  <c r="AM707" i="93"/>
  <c r="AO707" i="93" s="1"/>
  <c r="AM708" i="93"/>
  <c r="AO708" i="93" s="1"/>
  <c r="AM709" i="93"/>
  <c r="AM710" i="93"/>
  <c r="AO710" i="93" s="1"/>
  <c r="AM711" i="93"/>
  <c r="AO711" i="93" s="1"/>
  <c r="AM712" i="93"/>
  <c r="AO712" i="93" s="1"/>
  <c r="AM713" i="93"/>
  <c r="AO713" i="93" s="1"/>
  <c r="AM714" i="93"/>
  <c r="AO714" i="93" s="1"/>
  <c r="AM715" i="93"/>
  <c r="AO715" i="93" s="1"/>
  <c r="AM716" i="93"/>
  <c r="AO716" i="93" s="1"/>
  <c r="AM717" i="93"/>
  <c r="AM718" i="93"/>
  <c r="AO718" i="93" s="1"/>
  <c r="AM719" i="93"/>
  <c r="AO719" i="93" s="1"/>
  <c r="AM720" i="93"/>
  <c r="AO720" i="93" s="1"/>
  <c r="AM721" i="93"/>
  <c r="AO721" i="93" s="1"/>
  <c r="AM722" i="93"/>
  <c r="AO722" i="93" s="1"/>
  <c r="AM723" i="93"/>
  <c r="AO723" i="93" s="1"/>
  <c r="AM724" i="93"/>
  <c r="AO724" i="93" s="1"/>
  <c r="AM725" i="93"/>
  <c r="AM726" i="93"/>
  <c r="AO726" i="93" s="1"/>
  <c r="AM727" i="93"/>
  <c r="AO727" i="93" s="1"/>
  <c r="AM728" i="93"/>
  <c r="AO728" i="93" s="1"/>
  <c r="AM729" i="93"/>
  <c r="AO729" i="93" s="1"/>
  <c r="AM730" i="93"/>
  <c r="AO730" i="93" s="1"/>
  <c r="AM731" i="93"/>
  <c r="AO731" i="93" s="1"/>
  <c r="AM732" i="93"/>
  <c r="AO732" i="93" s="1"/>
  <c r="AM733" i="93"/>
  <c r="AM734" i="93"/>
  <c r="AO734" i="93" s="1"/>
  <c r="AM735" i="93"/>
  <c r="AO735" i="93" s="1"/>
  <c r="AM736" i="93"/>
  <c r="AO736" i="93" s="1"/>
  <c r="AM737" i="93"/>
  <c r="AO737" i="93" s="1"/>
  <c r="AM738" i="93"/>
  <c r="AO738" i="93" s="1"/>
  <c r="AM739" i="93"/>
  <c r="AO739" i="93" s="1"/>
  <c r="AM740" i="93"/>
  <c r="AO740" i="93" s="1"/>
  <c r="AM741" i="93"/>
  <c r="AM742" i="93"/>
  <c r="AO742" i="93" s="1"/>
  <c r="AM743" i="93"/>
  <c r="AO743" i="93" s="1"/>
  <c r="AM744" i="93"/>
  <c r="AO744" i="93" s="1"/>
  <c r="AM745" i="93"/>
  <c r="AO745" i="93" s="1"/>
  <c r="AM746" i="93"/>
  <c r="AO746" i="93" s="1"/>
  <c r="AM747" i="93"/>
  <c r="AO747" i="93" s="1"/>
  <c r="AM748" i="93"/>
  <c r="AO748" i="93" s="1"/>
  <c r="AM749" i="93"/>
  <c r="AM750" i="93"/>
  <c r="AO750" i="93" s="1"/>
  <c r="AM751" i="93"/>
  <c r="AO751" i="93" s="1"/>
  <c r="AM752" i="93"/>
  <c r="AO752" i="93" s="1"/>
  <c r="AM753" i="93"/>
  <c r="AO753" i="93" s="1"/>
  <c r="AM754" i="93"/>
  <c r="AO754" i="93" s="1"/>
  <c r="AM755" i="93"/>
  <c r="AO755" i="93" s="1"/>
  <c r="AM756" i="93"/>
  <c r="AO756" i="93" s="1"/>
  <c r="AM757" i="93"/>
  <c r="AM758" i="93"/>
  <c r="AO758" i="93" s="1"/>
  <c r="AM759" i="93"/>
  <c r="AO759" i="93" s="1"/>
  <c r="AM760" i="93"/>
  <c r="AO760" i="93" s="1"/>
  <c r="AM761" i="93"/>
  <c r="AO761" i="93" s="1"/>
  <c r="AM762" i="93"/>
  <c r="AO762" i="93" s="1"/>
  <c r="AM763" i="93"/>
  <c r="AO763" i="93" s="1"/>
  <c r="AM764" i="93"/>
  <c r="AO764" i="93" s="1"/>
  <c r="AM765" i="93"/>
  <c r="AM766" i="93"/>
  <c r="AO766" i="93" s="1"/>
  <c r="AM767" i="93"/>
  <c r="AO767" i="93" s="1"/>
  <c r="AM768" i="93"/>
  <c r="AO768" i="93" s="1"/>
  <c r="AM769" i="93"/>
  <c r="AO769" i="93" s="1"/>
  <c r="AM770" i="93"/>
  <c r="AO770" i="93" s="1"/>
  <c r="AM771" i="93"/>
  <c r="AO771" i="93" s="1"/>
  <c r="AM772" i="93"/>
  <c r="AO772" i="93" s="1"/>
  <c r="AM773" i="93"/>
  <c r="AM774" i="93"/>
  <c r="AO774" i="93" s="1"/>
  <c r="AM775" i="93"/>
  <c r="AO775" i="93" s="1"/>
  <c r="AM776" i="93"/>
  <c r="AO776" i="93" s="1"/>
  <c r="AM777" i="93"/>
  <c r="AO777" i="93" s="1"/>
  <c r="AM778" i="93"/>
  <c r="AO778" i="93" s="1"/>
  <c r="AM779" i="93"/>
  <c r="AO779" i="93" s="1"/>
  <c r="AM780" i="93"/>
  <c r="AO780" i="93" s="1"/>
  <c r="AM781" i="93"/>
  <c r="AM782" i="93"/>
  <c r="AO782" i="93" s="1"/>
  <c r="AM783" i="93"/>
  <c r="AO783" i="93" s="1"/>
  <c r="AM784" i="93"/>
  <c r="AO784" i="93" s="1"/>
  <c r="AM785" i="93"/>
  <c r="AO785" i="93" s="1"/>
  <c r="AM786" i="93"/>
  <c r="AO786" i="93" s="1"/>
  <c r="AM787" i="93"/>
  <c r="AO787" i="93" s="1"/>
  <c r="AM788" i="93"/>
  <c r="AO788" i="93" s="1"/>
  <c r="AM789" i="93"/>
  <c r="AM790" i="93"/>
  <c r="AO790" i="93" s="1"/>
  <c r="AM791" i="93"/>
  <c r="AO791" i="93" s="1"/>
  <c r="AM792" i="93"/>
  <c r="AO792" i="93" s="1"/>
  <c r="AM793" i="93"/>
  <c r="AO793" i="93" s="1"/>
  <c r="AM794" i="93"/>
  <c r="AO794" i="93" s="1"/>
  <c r="AM795" i="93"/>
  <c r="AO795" i="93" s="1"/>
  <c r="AM796" i="93"/>
  <c r="AO796" i="93" s="1"/>
  <c r="AM797" i="93"/>
  <c r="AM798" i="93"/>
  <c r="AO798" i="93" s="1"/>
  <c r="AM799" i="93"/>
  <c r="AO799" i="93" s="1"/>
  <c r="AM800" i="93"/>
  <c r="AO800" i="93" s="1"/>
  <c r="AM801" i="93"/>
  <c r="AO801" i="93" s="1"/>
  <c r="AM802" i="93"/>
  <c r="AO802" i="93" s="1"/>
  <c r="AM803" i="93"/>
  <c r="AO803" i="93" s="1"/>
  <c r="AM804" i="93"/>
  <c r="AO804" i="93" s="1"/>
  <c r="AM805" i="93"/>
  <c r="AM806" i="93"/>
  <c r="AO806" i="93" s="1"/>
  <c r="AM807" i="93"/>
  <c r="AO807" i="93" s="1"/>
  <c r="AM808" i="93"/>
  <c r="AO808" i="93" s="1"/>
  <c r="AM809" i="93"/>
  <c r="AO809" i="93" s="1"/>
  <c r="AM810" i="93"/>
  <c r="AO810" i="93" s="1"/>
  <c r="AM811" i="93"/>
  <c r="AO811" i="93" s="1"/>
  <c r="AM812" i="93"/>
  <c r="AO812" i="93" s="1"/>
  <c r="AM813" i="93"/>
  <c r="AM814" i="93"/>
  <c r="AO814" i="93" s="1"/>
  <c r="AM815" i="93"/>
  <c r="AO815" i="93" s="1"/>
  <c r="AM816" i="93"/>
  <c r="AO816" i="93" s="1"/>
  <c r="AM817" i="93"/>
  <c r="AO817" i="93" s="1"/>
  <c r="AM818" i="93"/>
  <c r="AO818" i="93" s="1"/>
  <c r="AM819" i="93"/>
  <c r="AO819" i="93" s="1"/>
  <c r="AM820" i="93"/>
  <c r="AO820" i="93" s="1"/>
  <c r="AM821" i="93"/>
  <c r="AM822" i="93"/>
  <c r="AO822" i="93" s="1"/>
  <c r="AM823" i="93"/>
  <c r="AO823" i="93" s="1"/>
  <c r="AM824" i="93"/>
  <c r="AO824" i="93" s="1"/>
  <c r="AM825" i="93"/>
  <c r="AO825" i="93" s="1"/>
  <c r="AM826" i="93"/>
  <c r="AO826" i="93" s="1"/>
  <c r="AM827" i="93"/>
  <c r="AO827" i="93" s="1"/>
  <c r="AM828" i="93"/>
  <c r="AO828" i="93" s="1"/>
  <c r="AM829" i="93"/>
  <c r="AM830" i="93"/>
  <c r="AO830" i="93" s="1"/>
  <c r="AM831" i="93"/>
  <c r="AO831" i="93" s="1"/>
  <c r="AM832" i="93"/>
  <c r="AO832" i="93" s="1"/>
  <c r="AM833" i="93"/>
  <c r="AO833" i="93" s="1"/>
  <c r="AM834" i="93"/>
  <c r="AO834" i="93" s="1"/>
  <c r="AM835" i="93"/>
  <c r="AO835" i="93" s="1"/>
  <c r="AM836" i="93"/>
  <c r="AO836" i="93" s="1"/>
  <c r="AM837" i="93"/>
  <c r="AM838" i="93"/>
  <c r="AO838" i="93" s="1"/>
  <c r="AM839" i="93"/>
  <c r="AO839" i="93" s="1"/>
  <c r="AM840" i="93"/>
  <c r="AO840" i="93" s="1"/>
  <c r="AM841" i="93"/>
  <c r="AO841" i="93" s="1"/>
  <c r="AM842" i="93"/>
  <c r="AO842" i="93" s="1"/>
  <c r="AM843" i="93"/>
  <c r="AO843" i="93" s="1"/>
  <c r="AM844" i="93"/>
  <c r="AO844" i="93" s="1"/>
  <c r="AM845" i="93"/>
  <c r="AM846" i="93"/>
  <c r="AO846" i="93" s="1"/>
  <c r="AM847" i="93"/>
  <c r="AO847" i="93" s="1"/>
  <c r="AM848" i="93"/>
  <c r="AO848" i="93" s="1"/>
  <c r="AM849" i="93"/>
  <c r="AO849" i="93" s="1"/>
  <c r="AM850" i="93"/>
  <c r="AO850" i="93" s="1"/>
  <c r="AM851" i="93"/>
  <c r="AO851" i="93" s="1"/>
  <c r="AM852" i="93"/>
  <c r="AO852" i="93" s="1"/>
  <c r="AM853" i="93"/>
  <c r="AM854" i="93"/>
  <c r="AO854" i="93" s="1"/>
  <c r="AM855" i="93"/>
  <c r="AO855" i="93" s="1"/>
  <c r="AM856" i="93"/>
  <c r="AO856" i="93" s="1"/>
  <c r="AM857" i="93"/>
  <c r="AO857" i="93" s="1"/>
  <c r="AM858" i="93"/>
  <c r="AO858" i="93" s="1"/>
  <c r="AM859" i="93"/>
  <c r="AO859" i="93" s="1"/>
  <c r="AM860" i="93"/>
  <c r="AO860" i="93" s="1"/>
  <c r="AM861" i="93"/>
  <c r="AM862" i="93"/>
  <c r="AO862" i="93" s="1"/>
  <c r="AM863" i="93"/>
  <c r="AO863" i="93" s="1"/>
  <c r="AM864" i="93"/>
  <c r="AO864" i="93" s="1"/>
  <c r="AM865" i="93"/>
  <c r="AO865" i="93" s="1"/>
  <c r="AM866" i="93"/>
  <c r="AO866" i="93" s="1"/>
  <c r="AM867" i="93"/>
  <c r="AO867" i="93" s="1"/>
  <c r="AM868" i="93"/>
  <c r="AO868" i="93" s="1"/>
  <c r="AM869" i="93"/>
  <c r="AM870" i="93"/>
  <c r="AO870" i="93" s="1"/>
  <c r="AM871" i="93"/>
  <c r="AO871" i="93" s="1"/>
  <c r="AM872" i="93"/>
  <c r="AO872" i="93" s="1"/>
  <c r="AM873" i="93"/>
  <c r="AO873" i="93" s="1"/>
  <c r="AM874" i="93"/>
  <c r="AO874" i="93" s="1"/>
  <c r="AM875" i="93"/>
  <c r="AO875" i="93" s="1"/>
  <c r="AM876" i="93"/>
  <c r="AO876" i="93" s="1"/>
  <c r="AM877" i="93"/>
  <c r="AM878" i="93"/>
  <c r="AO878" i="93" s="1"/>
  <c r="AM879" i="93"/>
  <c r="AO879" i="93" s="1"/>
  <c r="AM880" i="93"/>
  <c r="AO880" i="93" s="1"/>
  <c r="AM881" i="93"/>
  <c r="AO881" i="93" s="1"/>
  <c r="AM882" i="93"/>
  <c r="AO882" i="93" s="1"/>
  <c r="AM883" i="93"/>
  <c r="AO883" i="93" s="1"/>
  <c r="AM884" i="93"/>
  <c r="AO884" i="93" s="1"/>
  <c r="AM885" i="93"/>
  <c r="AM886" i="93"/>
  <c r="AO886" i="93" s="1"/>
  <c r="AM887" i="93"/>
  <c r="AO887" i="93" s="1"/>
  <c r="AM888" i="93"/>
  <c r="AO888" i="93" s="1"/>
  <c r="AM889" i="93"/>
  <c r="AO889" i="93" s="1"/>
  <c r="AM890" i="93"/>
  <c r="AO890" i="93" s="1"/>
  <c r="AM891" i="93"/>
  <c r="AO891" i="93" s="1"/>
  <c r="AM892" i="93"/>
  <c r="AO892" i="93" s="1"/>
  <c r="AM893" i="93"/>
  <c r="AM894" i="93"/>
  <c r="AO894" i="93" s="1"/>
  <c r="AM895" i="93"/>
  <c r="AO895" i="93" s="1"/>
  <c r="AM896" i="93"/>
  <c r="AO896" i="93" s="1"/>
  <c r="AM897" i="93"/>
  <c r="AO897" i="93" s="1"/>
  <c r="AM898" i="93"/>
  <c r="AO898" i="93" s="1"/>
  <c r="AM899" i="93"/>
  <c r="AO899" i="93" s="1"/>
  <c r="AM900" i="93"/>
  <c r="AO900" i="93" s="1"/>
  <c r="AM901" i="93"/>
  <c r="AM902" i="93"/>
  <c r="AO902" i="93" s="1"/>
  <c r="AM903" i="93"/>
  <c r="AO903" i="93" s="1"/>
  <c r="AM904" i="93"/>
  <c r="AO904" i="93" s="1"/>
  <c r="AM905" i="93"/>
  <c r="AO905" i="93" s="1"/>
  <c r="AM906" i="93"/>
  <c r="AO906" i="93" s="1"/>
  <c r="AM907" i="93"/>
  <c r="AO907" i="93" s="1"/>
  <c r="AM908" i="93"/>
  <c r="AO908" i="93" s="1"/>
  <c r="AM909" i="93"/>
  <c r="AM910" i="93"/>
  <c r="AO910" i="93" s="1"/>
  <c r="AM911" i="93"/>
  <c r="AO911" i="93" s="1"/>
  <c r="AM912" i="93"/>
  <c r="AO912" i="93" s="1"/>
  <c r="AM913" i="93"/>
  <c r="AO913" i="93" s="1"/>
  <c r="AM914" i="93"/>
  <c r="AO914" i="93" s="1"/>
  <c r="AM915" i="93"/>
  <c r="AO915" i="93" s="1"/>
  <c r="AM916" i="93"/>
  <c r="AO916" i="93" s="1"/>
  <c r="AM917" i="93"/>
  <c r="AM918" i="93"/>
  <c r="AO918" i="93" s="1"/>
  <c r="AM919" i="93"/>
  <c r="AO919" i="93" s="1"/>
  <c r="AM920" i="93"/>
  <c r="AO920" i="93" s="1"/>
  <c r="AM921" i="93"/>
  <c r="AO921" i="93" s="1"/>
  <c r="AM922" i="93"/>
  <c r="AO922" i="93" s="1"/>
  <c r="AM923" i="93"/>
  <c r="AO923" i="93" s="1"/>
  <c r="AM924" i="93"/>
  <c r="AO924" i="93" s="1"/>
  <c r="AM925" i="93"/>
  <c r="AM926" i="93"/>
  <c r="AO926" i="93" s="1"/>
  <c r="AM927" i="93"/>
  <c r="AO927" i="93" s="1"/>
  <c r="AM928" i="93"/>
  <c r="AO928" i="93" s="1"/>
  <c r="AM929" i="93"/>
  <c r="AO929" i="93" s="1"/>
  <c r="AM930" i="93"/>
  <c r="AO930" i="93" s="1"/>
  <c r="AM931" i="93"/>
  <c r="AO931" i="93" s="1"/>
  <c r="AM932" i="93"/>
  <c r="AO932" i="93" s="1"/>
  <c r="AM933" i="93"/>
  <c r="AM934" i="93"/>
  <c r="AO934" i="93" s="1"/>
  <c r="AM935" i="93"/>
  <c r="AO935" i="93" s="1"/>
  <c r="AM936" i="93"/>
  <c r="AO936" i="93" s="1"/>
  <c r="AM937" i="93"/>
  <c r="AO937" i="93" s="1"/>
  <c r="AM938" i="93"/>
  <c r="AO938" i="93" s="1"/>
  <c r="AM939" i="93"/>
  <c r="AO939" i="93" s="1"/>
  <c r="AM940" i="93"/>
  <c r="AO940" i="93" s="1"/>
  <c r="AM941" i="93"/>
  <c r="AM942" i="93"/>
  <c r="AO942" i="93" s="1"/>
  <c r="AM943" i="93"/>
  <c r="AO943" i="93" s="1"/>
  <c r="AM944" i="93"/>
  <c r="AO944" i="93" s="1"/>
  <c r="AM945" i="93"/>
  <c r="AO945" i="93" s="1"/>
  <c r="AM946" i="93"/>
  <c r="AO946" i="93" s="1"/>
  <c r="AM947" i="93"/>
  <c r="AO947" i="93" s="1"/>
  <c r="AM948" i="93"/>
  <c r="AO948" i="93" s="1"/>
  <c r="AM949" i="93"/>
  <c r="AM950" i="93"/>
  <c r="AO950" i="93" s="1"/>
  <c r="AM951" i="93"/>
  <c r="AO951" i="93" s="1"/>
  <c r="AM952" i="93"/>
  <c r="AO952" i="93" s="1"/>
  <c r="AM953" i="93"/>
  <c r="AO953" i="93" s="1"/>
  <c r="AM954" i="93"/>
  <c r="AO954" i="93" s="1"/>
  <c r="AM955" i="93"/>
  <c r="AO955" i="93" s="1"/>
  <c r="AM956" i="93"/>
  <c r="AO956" i="93" s="1"/>
  <c r="AM957" i="93"/>
  <c r="AM958" i="93"/>
  <c r="AO958" i="93" s="1"/>
  <c r="AM959" i="93"/>
  <c r="AO959" i="93" s="1"/>
  <c r="AM960" i="93"/>
  <c r="AO960" i="93" s="1"/>
  <c r="AM961" i="93"/>
  <c r="AO961" i="93" s="1"/>
  <c r="AM962" i="93"/>
  <c r="AO962" i="93" s="1"/>
  <c r="AM963" i="93"/>
  <c r="AO963" i="93" s="1"/>
  <c r="AM964" i="93"/>
  <c r="AO964" i="93" s="1"/>
  <c r="AM965" i="93"/>
  <c r="AM966" i="93"/>
  <c r="AO966" i="93" s="1"/>
  <c r="AM967" i="93"/>
  <c r="AO967" i="93" s="1"/>
  <c r="AM968" i="93"/>
  <c r="AO968" i="93" s="1"/>
  <c r="AM969" i="93"/>
  <c r="AO969" i="93" s="1"/>
  <c r="AM970" i="93"/>
  <c r="AO970" i="93" s="1"/>
  <c r="AM971" i="93"/>
  <c r="AO971" i="93" s="1"/>
  <c r="AM972" i="93"/>
  <c r="AO972" i="93" s="1"/>
  <c r="AM973" i="93"/>
  <c r="AM974" i="93"/>
  <c r="AO974" i="93" s="1"/>
  <c r="AM975" i="93"/>
  <c r="AO975" i="93" s="1"/>
  <c r="AM976" i="93"/>
  <c r="AO976" i="93" s="1"/>
  <c r="AM977" i="93"/>
  <c r="AO977" i="93" s="1"/>
  <c r="AM978" i="93"/>
  <c r="AO978" i="93" s="1"/>
  <c r="AM979" i="93"/>
  <c r="AO979" i="93" s="1"/>
  <c r="AM980" i="93"/>
  <c r="AO980" i="93" s="1"/>
  <c r="AM981" i="93"/>
  <c r="AM982" i="93"/>
  <c r="AO982" i="93" s="1"/>
  <c r="AM983" i="93"/>
  <c r="AO983" i="93" s="1"/>
  <c r="AM984" i="93"/>
  <c r="AO984" i="93" s="1"/>
  <c r="AM985" i="93"/>
  <c r="AO985" i="93" s="1"/>
  <c r="AM986" i="93"/>
  <c r="AO986" i="93" s="1"/>
  <c r="AM987" i="93"/>
  <c r="AO987" i="93" s="1"/>
  <c r="AM988" i="93"/>
  <c r="AO988" i="93" s="1"/>
  <c r="AM989" i="93"/>
  <c r="AM990" i="93"/>
  <c r="AO990" i="93" s="1"/>
  <c r="AM991" i="93"/>
  <c r="AO991" i="93" s="1"/>
  <c r="AM992" i="93"/>
  <c r="AO992" i="93" s="1"/>
  <c r="AM993" i="93"/>
  <c r="AO993" i="93" s="1"/>
  <c r="AM994" i="93"/>
  <c r="AO994" i="93" s="1"/>
  <c r="AM995" i="93"/>
  <c r="AO995" i="93" s="1"/>
  <c r="AM996" i="93"/>
  <c r="AO996" i="93" s="1"/>
  <c r="AM997" i="93"/>
  <c r="AM998" i="93"/>
  <c r="AO998" i="93" s="1"/>
  <c r="AM999" i="93"/>
  <c r="AO999" i="93" s="1"/>
  <c r="AM1000" i="93"/>
  <c r="AO1000" i="93" s="1"/>
  <c r="AM1001" i="93"/>
  <c r="AO1001" i="93" s="1"/>
  <c r="AM1002" i="93"/>
  <c r="AO1002" i="93" s="1"/>
  <c r="AM1003" i="93"/>
  <c r="AO1003" i="93" s="1"/>
  <c r="AM1004" i="93"/>
  <c r="AO1004" i="93" s="1"/>
  <c r="AM1005" i="93"/>
  <c r="AM1006" i="93"/>
  <c r="AO1006" i="93" s="1"/>
  <c r="AM1007" i="93"/>
  <c r="AO1007" i="93" s="1"/>
  <c r="AM1008" i="93"/>
  <c r="AO1008" i="93" s="1"/>
  <c r="AM1009" i="93"/>
  <c r="AO1009" i="93" s="1"/>
  <c r="AM1010" i="93"/>
  <c r="AO1010" i="93" s="1"/>
  <c r="AM1011" i="93"/>
  <c r="AO1011" i="93" s="1"/>
  <c r="AM1012" i="93"/>
  <c r="AO1012" i="93" s="1"/>
  <c r="AM1013" i="93"/>
  <c r="AM1014" i="93"/>
  <c r="AO1014" i="93" s="1"/>
  <c r="AM1015" i="93"/>
  <c r="AO1015" i="93" s="1"/>
  <c r="AM1016" i="93"/>
  <c r="AO1016" i="93" s="1"/>
  <c r="AM1017" i="93"/>
  <c r="AO1017" i="93" s="1"/>
  <c r="AM1018" i="93"/>
  <c r="AO1018" i="93" s="1"/>
  <c r="AM1019" i="93"/>
  <c r="AO1019" i="93" s="1"/>
  <c r="AM1020" i="93"/>
  <c r="AO1020" i="93" s="1"/>
  <c r="AM1021" i="93"/>
  <c r="AM1022" i="93"/>
  <c r="AO1022" i="93" s="1"/>
  <c r="AM1023" i="93"/>
  <c r="AO1023" i="93" s="1"/>
  <c r="AM1024" i="93"/>
  <c r="AO1024" i="93" s="1"/>
  <c r="AM1025" i="93"/>
  <c r="AO1025" i="93" s="1"/>
  <c r="AM1026" i="93"/>
  <c r="AO1026" i="93" s="1"/>
  <c r="AM1027" i="93"/>
  <c r="AO1027" i="93" s="1"/>
  <c r="AM1028" i="93"/>
  <c r="AO1028" i="93" s="1"/>
  <c r="AM1029" i="93"/>
  <c r="AM1030" i="93"/>
  <c r="AO1030" i="93" s="1"/>
  <c r="AM1031" i="93"/>
  <c r="AO1031" i="93" s="1"/>
  <c r="AM1032" i="93"/>
  <c r="AO1032" i="93" s="1"/>
  <c r="AM1033" i="93"/>
  <c r="AO1033" i="93" s="1"/>
  <c r="AM1034" i="93"/>
  <c r="AO1034" i="93" s="1"/>
  <c r="AM1035" i="93"/>
  <c r="AO1035" i="93" s="1"/>
  <c r="AM1036" i="93"/>
  <c r="AO1036" i="93" s="1"/>
  <c r="AM1037" i="93"/>
  <c r="AM1038" i="93"/>
  <c r="AO1038" i="93" s="1"/>
  <c r="AM1039" i="93"/>
  <c r="AO1039" i="93" s="1"/>
  <c r="AM1040" i="93"/>
  <c r="AO1040" i="93" s="1"/>
  <c r="AM1041" i="93"/>
  <c r="AO1041" i="93" s="1"/>
  <c r="AM1042" i="93"/>
  <c r="AO1042" i="93" s="1"/>
  <c r="AM1043" i="93"/>
  <c r="AO1043" i="93" s="1"/>
  <c r="AM1044" i="93"/>
  <c r="AO1044" i="93" s="1"/>
  <c r="AM1045" i="93"/>
  <c r="AM1046" i="93"/>
  <c r="AO1046" i="93" s="1"/>
  <c r="AM1047" i="93"/>
  <c r="AO1047" i="93" s="1"/>
  <c r="AM1048" i="93"/>
  <c r="AO1048" i="93" s="1"/>
  <c r="AM1049" i="93"/>
  <c r="AO1049" i="93" s="1"/>
  <c r="AM1050" i="93"/>
  <c r="AO1050" i="93" s="1"/>
  <c r="AM1051" i="93"/>
  <c r="AO1051" i="93" s="1"/>
  <c r="AM1052" i="93"/>
  <c r="AO1052" i="93" s="1"/>
  <c r="AM1053" i="93"/>
  <c r="AM1054" i="93"/>
  <c r="AO1054" i="93" s="1"/>
  <c r="AM1055" i="93"/>
  <c r="AO1055" i="93" s="1"/>
  <c r="AM1056" i="93"/>
  <c r="AO1056" i="93" s="1"/>
  <c r="AM1057" i="93"/>
  <c r="AO1057" i="93" s="1"/>
  <c r="AM1058" i="93"/>
  <c r="AO1058" i="93" s="1"/>
  <c r="AM1059" i="93"/>
  <c r="AO1059" i="93" s="1"/>
  <c r="AM1060" i="93"/>
  <c r="AO1060" i="93" s="1"/>
  <c r="AM1061" i="93"/>
  <c r="AM1062" i="93"/>
  <c r="AO1062" i="93" s="1"/>
  <c r="AM1063" i="93"/>
  <c r="AO1063" i="93" s="1"/>
  <c r="AM1064" i="93"/>
  <c r="AO1064" i="93" s="1"/>
  <c r="AM1065" i="93"/>
  <c r="AO1065" i="93" s="1"/>
  <c r="AM1066" i="93"/>
  <c r="AO1066" i="93" s="1"/>
  <c r="AM1067" i="93"/>
  <c r="AO1067" i="93" s="1"/>
  <c r="AM1068" i="93"/>
  <c r="AO1068" i="93" s="1"/>
  <c r="AM1069" i="93"/>
  <c r="AM1070" i="93"/>
  <c r="AO1070" i="93" s="1"/>
  <c r="AM1071" i="93"/>
  <c r="AO1071" i="93" s="1"/>
  <c r="AM1072" i="93"/>
  <c r="AO1072" i="93" s="1"/>
  <c r="AM1073" i="93"/>
  <c r="AO1073" i="93" s="1"/>
  <c r="AM1074" i="93"/>
  <c r="AO1074" i="93" s="1"/>
  <c r="AM1075" i="93"/>
  <c r="AO1075" i="93" s="1"/>
  <c r="AM1076" i="93"/>
  <c r="AO1076" i="93" s="1"/>
  <c r="AM1077" i="93"/>
  <c r="AM1078" i="93"/>
  <c r="AO1078" i="93" s="1"/>
  <c r="AM1079" i="93"/>
  <c r="AO1079" i="93" s="1"/>
  <c r="AM1080" i="93"/>
  <c r="AO1080" i="93" s="1"/>
  <c r="AM1081" i="93"/>
  <c r="AO1081" i="93" s="1"/>
  <c r="AM1082" i="93"/>
  <c r="AO1082" i="93" s="1"/>
  <c r="AM1083" i="93"/>
  <c r="AO1083" i="93" s="1"/>
  <c r="AM1084" i="93"/>
  <c r="AO1084" i="93" s="1"/>
  <c r="AM1085" i="93"/>
  <c r="AM1086" i="93"/>
  <c r="AO1086" i="93" s="1"/>
  <c r="AM1087" i="93"/>
  <c r="AO1087" i="93" s="1"/>
  <c r="AM1088" i="93"/>
  <c r="AO1088" i="93" s="1"/>
  <c r="AM1089" i="93"/>
  <c r="AO1089" i="93" s="1"/>
  <c r="AM1090" i="93"/>
  <c r="AO1090" i="93" s="1"/>
  <c r="AM1091" i="93"/>
  <c r="AO1091" i="93" s="1"/>
  <c r="AM1092" i="93"/>
  <c r="AO1092" i="93" s="1"/>
  <c r="AM1093" i="93"/>
  <c r="AM1094" i="93"/>
  <c r="AO1094" i="93" s="1"/>
  <c r="AM1095" i="93"/>
  <c r="AO1095" i="93" s="1"/>
  <c r="AM1096" i="93"/>
  <c r="AO1096" i="93" s="1"/>
  <c r="AM1097" i="93"/>
  <c r="AO1097" i="93" s="1"/>
  <c r="AM1098" i="93"/>
  <c r="AO1098" i="93" s="1"/>
  <c r="AM1099" i="93"/>
  <c r="AO1099" i="93" s="1"/>
  <c r="AM1100" i="93"/>
  <c r="AO1100" i="93" s="1"/>
  <c r="AM1101" i="93"/>
  <c r="AM1102" i="93"/>
  <c r="AO1102" i="93" s="1"/>
  <c r="AM1103" i="93"/>
  <c r="AO1103" i="93" s="1"/>
  <c r="AM1104" i="93"/>
  <c r="AO1104" i="93" s="1"/>
  <c r="AM1105" i="93"/>
  <c r="AO1105" i="93" s="1"/>
  <c r="AM1106" i="93"/>
  <c r="AO1106" i="93" s="1"/>
  <c r="AM1107" i="93"/>
  <c r="AO1107" i="93" s="1"/>
  <c r="AM1108" i="93"/>
  <c r="AO1108" i="93" s="1"/>
  <c r="AM1109" i="93"/>
  <c r="AM1110" i="93"/>
  <c r="AO1110" i="93" s="1"/>
  <c r="AM1111" i="93"/>
  <c r="AO1111" i="93" s="1"/>
  <c r="AM1112" i="93"/>
  <c r="AO1112" i="93" s="1"/>
  <c r="AM1113" i="93"/>
  <c r="AO1113" i="93" s="1"/>
  <c r="AM1114" i="93"/>
  <c r="AO1114" i="93" s="1"/>
  <c r="AM1115" i="93"/>
  <c r="AO1115" i="93" s="1"/>
  <c r="AM1116" i="93"/>
  <c r="AO1116" i="93" s="1"/>
  <c r="AM1117" i="93"/>
  <c r="AM1118" i="93"/>
  <c r="AO1118" i="93" s="1"/>
  <c r="AM1119" i="93"/>
  <c r="AO1119" i="93" s="1"/>
  <c r="AM1120" i="93"/>
  <c r="AO1120" i="93" s="1"/>
  <c r="AM1121" i="93"/>
  <c r="AO1121" i="93" s="1"/>
  <c r="AM1122" i="93"/>
  <c r="AO1122" i="93" s="1"/>
  <c r="AM1123" i="93"/>
  <c r="AO1123" i="93" s="1"/>
  <c r="AM1124" i="93"/>
  <c r="AO1124" i="93" s="1"/>
  <c r="AM1125" i="93"/>
  <c r="AO1125" i="93" s="1"/>
  <c r="AM1126" i="93"/>
  <c r="AO1126" i="93" s="1"/>
  <c r="AM1127" i="93"/>
  <c r="AO1127" i="93" s="1"/>
  <c r="AM1128" i="93"/>
  <c r="AO1128" i="93" s="1"/>
  <c r="AM1129" i="93"/>
  <c r="AO1129" i="93" s="1"/>
  <c r="AM1130" i="93"/>
  <c r="AO1130" i="93" s="1"/>
  <c r="AM1131" i="93"/>
  <c r="AO1131" i="93" s="1"/>
  <c r="AM1132" i="93"/>
  <c r="AO1132" i="93" s="1"/>
  <c r="AM1133" i="93"/>
  <c r="AO1133" i="93" s="1"/>
  <c r="AM1134" i="93"/>
  <c r="AO1134" i="93" s="1"/>
  <c r="AM1135" i="93"/>
  <c r="AO1135" i="93" s="1"/>
  <c r="AM1136" i="93"/>
  <c r="AO1136" i="93" s="1"/>
  <c r="AM1137" i="93"/>
  <c r="AO1137" i="93" s="1"/>
  <c r="AM1138" i="93"/>
  <c r="AO1138" i="93" s="1"/>
  <c r="AM1139" i="93"/>
  <c r="AO1139" i="93" s="1"/>
  <c r="AM1140" i="93"/>
  <c r="AO1140" i="93" s="1"/>
  <c r="AM1141" i="93"/>
  <c r="AO1141" i="93" s="1"/>
  <c r="AM1142" i="93"/>
  <c r="AO1142" i="93" s="1"/>
  <c r="AM1143" i="93"/>
  <c r="AO1143" i="93" s="1"/>
  <c r="AM1144" i="93"/>
  <c r="AO1144" i="93" s="1"/>
  <c r="AM1145" i="93"/>
  <c r="AO1145" i="93" s="1"/>
  <c r="AM1146" i="93"/>
  <c r="AO1146" i="93" s="1"/>
  <c r="AM1147" i="93"/>
  <c r="AO1147" i="93" s="1"/>
  <c r="AM1148" i="93"/>
  <c r="AO1148" i="93" s="1"/>
  <c r="AM1149" i="93"/>
  <c r="AO1149" i="93" s="1"/>
  <c r="AM1150" i="93"/>
  <c r="AO1150" i="93" s="1"/>
  <c r="AM1151" i="93"/>
  <c r="AO1151" i="93" s="1"/>
  <c r="AM1152" i="93"/>
  <c r="AO1152" i="93" s="1"/>
  <c r="AM1153" i="93"/>
  <c r="AO1153" i="93" s="1"/>
  <c r="AM1154" i="93"/>
  <c r="AO1154" i="93" s="1"/>
  <c r="AM1155" i="93"/>
  <c r="AO1155" i="93" s="1"/>
  <c r="AM1156" i="93"/>
  <c r="AO1156" i="93" s="1"/>
  <c r="AM1157" i="93"/>
  <c r="AO1157" i="93" s="1"/>
  <c r="AM1158" i="93"/>
  <c r="AO1158" i="93" s="1"/>
  <c r="AM1159" i="93"/>
  <c r="AO1159" i="93" s="1"/>
  <c r="AM1160" i="93"/>
  <c r="AO1160" i="93" s="1"/>
  <c r="AM1161" i="93"/>
  <c r="AO1161" i="93" s="1"/>
  <c r="AM1162" i="93"/>
  <c r="AO1162" i="93" s="1"/>
  <c r="AM1163" i="93"/>
  <c r="AO1163" i="93" s="1"/>
  <c r="AM1164" i="93"/>
  <c r="AO1164" i="93" s="1"/>
  <c r="AM1165" i="93"/>
  <c r="AO1165" i="93" s="1"/>
  <c r="AM1166" i="93"/>
  <c r="AO1166" i="93" s="1"/>
  <c r="AM1167" i="93"/>
  <c r="AO1167" i="93" s="1"/>
  <c r="AM1168" i="93"/>
  <c r="AO1168" i="93" s="1"/>
  <c r="AM1169" i="93"/>
  <c r="AO1169" i="93" s="1"/>
  <c r="AM1170" i="93"/>
  <c r="AO1170" i="93" s="1"/>
  <c r="AM1171" i="93"/>
  <c r="AO1171" i="93" s="1"/>
  <c r="AM1172" i="93"/>
  <c r="AO1172" i="93" s="1"/>
  <c r="AM1173" i="93"/>
  <c r="AO1173" i="93" s="1"/>
  <c r="AM1174" i="93"/>
  <c r="AO1174" i="93" s="1"/>
  <c r="AM1175" i="93"/>
  <c r="AO1175" i="93" s="1"/>
  <c r="AM1176" i="93"/>
  <c r="AO1176" i="93" s="1"/>
  <c r="AM1177" i="93"/>
  <c r="AO1177" i="93" s="1"/>
  <c r="AM1178" i="93"/>
  <c r="AO1178" i="93" s="1"/>
  <c r="AM1179" i="93"/>
  <c r="AO1179" i="93" s="1"/>
  <c r="AM1180" i="93"/>
  <c r="AO1180" i="93" s="1"/>
  <c r="AM1181" i="93"/>
  <c r="AO1181" i="93" s="1"/>
  <c r="AM1182" i="93"/>
  <c r="AO1182" i="93" s="1"/>
  <c r="AM1183" i="93"/>
  <c r="AO1183" i="93" s="1"/>
  <c r="AM1184" i="93"/>
  <c r="AO1184" i="93" s="1"/>
  <c r="AM1185" i="93"/>
  <c r="AO1185" i="93" s="1"/>
  <c r="AM1186" i="93"/>
  <c r="AO1186" i="93" s="1"/>
  <c r="AM1187" i="93"/>
  <c r="AO1187" i="93" s="1"/>
  <c r="AM1188" i="93"/>
  <c r="AO1188" i="93" s="1"/>
  <c r="AM1189" i="93"/>
  <c r="AO1189" i="93" s="1"/>
  <c r="AM1190" i="93"/>
  <c r="AO1190" i="93" s="1"/>
  <c r="AM1191" i="93"/>
  <c r="AO1191" i="93" s="1"/>
  <c r="AM1192" i="93"/>
  <c r="AO1192" i="93" s="1"/>
  <c r="AM1193" i="93"/>
  <c r="AO1193" i="93" s="1"/>
  <c r="AM1194" i="93"/>
  <c r="AO1194" i="93" s="1"/>
  <c r="AM1195" i="93"/>
  <c r="AO1195" i="93" s="1"/>
  <c r="AM1196" i="93"/>
  <c r="AO1196" i="93" s="1"/>
  <c r="AM1197" i="93"/>
  <c r="AO1197" i="93" s="1"/>
  <c r="AM1198" i="93"/>
  <c r="AO1198" i="93" s="1"/>
  <c r="AM1199" i="93"/>
  <c r="AO1199" i="93" s="1"/>
  <c r="AM1200" i="93"/>
  <c r="AO1200" i="93" s="1"/>
  <c r="AM1201" i="93"/>
  <c r="AO1201" i="93" s="1"/>
  <c r="AM1202" i="93"/>
  <c r="AO1202" i="93" s="1"/>
  <c r="AM1203" i="93"/>
  <c r="AO1203" i="93" s="1"/>
  <c r="AM1204" i="93"/>
  <c r="AO1204" i="93" s="1"/>
  <c r="AM1205" i="93"/>
  <c r="AO1205" i="93" s="1"/>
  <c r="AM1206" i="93"/>
  <c r="AO1206" i="93" s="1"/>
  <c r="AM1207" i="93"/>
  <c r="AO1207" i="93" s="1"/>
  <c r="AM1208" i="93"/>
  <c r="AO1208" i="93" s="1"/>
  <c r="AM1209" i="93"/>
  <c r="AO1209" i="93" s="1"/>
  <c r="AM1210" i="93"/>
  <c r="AO1210" i="93" s="1"/>
  <c r="AM1211" i="93"/>
  <c r="AO1211" i="93" s="1"/>
  <c r="AM1212" i="93"/>
  <c r="AO1212" i="93" s="1"/>
  <c r="AM1213" i="93"/>
  <c r="AO1213" i="93" s="1"/>
  <c r="AN15" i="93"/>
  <c r="AN16" i="93"/>
  <c r="AN17" i="93"/>
  <c r="AN18" i="93"/>
  <c r="AN19" i="93"/>
  <c r="AN20" i="93"/>
  <c r="AN21" i="93"/>
  <c r="AN22" i="93"/>
  <c r="AN23" i="93"/>
  <c r="AN24" i="93"/>
  <c r="AN25" i="93"/>
  <c r="AN26" i="93"/>
  <c r="AN27" i="93"/>
  <c r="AN28" i="93"/>
  <c r="AN29" i="93"/>
  <c r="AN30" i="93"/>
  <c r="AN31" i="93"/>
  <c r="AN32" i="93"/>
  <c r="AN33" i="93"/>
  <c r="AN34" i="93"/>
  <c r="AN35" i="93"/>
  <c r="AN36" i="93"/>
  <c r="AN37" i="93"/>
  <c r="AN38" i="93"/>
  <c r="AN39" i="93"/>
  <c r="AN40" i="93"/>
  <c r="AN41" i="93"/>
  <c r="AN42" i="93"/>
  <c r="AN43" i="93"/>
  <c r="AN44" i="93"/>
  <c r="AN45" i="93"/>
  <c r="AN46" i="93"/>
  <c r="AN47" i="93"/>
  <c r="AN48" i="93"/>
  <c r="AN49" i="93"/>
  <c r="AN50" i="93"/>
  <c r="AN51" i="93"/>
  <c r="AN52" i="93"/>
  <c r="AN53" i="93"/>
  <c r="AN54" i="93"/>
  <c r="AN55" i="93"/>
  <c r="AN56" i="93"/>
  <c r="AN57" i="93"/>
  <c r="AN58" i="93"/>
  <c r="AN59" i="93"/>
  <c r="AN60" i="93"/>
  <c r="AN61" i="93"/>
  <c r="AN62" i="93"/>
  <c r="AN63" i="93"/>
  <c r="AN64" i="93"/>
  <c r="AN65" i="93"/>
  <c r="AN66" i="93"/>
  <c r="AN67" i="93"/>
  <c r="AN68" i="93"/>
  <c r="AN69" i="93"/>
  <c r="AN70" i="93"/>
  <c r="AN71" i="93"/>
  <c r="AN72" i="93"/>
  <c r="AN73" i="93"/>
  <c r="AN74" i="93"/>
  <c r="AN75" i="93"/>
  <c r="AN76" i="93"/>
  <c r="AN77" i="93"/>
  <c r="AN78" i="93"/>
  <c r="AN79" i="93"/>
  <c r="AN80" i="93"/>
  <c r="AN81" i="93"/>
  <c r="AN82" i="93"/>
  <c r="AN83" i="93"/>
  <c r="AN84" i="93"/>
  <c r="AN85" i="93"/>
  <c r="AN86" i="93"/>
  <c r="AN87" i="93"/>
  <c r="AN88" i="93"/>
  <c r="AN89" i="93"/>
  <c r="AN90" i="93"/>
  <c r="AN91" i="93"/>
  <c r="AN92" i="93"/>
  <c r="AN93" i="93"/>
  <c r="AN94" i="93"/>
  <c r="AN95" i="93"/>
  <c r="AN96" i="93"/>
  <c r="AN97" i="93"/>
  <c r="AN98" i="93"/>
  <c r="AN99" i="93"/>
  <c r="AN100" i="93"/>
  <c r="AN101" i="93"/>
  <c r="AN102" i="93"/>
  <c r="AN103" i="93"/>
  <c r="AN104" i="93"/>
  <c r="AN105" i="93"/>
  <c r="AN106" i="93"/>
  <c r="AN107" i="93"/>
  <c r="AN108" i="93"/>
  <c r="AN109" i="93"/>
  <c r="AN110" i="93"/>
  <c r="AN111" i="93"/>
  <c r="AN112" i="93"/>
  <c r="AN113" i="93"/>
  <c r="AN114" i="93"/>
  <c r="AN115" i="93"/>
  <c r="AN116" i="93"/>
  <c r="AN117" i="93"/>
  <c r="AN118" i="93"/>
  <c r="AN119" i="93"/>
  <c r="AN120" i="93"/>
  <c r="AN121" i="93"/>
  <c r="AN122" i="93"/>
  <c r="AN123" i="93"/>
  <c r="AN124" i="93"/>
  <c r="AN125" i="93"/>
  <c r="AN126" i="93"/>
  <c r="AN127" i="93"/>
  <c r="AN128" i="93"/>
  <c r="AN129" i="93"/>
  <c r="AN130" i="93"/>
  <c r="AN131" i="93"/>
  <c r="AN132" i="93"/>
  <c r="AN133" i="93"/>
  <c r="AN134" i="93"/>
  <c r="AN135" i="93"/>
  <c r="AN136" i="93"/>
  <c r="AN137" i="93"/>
  <c r="AN138" i="93"/>
  <c r="AN139" i="93"/>
  <c r="AN140" i="93"/>
  <c r="AN141" i="93"/>
  <c r="AN142" i="93"/>
  <c r="AN143" i="93"/>
  <c r="AN144" i="93"/>
  <c r="AN145" i="93"/>
  <c r="AN146" i="93"/>
  <c r="AN147" i="93"/>
  <c r="AN148" i="93"/>
  <c r="AN149" i="93"/>
  <c r="AN150" i="93"/>
  <c r="AN151" i="93"/>
  <c r="AN152" i="93"/>
  <c r="AN153" i="93"/>
  <c r="AN154" i="93"/>
  <c r="AN155" i="93"/>
  <c r="AN156" i="93"/>
  <c r="AN157" i="93"/>
  <c r="AN158" i="93"/>
  <c r="AN159" i="93"/>
  <c r="AN160" i="93"/>
  <c r="AN161" i="93"/>
  <c r="AN162" i="93"/>
  <c r="AN163" i="93"/>
  <c r="AN164" i="93"/>
  <c r="AN165" i="93"/>
  <c r="AN166" i="93"/>
  <c r="AN167" i="93"/>
  <c r="AN168" i="93"/>
  <c r="AN169" i="93"/>
  <c r="AN170" i="93"/>
  <c r="AN171" i="93"/>
  <c r="AN172" i="93"/>
  <c r="AN173" i="93"/>
  <c r="AN174" i="93"/>
  <c r="AN175" i="93"/>
  <c r="AN176" i="93"/>
  <c r="AN177" i="93"/>
  <c r="AN178" i="93"/>
  <c r="AN179" i="93"/>
  <c r="AN180" i="93"/>
  <c r="AN181" i="93"/>
  <c r="AN182" i="93"/>
  <c r="AN183" i="93"/>
  <c r="AN184" i="93"/>
  <c r="AN185" i="93"/>
  <c r="AN186" i="93"/>
  <c r="AN187" i="93"/>
  <c r="AN188" i="93"/>
  <c r="AN189" i="93"/>
  <c r="AN190" i="93"/>
  <c r="AN191" i="93"/>
  <c r="AN192" i="93"/>
  <c r="AN193" i="93"/>
  <c r="AN194" i="93"/>
  <c r="AN195" i="93"/>
  <c r="AN196" i="93"/>
  <c r="AN197" i="93"/>
  <c r="AN198" i="93"/>
  <c r="AN199" i="93"/>
  <c r="AN200" i="93"/>
  <c r="AN201" i="93"/>
  <c r="AN202" i="93"/>
  <c r="AN203" i="93"/>
  <c r="AN204" i="93"/>
  <c r="AN205" i="93"/>
  <c r="AN206" i="93"/>
  <c r="AN207" i="93"/>
  <c r="AN208" i="93"/>
  <c r="AN209" i="93"/>
  <c r="AN210" i="93"/>
  <c r="AN211" i="93"/>
  <c r="AN212" i="93"/>
  <c r="AN213" i="93"/>
  <c r="AN214" i="93"/>
  <c r="AN215" i="93"/>
  <c r="AN216" i="93"/>
  <c r="AN217" i="93"/>
  <c r="AN218" i="93"/>
  <c r="AN219" i="93"/>
  <c r="AN220" i="93"/>
  <c r="AN221" i="93"/>
  <c r="AN222" i="93"/>
  <c r="AN223" i="93"/>
  <c r="AN224" i="93"/>
  <c r="AN225" i="93"/>
  <c r="AN226" i="93"/>
  <c r="AN227" i="93"/>
  <c r="AN228" i="93"/>
  <c r="AN229" i="93"/>
  <c r="AN230" i="93"/>
  <c r="AN231" i="93"/>
  <c r="AN232" i="93"/>
  <c r="AN233" i="93"/>
  <c r="AN234" i="93"/>
  <c r="AN235" i="93"/>
  <c r="AN236" i="93"/>
  <c r="AN237" i="93"/>
  <c r="AN238" i="93"/>
  <c r="AN239" i="93"/>
  <c r="AN240" i="93"/>
  <c r="AN241" i="93"/>
  <c r="AN242" i="93"/>
  <c r="AN243" i="93"/>
  <c r="AN244" i="93"/>
  <c r="AN245" i="93"/>
  <c r="AN246" i="93"/>
  <c r="AN247" i="93"/>
  <c r="AN248" i="93"/>
  <c r="AN249" i="93"/>
  <c r="AN250" i="93"/>
  <c r="AN251" i="93"/>
  <c r="AN252" i="93"/>
  <c r="AN253" i="93"/>
  <c r="AN254" i="93"/>
  <c r="AN255" i="93"/>
  <c r="AN256" i="93"/>
  <c r="AN257" i="93"/>
  <c r="AN258" i="93"/>
  <c r="AN259" i="93"/>
  <c r="AN260" i="93"/>
  <c r="AN261" i="93"/>
  <c r="AN262" i="93"/>
  <c r="AN263" i="93"/>
  <c r="AN264" i="93"/>
  <c r="AN265" i="93"/>
  <c r="AN266" i="93"/>
  <c r="AN267" i="93"/>
  <c r="AN268" i="93"/>
  <c r="AN269" i="93"/>
  <c r="AN270" i="93"/>
  <c r="AN271" i="93"/>
  <c r="AN272" i="93"/>
  <c r="AN273" i="93"/>
  <c r="AN274" i="93"/>
  <c r="AN275" i="93"/>
  <c r="AN276" i="93"/>
  <c r="AN277" i="93"/>
  <c r="AN278" i="93"/>
  <c r="AN279" i="93"/>
  <c r="AN280" i="93"/>
  <c r="AN281" i="93"/>
  <c r="AN282" i="93"/>
  <c r="AN283" i="93"/>
  <c r="AN284" i="93"/>
  <c r="AN285" i="93"/>
  <c r="AN286" i="93"/>
  <c r="AN287" i="93"/>
  <c r="AN288" i="93"/>
  <c r="AN289" i="93"/>
  <c r="AN290" i="93"/>
  <c r="AN291" i="93"/>
  <c r="AN292" i="93"/>
  <c r="AN293" i="93"/>
  <c r="AN294" i="93"/>
  <c r="AN295" i="93"/>
  <c r="AN296" i="93"/>
  <c r="AN297" i="93"/>
  <c r="AN298" i="93"/>
  <c r="AN299" i="93"/>
  <c r="AN300" i="93"/>
  <c r="AN301" i="93"/>
  <c r="AN302" i="93"/>
  <c r="AN303" i="93"/>
  <c r="AN304" i="93"/>
  <c r="AN305" i="93"/>
  <c r="AN306" i="93"/>
  <c r="AN307" i="93"/>
  <c r="AN308" i="93"/>
  <c r="AN309" i="93"/>
  <c r="AN310" i="93"/>
  <c r="AN311" i="93"/>
  <c r="AN312" i="93"/>
  <c r="AN313" i="93"/>
  <c r="AN314" i="93"/>
  <c r="AN315" i="93"/>
  <c r="AN316" i="93"/>
  <c r="AN317" i="93"/>
  <c r="AN318" i="93"/>
  <c r="AN319" i="93"/>
  <c r="AN320" i="93"/>
  <c r="AN321" i="93"/>
  <c r="AN322" i="93"/>
  <c r="AN323" i="93"/>
  <c r="AN324" i="93"/>
  <c r="AN325" i="93"/>
  <c r="AN326" i="93"/>
  <c r="AN327" i="93"/>
  <c r="AN328" i="93"/>
  <c r="AN329" i="93"/>
  <c r="AN330" i="93"/>
  <c r="AN331" i="93"/>
  <c r="AN332" i="93"/>
  <c r="AN333" i="93"/>
  <c r="AN334" i="93"/>
  <c r="AN335" i="93"/>
  <c r="AN336" i="93"/>
  <c r="AN337" i="93"/>
  <c r="AN338" i="93"/>
  <c r="AN339" i="93"/>
  <c r="AN340" i="93"/>
  <c r="AN341" i="93"/>
  <c r="AN342" i="93"/>
  <c r="AN343" i="93"/>
  <c r="AN344" i="93"/>
  <c r="AN345" i="93"/>
  <c r="AN346" i="93"/>
  <c r="AN347" i="93"/>
  <c r="AN348" i="93"/>
  <c r="AN349" i="93"/>
  <c r="AN350" i="93"/>
  <c r="AN351" i="93"/>
  <c r="AN352" i="93"/>
  <c r="AN353" i="93"/>
  <c r="AN354" i="93"/>
  <c r="AN355" i="93"/>
  <c r="AN356" i="93"/>
  <c r="AN357" i="93"/>
  <c r="AN358" i="93"/>
  <c r="AN359" i="93"/>
  <c r="AN360" i="93"/>
  <c r="AN361" i="93"/>
  <c r="AN362" i="93"/>
  <c r="AN363" i="93"/>
  <c r="AN364" i="93"/>
  <c r="AN365" i="93"/>
  <c r="AN366" i="93"/>
  <c r="AN367" i="93"/>
  <c r="AN368" i="93"/>
  <c r="AN369" i="93"/>
  <c r="AN370" i="93"/>
  <c r="AN371" i="93"/>
  <c r="AN372" i="93"/>
  <c r="AN373" i="93"/>
  <c r="AN374" i="93"/>
  <c r="AN375" i="93"/>
  <c r="AN376" i="93"/>
  <c r="AN377" i="93"/>
  <c r="AN378" i="93"/>
  <c r="AN379" i="93"/>
  <c r="AN380" i="93"/>
  <c r="AN381" i="93"/>
  <c r="AN382" i="93"/>
  <c r="AN383" i="93"/>
  <c r="AN384" i="93"/>
  <c r="AN385" i="93"/>
  <c r="AN386" i="93"/>
  <c r="AN387" i="93"/>
  <c r="AN388" i="93"/>
  <c r="AN389" i="93"/>
  <c r="AN390" i="93"/>
  <c r="AN391" i="93"/>
  <c r="AN392" i="93"/>
  <c r="AN393" i="93"/>
  <c r="AN394" i="93"/>
  <c r="AN395" i="93"/>
  <c r="AN396" i="93"/>
  <c r="AN397" i="93"/>
  <c r="AN398" i="93"/>
  <c r="AN399" i="93"/>
  <c r="AN400" i="93"/>
  <c r="AN401" i="93"/>
  <c r="AN402" i="93"/>
  <c r="AN403" i="93"/>
  <c r="AN404" i="93"/>
  <c r="AN405" i="93"/>
  <c r="AN406" i="93"/>
  <c r="AN407" i="93"/>
  <c r="AN408" i="93"/>
  <c r="AN409" i="93"/>
  <c r="AN410" i="93"/>
  <c r="AN411" i="93"/>
  <c r="AN412" i="93"/>
  <c r="AN413" i="93"/>
  <c r="AN414" i="93"/>
  <c r="AN415" i="93"/>
  <c r="AN416" i="93"/>
  <c r="AN417" i="93"/>
  <c r="AN418" i="93"/>
  <c r="AN419" i="93"/>
  <c r="AN420" i="93"/>
  <c r="AN421" i="93"/>
  <c r="AN422" i="93"/>
  <c r="AN423" i="93"/>
  <c r="AN424" i="93"/>
  <c r="AN425" i="93"/>
  <c r="AN426" i="93"/>
  <c r="AN427" i="93"/>
  <c r="AN428" i="93"/>
  <c r="AN429" i="93"/>
  <c r="AN430" i="93"/>
  <c r="AN431" i="93"/>
  <c r="AN432" i="93"/>
  <c r="AN433" i="93"/>
  <c r="AN434" i="93"/>
  <c r="AN435" i="93"/>
  <c r="AN436" i="93"/>
  <c r="AN437" i="93"/>
  <c r="AN438" i="93"/>
  <c r="AN439" i="93"/>
  <c r="AN440" i="93"/>
  <c r="AN441" i="93"/>
  <c r="AN442" i="93"/>
  <c r="AN443" i="93"/>
  <c r="AN444" i="93"/>
  <c r="AN445" i="93"/>
  <c r="AN446" i="93"/>
  <c r="AN447" i="93"/>
  <c r="AN448" i="93"/>
  <c r="AN449" i="93"/>
  <c r="AN450" i="93"/>
  <c r="AN451" i="93"/>
  <c r="AN452" i="93"/>
  <c r="AN453" i="93"/>
  <c r="AN454" i="93"/>
  <c r="AN455" i="93"/>
  <c r="AN456" i="93"/>
  <c r="AN457" i="93"/>
  <c r="AN458" i="93"/>
  <c r="AN459" i="93"/>
  <c r="AN460" i="93"/>
  <c r="AN461" i="93"/>
  <c r="AN462" i="93"/>
  <c r="AN463" i="93"/>
  <c r="AN464" i="93"/>
  <c r="AN465" i="93"/>
  <c r="AN466" i="93"/>
  <c r="AN467" i="93"/>
  <c r="AN468" i="93"/>
  <c r="AN469" i="93"/>
  <c r="AN470" i="93"/>
  <c r="AN471" i="93"/>
  <c r="AN472" i="93"/>
  <c r="AN473" i="93"/>
  <c r="AN474" i="93"/>
  <c r="AN475" i="93"/>
  <c r="AN476" i="93"/>
  <c r="AN477" i="93"/>
  <c r="AN478" i="93"/>
  <c r="AN479" i="93"/>
  <c r="AN480" i="93"/>
  <c r="AN481" i="93"/>
  <c r="AN482" i="93"/>
  <c r="AN483" i="93"/>
  <c r="AN484" i="93"/>
  <c r="AN485" i="93"/>
  <c r="AN486" i="93"/>
  <c r="AN487" i="93"/>
  <c r="AN488" i="93"/>
  <c r="AN489" i="93"/>
  <c r="AN490" i="93"/>
  <c r="AN491" i="93"/>
  <c r="AN492" i="93"/>
  <c r="AN493" i="93"/>
  <c r="AN494" i="93"/>
  <c r="AN495" i="93"/>
  <c r="AN496" i="93"/>
  <c r="AN497" i="93"/>
  <c r="AN498" i="93"/>
  <c r="AN499" i="93"/>
  <c r="AN500" i="93"/>
  <c r="AN501" i="93"/>
  <c r="AN502" i="93"/>
  <c r="AN503" i="93"/>
  <c r="AN504" i="93"/>
  <c r="AN505" i="93"/>
  <c r="AN506" i="93"/>
  <c r="AN507" i="93"/>
  <c r="AN508" i="93"/>
  <c r="AN509" i="93"/>
  <c r="AN510" i="93"/>
  <c r="AN511" i="93"/>
  <c r="AN512" i="93"/>
  <c r="AN513" i="93"/>
  <c r="AN514" i="93"/>
  <c r="AN515" i="93"/>
  <c r="AN516" i="93"/>
  <c r="AN517" i="93"/>
  <c r="AN518" i="93"/>
  <c r="AN519" i="93"/>
  <c r="AN520" i="93"/>
  <c r="AN521" i="93"/>
  <c r="AN522" i="93"/>
  <c r="AN523" i="93"/>
  <c r="AN524" i="93"/>
  <c r="AN525" i="93"/>
  <c r="AN526" i="93"/>
  <c r="AN527" i="93"/>
  <c r="AN528" i="93"/>
  <c r="AN529" i="93"/>
  <c r="AN530" i="93"/>
  <c r="AN531" i="93"/>
  <c r="AN532" i="93"/>
  <c r="AN533" i="93"/>
  <c r="AN534" i="93"/>
  <c r="AN535" i="93"/>
  <c r="AN536" i="93"/>
  <c r="AN537" i="93"/>
  <c r="AN538" i="93"/>
  <c r="AN539" i="93"/>
  <c r="AN540" i="93"/>
  <c r="AN541" i="93"/>
  <c r="AN542" i="93"/>
  <c r="AN543" i="93"/>
  <c r="AN544" i="93"/>
  <c r="AN545" i="93"/>
  <c r="AN546" i="93"/>
  <c r="AN547" i="93"/>
  <c r="AN548" i="93"/>
  <c r="AN549" i="93"/>
  <c r="AN550" i="93"/>
  <c r="AN551" i="93"/>
  <c r="AN552" i="93"/>
  <c r="AN553" i="93"/>
  <c r="AN554" i="93"/>
  <c r="AN555" i="93"/>
  <c r="AN556" i="93"/>
  <c r="AN557" i="93"/>
  <c r="AN558" i="93"/>
  <c r="AN559" i="93"/>
  <c r="AN560" i="93"/>
  <c r="AN561" i="93"/>
  <c r="AN562" i="93"/>
  <c r="AN563" i="93"/>
  <c r="AN564" i="93"/>
  <c r="AN565" i="93"/>
  <c r="AN566" i="93"/>
  <c r="AN567" i="93"/>
  <c r="AN568" i="93"/>
  <c r="AN569" i="93"/>
  <c r="AN570" i="93"/>
  <c r="AN571" i="93"/>
  <c r="AN572" i="93"/>
  <c r="AN573" i="93"/>
  <c r="AN574" i="93"/>
  <c r="AN575" i="93"/>
  <c r="AN576" i="93"/>
  <c r="AN577" i="93"/>
  <c r="AN578" i="93"/>
  <c r="AN579" i="93"/>
  <c r="AN580" i="93"/>
  <c r="AN581" i="93"/>
  <c r="AN582" i="93"/>
  <c r="AN583" i="93"/>
  <c r="AN584" i="93"/>
  <c r="AN585" i="93"/>
  <c r="AN586" i="93"/>
  <c r="AN587" i="93"/>
  <c r="AN588" i="93"/>
  <c r="AN589" i="93"/>
  <c r="AN590" i="93"/>
  <c r="AN591" i="93"/>
  <c r="AN592" i="93"/>
  <c r="AN593" i="93"/>
  <c r="AN594" i="93"/>
  <c r="AN595" i="93"/>
  <c r="AN596" i="93"/>
  <c r="AN597" i="93"/>
  <c r="AN598" i="93"/>
  <c r="AN599" i="93"/>
  <c r="AN600" i="93"/>
  <c r="AN601" i="93"/>
  <c r="AN602" i="93"/>
  <c r="AN603" i="93"/>
  <c r="AN604" i="93"/>
  <c r="AN605" i="93"/>
  <c r="AN606" i="93"/>
  <c r="AN607" i="93"/>
  <c r="AN608" i="93"/>
  <c r="AN609" i="93"/>
  <c r="AN610" i="93"/>
  <c r="AN611" i="93"/>
  <c r="AN612" i="93"/>
  <c r="AN613" i="93"/>
  <c r="AN614" i="93"/>
  <c r="AN615" i="93"/>
  <c r="AN616" i="93"/>
  <c r="AN617" i="93"/>
  <c r="AN618" i="93"/>
  <c r="AN619" i="93"/>
  <c r="AN620" i="93"/>
  <c r="AN621" i="93"/>
  <c r="AN622" i="93"/>
  <c r="AN623" i="93"/>
  <c r="AN624" i="93"/>
  <c r="AN625" i="93"/>
  <c r="AN626" i="93"/>
  <c r="AN627" i="93"/>
  <c r="AN628" i="93"/>
  <c r="AN629" i="93"/>
  <c r="AN630" i="93"/>
  <c r="AN631" i="93"/>
  <c r="AN632" i="93"/>
  <c r="AN633" i="93"/>
  <c r="AN634" i="93"/>
  <c r="AN635" i="93"/>
  <c r="AN636" i="93"/>
  <c r="AN637" i="93"/>
  <c r="AN638" i="93"/>
  <c r="AN639" i="93"/>
  <c r="AN640" i="93"/>
  <c r="AN641" i="93"/>
  <c r="AN642" i="93"/>
  <c r="AN643" i="93"/>
  <c r="AN644" i="93"/>
  <c r="AN645" i="93"/>
  <c r="AN646" i="93"/>
  <c r="AN647" i="93"/>
  <c r="AN648" i="93"/>
  <c r="AN649" i="93"/>
  <c r="AN650" i="93"/>
  <c r="AN651" i="93"/>
  <c r="AN652" i="93"/>
  <c r="AN653" i="93"/>
  <c r="AN654" i="93"/>
  <c r="AN655" i="93"/>
  <c r="AN656" i="93"/>
  <c r="AN657" i="93"/>
  <c r="AN658" i="93"/>
  <c r="AN659" i="93"/>
  <c r="AN660" i="93"/>
  <c r="AN661" i="93"/>
  <c r="AN662" i="93"/>
  <c r="AN663" i="93"/>
  <c r="AN664" i="93"/>
  <c r="AN665" i="93"/>
  <c r="AN666" i="93"/>
  <c r="AN667" i="93"/>
  <c r="AN668" i="93"/>
  <c r="AN669" i="93"/>
  <c r="AN670" i="93"/>
  <c r="AN671" i="93"/>
  <c r="AN672" i="93"/>
  <c r="AN673" i="93"/>
  <c r="AN674" i="93"/>
  <c r="AN675" i="93"/>
  <c r="AN676" i="93"/>
  <c r="AN677" i="93"/>
  <c r="AN678" i="93"/>
  <c r="AN679" i="93"/>
  <c r="AN680" i="93"/>
  <c r="AN681" i="93"/>
  <c r="AN682" i="93"/>
  <c r="AN683" i="93"/>
  <c r="AN684" i="93"/>
  <c r="AN685" i="93"/>
  <c r="AN686" i="93"/>
  <c r="AN687" i="93"/>
  <c r="AN688" i="93"/>
  <c r="AN689" i="93"/>
  <c r="AN690" i="93"/>
  <c r="AN691" i="93"/>
  <c r="AN692" i="93"/>
  <c r="AN693" i="93"/>
  <c r="AN694" i="93"/>
  <c r="AN695" i="93"/>
  <c r="AN696" i="93"/>
  <c r="AN697" i="93"/>
  <c r="AN698" i="93"/>
  <c r="AN699" i="93"/>
  <c r="AN700" i="93"/>
  <c r="AN701" i="93"/>
  <c r="AN702" i="93"/>
  <c r="AN703" i="93"/>
  <c r="AN704" i="93"/>
  <c r="AN705" i="93"/>
  <c r="AN706" i="93"/>
  <c r="AN707" i="93"/>
  <c r="AN708" i="93"/>
  <c r="AN709" i="93"/>
  <c r="AN710" i="93"/>
  <c r="AN711" i="93"/>
  <c r="AN712" i="93"/>
  <c r="AN713" i="93"/>
  <c r="AN714" i="93"/>
  <c r="AN715" i="93"/>
  <c r="AN716" i="93"/>
  <c r="AN717" i="93"/>
  <c r="AN718" i="93"/>
  <c r="AN719" i="93"/>
  <c r="AN720" i="93"/>
  <c r="AN721" i="93"/>
  <c r="AN722" i="93"/>
  <c r="AN723" i="93"/>
  <c r="AN724" i="93"/>
  <c r="AN725" i="93"/>
  <c r="AN726" i="93"/>
  <c r="AN727" i="93"/>
  <c r="AN728" i="93"/>
  <c r="AN729" i="93"/>
  <c r="AN730" i="93"/>
  <c r="AN731" i="93"/>
  <c r="AN732" i="93"/>
  <c r="AN733" i="93"/>
  <c r="AN734" i="93"/>
  <c r="AN735" i="93"/>
  <c r="AN736" i="93"/>
  <c r="AN737" i="93"/>
  <c r="AN738" i="93"/>
  <c r="AN739" i="93"/>
  <c r="AN740" i="93"/>
  <c r="AN741" i="93"/>
  <c r="AN742" i="93"/>
  <c r="AN743" i="93"/>
  <c r="AN744" i="93"/>
  <c r="AN745" i="93"/>
  <c r="AN746" i="93"/>
  <c r="AN747" i="93"/>
  <c r="AN748" i="93"/>
  <c r="AN749" i="93"/>
  <c r="AN750" i="93"/>
  <c r="AN751" i="93"/>
  <c r="AN752" i="93"/>
  <c r="AN753" i="93"/>
  <c r="AN754" i="93"/>
  <c r="AN755" i="93"/>
  <c r="AN756" i="93"/>
  <c r="AN757" i="93"/>
  <c r="AN758" i="93"/>
  <c r="AN759" i="93"/>
  <c r="AN760" i="93"/>
  <c r="AN761" i="93"/>
  <c r="AN762" i="93"/>
  <c r="AN763" i="93"/>
  <c r="AN764" i="93"/>
  <c r="AN765" i="93"/>
  <c r="AN766" i="93"/>
  <c r="AN767" i="93"/>
  <c r="AN768" i="93"/>
  <c r="AN769" i="93"/>
  <c r="AN770" i="93"/>
  <c r="AN771" i="93"/>
  <c r="AN772" i="93"/>
  <c r="AN773" i="93"/>
  <c r="AN774" i="93"/>
  <c r="AN775" i="93"/>
  <c r="AN776" i="93"/>
  <c r="AN777" i="93"/>
  <c r="AN778" i="93"/>
  <c r="AN779" i="93"/>
  <c r="AN780" i="93"/>
  <c r="AN781" i="93"/>
  <c r="AN782" i="93"/>
  <c r="AN783" i="93"/>
  <c r="AN784" i="93"/>
  <c r="AN785" i="93"/>
  <c r="AN786" i="93"/>
  <c r="AN787" i="93"/>
  <c r="AN788" i="93"/>
  <c r="AN789" i="93"/>
  <c r="AN790" i="93"/>
  <c r="AN791" i="93"/>
  <c r="AN792" i="93"/>
  <c r="AN793" i="93"/>
  <c r="AN794" i="93"/>
  <c r="AN795" i="93"/>
  <c r="AN796" i="93"/>
  <c r="AN797" i="93"/>
  <c r="AN798" i="93"/>
  <c r="AN799" i="93"/>
  <c r="AN800" i="93"/>
  <c r="AN801" i="93"/>
  <c r="AN802" i="93"/>
  <c r="AN803" i="93"/>
  <c r="AN804" i="93"/>
  <c r="AN805" i="93"/>
  <c r="AN806" i="93"/>
  <c r="AN807" i="93"/>
  <c r="AN808" i="93"/>
  <c r="AN809" i="93"/>
  <c r="AN810" i="93"/>
  <c r="AN811" i="93"/>
  <c r="AN812" i="93"/>
  <c r="AN813" i="93"/>
  <c r="AN814" i="93"/>
  <c r="AN815" i="93"/>
  <c r="AN816" i="93"/>
  <c r="AN817" i="93"/>
  <c r="AN818" i="93"/>
  <c r="AN819" i="93"/>
  <c r="AN820" i="93"/>
  <c r="AN821" i="93"/>
  <c r="AN822" i="93"/>
  <c r="AN823" i="93"/>
  <c r="AN824" i="93"/>
  <c r="AN825" i="93"/>
  <c r="AN826" i="93"/>
  <c r="AN827" i="93"/>
  <c r="AN828" i="93"/>
  <c r="AN829" i="93"/>
  <c r="AN830" i="93"/>
  <c r="AN831" i="93"/>
  <c r="AN832" i="93"/>
  <c r="AN833" i="93"/>
  <c r="AN834" i="93"/>
  <c r="AN835" i="93"/>
  <c r="AN836" i="93"/>
  <c r="AN837" i="93"/>
  <c r="AN838" i="93"/>
  <c r="AN839" i="93"/>
  <c r="AN840" i="93"/>
  <c r="AN841" i="93"/>
  <c r="AN842" i="93"/>
  <c r="AN843" i="93"/>
  <c r="AN844" i="93"/>
  <c r="AN845" i="93"/>
  <c r="AN846" i="93"/>
  <c r="AN847" i="93"/>
  <c r="AN848" i="93"/>
  <c r="AN849" i="93"/>
  <c r="AN850" i="93"/>
  <c r="AN851" i="93"/>
  <c r="AN852" i="93"/>
  <c r="AN853" i="93"/>
  <c r="AN854" i="93"/>
  <c r="AN855" i="93"/>
  <c r="AN856" i="93"/>
  <c r="AN857" i="93"/>
  <c r="AN858" i="93"/>
  <c r="AN859" i="93"/>
  <c r="AN860" i="93"/>
  <c r="AN861" i="93"/>
  <c r="AN862" i="93"/>
  <c r="AN863" i="93"/>
  <c r="AN864" i="93"/>
  <c r="AN865" i="93"/>
  <c r="AN866" i="93"/>
  <c r="AN867" i="93"/>
  <c r="AN868" i="93"/>
  <c r="AN869" i="93"/>
  <c r="AN870" i="93"/>
  <c r="AN871" i="93"/>
  <c r="AN872" i="93"/>
  <c r="AN873" i="93"/>
  <c r="AN874" i="93"/>
  <c r="AN875" i="93"/>
  <c r="AN876" i="93"/>
  <c r="AN877" i="93"/>
  <c r="AN878" i="93"/>
  <c r="AN879" i="93"/>
  <c r="AN880" i="93"/>
  <c r="AN881" i="93"/>
  <c r="AN882" i="93"/>
  <c r="AN883" i="93"/>
  <c r="AN884" i="93"/>
  <c r="AN885" i="93"/>
  <c r="AN886" i="93"/>
  <c r="AN887" i="93"/>
  <c r="AN888" i="93"/>
  <c r="AN889" i="93"/>
  <c r="AN890" i="93"/>
  <c r="AN891" i="93"/>
  <c r="AN892" i="93"/>
  <c r="AN893" i="93"/>
  <c r="AN894" i="93"/>
  <c r="AN895" i="93"/>
  <c r="AN896" i="93"/>
  <c r="AN897" i="93"/>
  <c r="AN898" i="93"/>
  <c r="AN899" i="93"/>
  <c r="AN900" i="93"/>
  <c r="AN901" i="93"/>
  <c r="AN902" i="93"/>
  <c r="AN903" i="93"/>
  <c r="AN904" i="93"/>
  <c r="AN905" i="93"/>
  <c r="AN906" i="93"/>
  <c r="AN907" i="93"/>
  <c r="AN908" i="93"/>
  <c r="AN909" i="93"/>
  <c r="AN910" i="93"/>
  <c r="AN911" i="93"/>
  <c r="AN912" i="93"/>
  <c r="AN913" i="93"/>
  <c r="AN914" i="93"/>
  <c r="AN915" i="93"/>
  <c r="AN916" i="93"/>
  <c r="AN917" i="93"/>
  <c r="AN918" i="93"/>
  <c r="AN919" i="93"/>
  <c r="AN920" i="93"/>
  <c r="AN921" i="93"/>
  <c r="AN922" i="93"/>
  <c r="AN923" i="93"/>
  <c r="AN924" i="93"/>
  <c r="AN925" i="93"/>
  <c r="AN926" i="93"/>
  <c r="AN927" i="93"/>
  <c r="AN928" i="93"/>
  <c r="AN929" i="93"/>
  <c r="AN930" i="93"/>
  <c r="AN931" i="93"/>
  <c r="AN932" i="93"/>
  <c r="AN933" i="93"/>
  <c r="AN934" i="93"/>
  <c r="AN935" i="93"/>
  <c r="AN936" i="93"/>
  <c r="AN937" i="93"/>
  <c r="AN938" i="93"/>
  <c r="AN939" i="93"/>
  <c r="AN940" i="93"/>
  <c r="AN941" i="93"/>
  <c r="AN942" i="93"/>
  <c r="AN943" i="93"/>
  <c r="AN944" i="93"/>
  <c r="AN945" i="93"/>
  <c r="AN946" i="93"/>
  <c r="AN947" i="93"/>
  <c r="AN948" i="93"/>
  <c r="AN949" i="93"/>
  <c r="AN950" i="93"/>
  <c r="AN951" i="93"/>
  <c r="AN952" i="93"/>
  <c r="AN953" i="93"/>
  <c r="AN954" i="93"/>
  <c r="AN955" i="93"/>
  <c r="AN956" i="93"/>
  <c r="AN957" i="93"/>
  <c r="AN958" i="93"/>
  <c r="AN959" i="93"/>
  <c r="AN960" i="93"/>
  <c r="AN961" i="93"/>
  <c r="AN962" i="93"/>
  <c r="AN963" i="93"/>
  <c r="AN964" i="93"/>
  <c r="AN965" i="93"/>
  <c r="AN966" i="93"/>
  <c r="AN967" i="93"/>
  <c r="AN968" i="93"/>
  <c r="AN969" i="93"/>
  <c r="AN970" i="93"/>
  <c r="AN971" i="93"/>
  <c r="AN972" i="93"/>
  <c r="AN973" i="93"/>
  <c r="AN974" i="93"/>
  <c r="AN975" i="93"/>
  <c r="AN976" i="93"/>
  <c r="AN977" i="93"/>
  <c r="AN978" i="93"/>
  <c r="AN979" i="93"/>
  <c r="AN980" i="93"/>
  <c r="AN981" i="93"/>
  <c r="AN982" i="93"/>
  <c r="AN983" i="93"/>
  <c r="AN984" i="93"/>
  <c r="AN985" i="93"/>
  <c r="AN986" i="93"/>
  <c r="AN987" i="93"/>
  <c r="AN988" i="93"/>
  <c r="AN989" i="93"/>
  <c r="AN990" i="93"/>
  <c r="AN991" i="93"/>
  <c r="AN992" i="93"/>
  <c r="AN993" i="93"/>
  <c r="AN994" i="93"/>
  <c r="AN995" i="93"/>
  <c r="AN996" i="93"/>
  <c r="AN997" i="93"/>
  <c r="AN998" i="93"/>
  <c r="AN999" i="93"/>
  <c r="AN1000" i="93"/>
  <c r="AN1001" i="93"/>
  <c r="AN1002" i="93"/>
  <c r="AN1003" i="93"/>
  <c r="AN1004" i="93"/>
  <c r="AN1005" i="93"/>
  <c r="AN1006" i="93"/>
  <c r="AN1007" i="93"/>
  <c r="AN1008" i="93"/>
  <c r="AN1009" i="93"/>
  <c r="AN1010" i="93"/>
  <c r="AN1011" i="93"/>
  <c r="AN1012" i="93"/>
  <c r="AN1013" i="93"/>
  <c r="AN1014" i="93"/>
  <c r="AN1015" i="93"/>
  <c r="AN1016" i="93"/>
  <c r="AN1017" i="93"/>
  <c r="AN1018" i="93"/>
  <c r="AN1019" i="93"/>
  <c r="AN1020" i="93"/>
  <c r="AN1021" i="93"/>
  <c r="AN1022" i="93"/>
  <c r="AN1023" i="93"/>
  <c r="AN1024" i="93"/>
  <c r="AN1025" i="93"/>
  <c r="AN1026" i="93"/>
  <c r="AN1027" i="93"/>
  <c r="AN1028" i="93"/>
  <c r="AN1029" i="93"/>
  <c r="AN1030" i="93"/>
  <c r="AN1031" i="93"/>
  <c r="AN1032" i="93"/>
  <c r="AN1033" i="93"/>
  <c r="AN1034" i="93"/>
  <c r="AN1035" i="93"/>
  <c r="AN1036" i="93"/>
  <c r="AN1037" i="93"/>
  <c r="AN1038" i="93"/>
  <c r="AN1039" i="93"/>
  <c r="AN1040" i="93"/>
  <c r="AN1041" i="93"/>
  <c r="AN1042" i="93"/>
  <c r="AN1043" i="93"/>
  <c r="AN1044" i="93"/>
  <c r="AN1045" i="93"/>
  <c r="AN1046" i="93"/>
  <c r="AN1047" i="93"/>
  <c r="AN1048" i="93"/>
  <c r="AN1049" i="93"/>
  <c r="AN1050" i="93"/>
  <c r="AN1051" i="93"/>
  <c r="AN1052" i="93"/>
  <c r="AN1053" i="93"/>
  <c r="AN1054" i="93"/>
  <c r="AN1055" i="93"/>
  <c r="AN1056" i="93"/>
  <c r="AN1057" i="93"/>
  <c r="AN1058" i="93"/>
  <c r="AN1059" i="93"/>
  <c r="AN1060" i="93"/>
  <c r="AN1061" i="93"/>
  <c r="AN1062" i="93"/>
  <c r="AN1063" i="93"/>
  <c r="AN1064" i="93"/>
  <c r="AN1065" i="93"/>
  <c r="AN1066" i="93"/>
  <c r="AN1067" i="93"/>
  <c r="AN1068" i="93"/>
  <c r="AN1069" i="93"/>
  <c r="AN1070" i="93"/>
  <c r="AN1071" i="93"/>
  <c r="AN1072" i="93"/>
  <c r="AN1073" i="93"/>
  <c r="AN1074" i="93"/>
  <c r="AN1075" i="93"/>
  <c r="AN1076" i="93"/>
  <c r="AN1077" i="93"/>
  <c r="AN1078" i="93"/>
  <c r="AN1079" i="93"/>
  <c r="AN1080" i="93"/>
  <c r="AN1081" i="93"/>
  <c r="AN1082" i="93"/>
  <c r="AN1083" i="93"/>
  <c r="AN1084" i="93"/>
  <c r="AN1085" i="93"/>
  <c r="AN1086" i="93"/>
  <c r="AN1087" i="93"/>
  <c r="AN1088" i="93"/>
  <c r="AN1089" i="93"/>
  <c r="AN1090" i="93"/>
  <c r="AN1091" i="93"/>
  <c r="AN1092" i="93"/>
  <c r="AN1093" i="93"/>
  <c r="AN1094" i="93"/>
  <c r="AN1095" i="93"/>
  <c r="AN1096" i="93"/>
  <c r="AN1097" i="93"/>
  <c r="AN1098" i="93"/>
  <c r="AN1099" i="93"/>
  <c r="AN1100" i="93"/>
  <c r="AN1101" i="93"/>
  <c r="AN1102" i="93"/>
  <c r="AN1103" i="93"/>
  <c r="AN1104" i="93"/>
  <c r="AN1105" i="93"/>
  <c r="AN1106" i="93"/>
  <c r="AN1107" i="93"/>
  <c r="AN1108" i="93"/>
  <c r="AN1109" i="93"/>
  <c r="AN1110" i="93"/>
  <c r="AN1111" i="93"/>
  <c r="AN1112" i="93"/>
  <c r="AN1113" i="93"/>
  <c r="AN1114" i="93"/>
  <c r="AN1115" i="93"/>
  <c r="AN1116" i="93"/>
  <c r="AN1117" i="93"/>
  <c r="AN1118" i="93"/>
  <c r="AN1119" i="93"/>
  <c r="AN1120" i="93"/>
  <c r="AN1121" i="93"/>
  <c r="AN1122" i="93"/>
  <c r="AN1123" i="93"/>
  <c r="AN1124" i="93"/>
  <c r="AN1125" i="93"/>
  <c r="AN1126" i="93"/>
  <c r="AN1127" i="93"/>
  <c r="AN1128" i="93"/>
  <c r="AN1129" i="93"/>
  <c r="AN1130" i="93"/>
  <c r="AN1131" i="93"/>
  <c r="AN1132" i="93"/>
  <c r="AN1133" i="93"/>
  <c r="AN1134" i="93"/>
  <c r="AN1135" i="93"/>
  <c r="AN1136" i="93"/>
  <c r="AN1137" i="93"/>
  <c r="AN1138" i="93"/>
  <c r="AN1139" i="93"/>
  <c r="AN1140" i="93"/>
  <c r="AN1141" i="93"/>
  <c r="AN1142" i="93"/>
  <c r="AN1143" i="93"/>
  <c r="AN1144" i="93"/>
  <c r="AN1145" i="93"/>
  <c r="AN1146" i="93"/>
  <c r="AN1147" i="93"/>
  <c r="AN1148" i="93"/>
  <c r="AN1149" i="93"/>
  <c r="AN1150" i="93"/>
  <c r="AN1151" i="93"/>
  <c r="AN1152" i="93"/>
  <c r="AN1153" i="93"/>
  <c r="AN1154" i="93"/>
  <c r="AN1155" i="93"/>
  <c r="AN1156" i="93"/>
  <c r="AN1157" i="93"/>
  <c r="AN1158" i="93"/>
  <c r="AN1159" i="93"/>
  <c r="AN1160" i="93"/>
  <c r="AN1161" i="93"/>
  <c r="AN1162" i="93"/>
  <c r="AN1163" i="93"/>
  <c r="AN1164" i="93"/>
  <c r="AN1165" i="93"/>
  <c r="AN1166" i="93"/>
  <c r="AN1167" i="93"/>
  <c r="AN1168" i="93"/>
  <c r="AN1169" i="93"/>
  <c r="AN1170" i="93"/>
  <c r="AN1171" i="93"/>
  <c r="AN1172" i="93"/>
  <c r="AN1173" i="93"/>
  <c r="AN1174" i="93"/>
  <c r="AN1175" i="93"/>
  <c r="AN1176" i="93"/>
  <c r="AN1177" i="93"/>
  <c r="AN1178" i="93"/>
  <c r="AN1179" i="93"/>
  <c r="AN1180" i="93"/>
  <c r="AN1181" i="93"/>
  <c r="AN1182" i="93"/>
  <c r="AN1183" i="93"/>
  <c r="AN1184" i="93"/>
  <c r="AN1185" i="93"/>
  <c r="AN1186" i="93"/>
  <c r="AN1187" i="93"/>
  <c r="AN1188" i="93"/>
  <c r="AN1189" i="93"/>
  <c r="AN1190" i="93"/>
  <c r="AN1191" i="93"/>
  <c r="AN1192" i="93"/>
  <c r="AN1193" i="93"/>
  <c r="AN1194" i="93"/>
  <c r="AN1195" i="93"/>
  <c r="AN1196" i="93"/>
  <c r="AN1197" i="93"/>
  <c r="AN1198" i="93"/>
  <c r="AN1199" i="93"/>
  <c r="AN1200" i="93"/>
  <c r="AN1201" i="93"/>
  <c r="AN1202" i="93"/>
  <c r="AN1203" i="93"/>
  <c r="AN1204" i="93"/>
  <c r="AN1205" i="93"/>
  <c r="AN1206" i="93"/>
  <c r="AN1207" i="93"/>
  <c r="AN1208" i="93"/>
  <c r="AN1209" i="93"/>
  <c r="AN1210" i="93"/>
  <c r="AN1211" i="93"/>
  <c r="AN1212" i="93"/>
  <c r="AN1213" i="93"/>
  <c r="AN14" i="93"/>
  <c r="AK16" i="93"/>
  <c r="AK17" i="93"/>
  <c r="AK32" i="93"/>
  <c r="AK33" i="93"/>
  <c r="AK48" i="93"/>
  <c r="AK49" i="93"/>
  <c r="AK64" i="93"/>
  <c r="AK65" i="93"/>
  <c r="AK80" i="93"/>
  <c r="AK81" i="93"/>
  <c r="AK96" i="93"/>
  <c r="AK97" i="93"/>
  <c r="AK112" i="93"/>
  <c r="AK113" i="93"/>
  <c r="AK128" i="93"/>
  <c r="AK129" i="93"/>
  <c r="AK145" i="93"/>
  <c r="AK161" i="93"/>
  <c r="AK220" i="93"/>
  <c r="AK221" i="93"/>
  <c r="AK232" i="93"/>
  <c r="AK241" i="93"/>
  <c r="AK243" i="93"/>
  <c r="AK252" i="93"/>
  <c r="AK253" i="93"/>
  <c r="AK264" i="93"/>
  <c r="AK273" i="93"/>
  <c r="AK275" i="93"/>
  <c r="AK284" i="93"/>
  <c r="AK285" i="93"/>
  <c r="AK296" i="93"/>
  <c r="AK307" i="93"/>
  <c r="AK317" i="93"/>
  <c r="AK327" i="93"/>
  <c r="AK374" i="93"/>
  <c r="AK375" i="93"/>
  <c r="AK382" i="93"/>
  <c r="AK383" i="93"/>
  <c r="AK390" i="93"/>
  <c r="AK391" i="93"/>
  <c r="AK398" i="93"/>
  <c r="AK399" i="93"/>
  <c r="AK406" i="93"/>
  <c r="AK407" i="93"/>
  <c r="AK414" i="93"/>
  <c r="AK415" i="93"/>
  <c r="AK422" i="93"/>
  <c r="AK423" i="93"/>
  <c r="AK430" i="93"/>
  <c r="AK431" i="93"/>
  <c r="AK438" i="93"/>
  <c r="AK439" i="93"/>
  <c r="AK446" i="93"/>
  <c r="AK447" i="93"/>
  <c r="AK455" i="93"/>
  <c r="AK463" i="93"/>
  <c r="AK471" i="93"/>
  <c r="AK479" i="93"/>
  <c r="AK487" i="93"/>
  <c r="AK534" i="93"/>
  <c r="AK535" i="93"/>
  <c r="AK542" i="93"/>
  <c r="AK543" i="93"/>
  <c r="AK550" i="93"/>
  <c r="AK551" i="93"/>
  <c r="AK558" i="93"/>
  <c r="AK559" i="93"/>
  <c r="AK566" i="93"/>
  <c r="AK567" i="93"/>
  <c r="AK574" i="93"/>
  <c r="AK575" i="93"/>
  <c r="AK582" i="93"/>
  <c r="AK583" i="93"/>
  <c r="AK590" i="93"/>
  <c r="AK591" i="93"/>
  <c r="AK598" i="93"/>
  <c r="AK599" i="93"/>
  <c r="AK606" i="93"/>
  <c r="AK607" i="93"/>
  <c r="AK615" i="93"/>
  <c r="AK623" i="93"/>
  <c r="AK631" i="93"/>
  <c r="AK639" i="93"/>
  <c r="AK647" i="93"/>
  <c r="AK694" i="93"/>
  <c r="AK695" i="93"/>
  <c r="AK702" i="93"/>
  <c r="AK703" i="93"/>
  <c r="AK710" i="93"/>
  <c r="AK711" i="93"/>
  <c r="AK718" i="93"/>
  <c r="AK719" i="93"/>
  <c r="AK726" i="93"/>
  <c r="AK727" i="93"/>
  <c r="AK734" i="93"/>
  <c r="AK735" i="93"/>
  <c r="AK742" i="93"/>
  <c r="AK743" i="93"/>
  <c r="AK750" i="93"/>
  <c r="AK751" i="93"/>
  <c r="AK758" i="93"/>
  <c r="AK759" i="93"/>
  <c r="AK766" i="93"/>
  <c r="AK767" i="93"/>
  <c r="AK775" i="93"/>
  <c r="AK783" i="93"/>
  <c r="AK791" i="93"/>
  <c r="AK799" i="93"/>
  <c r="AK804" i="93"/>
  <c r="AK810" i="93"/>
  <c r="AK856" i="93"/>
  <c r="AK858" i="93"/>
  <c r="AK862" i="93"/>
  <c r="AK863" i="93"/>
  <c r="AK868" i="93"/>
  <c r="AK872" i="93"/>
  <c r="AK874" i="93"/>
  <c r="AK878" i="93"/>
  <c r="AK879" i="93"/>
  <c r="AK884" i="93"/>
  <c r="AK888" i="93"/>
  <c r="AK890" i="93"/>
  <c r="AK894" i="93"/>
  <c r="AK895" i="93"/>
  <c r="AK900" i="93"/>
  <c r="AK904" i="93"/>
  <c r="AK906" i="93"/>
  <c r="AK910" i="93"/>
  <c r="AK911" i="93"/>
  <c r="AK916" i="93"/>
  <c r="AK920" i="93"/>
  <c r="AK922" i="93"/>
  <c r="AK926" i="93"/>
  <c r="AK927" i="93"/>
  <c r="AK932" i="93"/>
  <c r="AK938" i="93"/>
  <c r="AK943" i="93"/>
  <c r="AK948" i="93"/>
  <c r="AK954" i="93"/>
  <c r="AK959" i="93"/>
  <c r="AK964" i="93"/>
  <c r="AK970" i="93"/>
  <c r="AK1016" i="93"/>
  <c r="AK1018" i="93"/>
  <c r="AK1022" i="93"/>
  <c r="AK1023" i="93"/>
  <c r="AK1028" i="93"/>
  <c r="AK1032" i="93"/>
  <c r="AK1034" i="93"/>
  <c r="AK1038" i="93"/>
  <c r="AK1039" i="93"/>
  <c r="AK1044" i="93"/>
  <c r="AK1048" i="93"/>
  <c r="AK1050" i="93"/>
  <c r="AK1054" i="93"/>
  <c r="AK1055" i="93"/>
  <c r="AK1060" i="93"/>
  <c r="AK1064" i="93"/>
  <c r="AK1066" i="93"/>
  <c r="AK1070" i="93"/>
  <c r="AK1071" i="93"/>
  <c r="AK1076" i="93"/>
  <c r="AK1080" i="93"/>
  <c r="AK1082" i="93"/>
  <c r="AK1086" i="93"/>
  <c r="AK1087" i="93"/>
  <c r="AK1092" i="93"/>
  <c r="AK1098" i="93"/>
  <c r="AK1103" i="93"/>
  <c r="AK1107" i="93"/>
  <c r="AK1111" i="93"/>
  <c r="AK1115" i="93"/>
  <c r="AK1119" i="93"/>
  <c r="AK1123" i="93"/>
  <c r="AK1127" i="93"/>
  <c r="AK1131" i="93"/>
  <c r="AK1174" i="93"/>
  <c r="AK1175" i="93"/>
  <c r="AK1178" i="93"/>
  <c r="AK1179" i="93"/>
  <c r="AK1182" i="93"/>
  <c r="AK1183" i="93"/>
  <c r="AK1186" i="93"/>
  <c r="AK1187" i="93"/>
  <c r="AK1190" i="93"/>
  <c r="AK1191" i="93"/>
  <c r="AK1194" i="93"/>
  <c r="AK1195" i="93"/>
  <c r="AK1198" i="93"/>
  <c r="AK1199" i="93"/>
  <c r="AK1202" i="93"/>
  <c r="AK1203" i="93"/>
  <c r="AK1206" i="93"/>
  <c r="AK1207" i="93"/>
  <c r="AK1209" i="93"/>
  <c r="AK1210" i="93"/>
  <c r="AK1211" i="93"/>
  <c r="AK1213" i="93"/>
  <c r="AM14" i="93"/>
  <c r="AO14" i="93" s="1"/>
  <c r="AF5" i="93"/>
  <c r="AK57" i="93" s="1"/>
  <c r="AF6" i="93"/>
  <c r="AF7" i="93"/>
  <c r="AK137" i="93" s="1"/>
  <c r="AF8" i="93"/>
  <c r="AK176" i="93" s="1"/>
  <c r="AF9" i="93"/>
  <c r="AK216" i="93" s="1"/>
  <c r="AF10" i="93"/>
  <c r="AF11" i="93"/>
  <c r="AK295" i="93" s="1"/>
  <c r="AF12" i="93"/>
  <c r="AK339" i="93" s="1"/>
  <c r="AF13" i="93"/>
  <c r="AK379" i="93" s="1"/>
  <c r="AF14" i="93"/>
  <c r="AF15" i="93"/>
  <c r="AK459" i="93" s="1"/>
  <c r="AF16" i="93"/>
  <c r="AK494" i="93" s="1"/>
  <c r="AF17" i="93"/>
  <c r="AK539" i="93" s="1"/>
  <c r="AF18" i="93"/>
  <c r="AF19" i="93"/>
  <c r="AF20" i="93"/>
  <c r="AK659" i="93" s="1"/>
  <c r="AF21" i="93"/>
  <c r="AK699" i="93" s="1"/>
  <c r="AF22" i="93"/>
  <c r="AF23" i="93"/>
  <c r="AK782" i="93" s="1"/>
  <c r="AF24" i="93"/>
  <c r="AK824" i="93" s="1"/>
  <c r="AF25" i="93"/>
  <c r="AK855" i="93" s="1"/>
  <c r="AF26" i="93"/>
  <c r="AF27" i="93"/>
  <c r="AK935" i="93" s="1"/>
  <c r="AF28" i="93"/>
  <c r="AF29" i="93"/>
  <c r="AK1015" i="93" s="1"/>
  <c r="AF30" i="93"/>
  <c r="AF31" i="93"/>
  <c r="AK1095" i="93" s="1"/>
  <c r="AF32" i="93"/>
  <c r="AK1136" i="93" s="1"/>
  <c r="AF33" i="93"/>
  <c r="AK1176" i="93" s="1"/>
  <c r="AF4" i="93"/>
  <c r="AJ15" i="93"/>
  <c r="AJ16" i="93"/>
  <c r="AJ17" i="93"/>
  <c r="AJ18" i="93"/>
  <c r="AJ19" i="93"/>
  <c r="AJ20" i="93"/>
  <c r="AJ21" i="93"/>
  <c r="AJ22" i="93"/>
  <c r="AJ23" i="93"/>
  <c r="AJ24" i="93"/>
  <c r="AJ25" i="93"/>
  <c r="AJ26" i="93"/>
  <c r="AJ27" i="93"/>
  <c r="AJ28" i="93"/>
  <c r="AJ29" i="93"/>
  <c r="AJ30" i="93"/>
  <c r="AJ31" i="93"/>
  <c r="AJ32" i="93"/>
  <c r="AJ33" i="93"/>
  <c r="AJ34" i="93"/>
  <c r="AJ35" i="93"/>
  <c r="AJ36" i="93"/>
  <c r="AJ37" i="93"/>
  <c r="AJ38" i="93"/>
  <c r="AJ39" i="93"/>
  <c r="AJ40" i="93"/>
  <c r="AJ41" i="93"/>
  <c r="AJ42" i="93"/>
  <c r="AJ43" i="93"/>
  <c r="AJ44" i="93"/>
  <c r="AJ45" i="93"/>
  <c r="AJ46" i="93"/>
  <c r="AJ47" i="93"/>
  <c r="AJ48" i="93"/>
  <c r="AJ49" i="93"/>
  <c r="AJ50" i="93"/>
  <c r="AJ51" i="93"/>
  <c r="AJ52" i="93"/>
  <c r="AJ53" i="93"/>
  <c r="AJ54" i="93"/>
  <c r="AJ55" i="93"/>
  <c r="AJ56" i="93"/>
  <c r="AJ57" i="93"/>
  <c r="AJ58" i="93"/>
  <c r="AJ59" i="93"/>
  <c r="AJ60" i="93"/>
  <c r="AJ61" i="93"/>
  <c r="AJ62" i="93"/>
  <c r="AJ63" i="93"/>
  <c r="AJ64" i="93"/>
  <c r="AJ65" i="93"/>
  <c r="AJ66" i="93"/>
  <c r="AJ67" i="93"/>
  <c r="AJ68" i="93"/>
  <c r="AJ69" i="93"/>
  <c r="AJ70" i="93"/>
  <c r="AJ71" i="93"/>
  <c r="AJ72" i="93"/>
  <c r="AJ73" i="93"/>
  <c r="AJ74" i="93"/>
  <c r="AJ75" i="93"/>
  <c r="AJ76" i="93"/>
  <c r="AJ77" i="93"/>
  <c r="AJ78" i="93"/>
  <c r="AJ79" i="93"/>
  <c r="AJ80" i="93"/>
  <c r="AJ81" i="93"/>
  <c r="AJ82" i="93"/>
  <c r="AJ83" i="93"/>
  <c r="AJ84" i="93"/>
  <c r="AJ85" i="93"/>
  <c r="AJ86" i="93"/>
  <c r="AJ87" i="93"/>
  <c r="AJ88" i="93"/>
  <c r="AJ89" i="93"/>
  <c r="AJ90" i="93"/>
  <c r="AJ91" i="93"/>
  <c r="AJ92" i="93"/>
  <c r="AJ93" i="93"/>
  <c r="AJ94" i="93"/>
  <c r="AJ95" i="93"/>
  <c r="AJ96" i="93"/>
  <c r="AJ97" i="93"/>
  <c r="AJ98" i="93"/>
  <c r="AJ99" i="93"/>
  <c r="AJ100" i="93"/>
  <c r="AJ101" i="93"/>
  <c r="AJ102" i="93"/>
  <c r="AJ103" i="93"/>
  <c r="AJ104" i="93"/>
  <c r="AJ105" i="93"/>
  <c r="AJ106" i="93"/>
  <c r="AJ107" i="93"/>
  <c r="AJ108" i="93"/>
  <c r="AJ109" i="93"/>
  <c r="AJ110" i="93"/>
  <c r="AJ111" i="93"/>
  <c r="AJ112" i="93"/>
  <c r="AJ113" i="93"/>
  <c r="AJ114" i="93"/>
  <c r="AJ115" i="93"/>
  <c r="AJ116" i="93"/>
  <c r="AJ117" i="93"/>
  <c r="AJ118" i="93"/>
  <c r="AJ119" i="93"/>
  <c r="AJ120" i="93"/>
  <c r="AJ121" i="93"/>
  <c r="AJ122" i="93"/>
  <c r="AJ123" i="93"/>
  <c r="AJ124" i="93"/>
  <c r="AJ125" i="93"/>
  <c r="AJ126" i="93"/>
  <c r="AJ127" i="93"/>
  <c r="AJ128" i="93"/>
  <c r="AJ129" i="93"/>
  <c r="AJ130" i="93"/>
  <c r="AJ131" i="93"/>
  <c r="AJ132" i="93"/>
  <c r="AJ133" i="93"/>
  <c r="AJ134" i="93"/>
  <c r="AJ135" i="93"/>
  <c r="AJ136" i="93"/>
  <c r="AJ137" i="93"/>
  <c r="AJ138" i="93"/>
  <c r="AJ139" i="93"/>
  <c r="AJ140" i="93"/>
  <c r="AJ141" i="93"/>
  <c r="AJ142" i="93"/>
  <c r="AJ143" i="93"/>
  <c r="AJ144" i="93"/>
  <c r="AJ145" i="93"/>
  <c r="AJ146" i="93"/>
  <c r="AJ147" i="93"/>
  <c r="AJ148" i="93"/>
  <c r="AJ149" i="93"/>
  <c r="AJ150" i="93"/>
  <c r="AJ151" i="93"/>
  <c r="AJ152" i="93"/>
  <c r="AJ153" i="93"/>
  <c r="AJ154" i="93"/>
  <c r="AJ155" i="93"/>
  <c r="AJ156" i="93"/>
  <c r="AJ157" i="93"/>
  <c r="AJ158" i="93"/>
  <c r="AJ159" i="93"/>
  <c r="AJ160" i="93"/>
  <c r="AJ161" i="93"/>
  <c r="AJ162" i="93"/>
  <c r="AJ163" i="93"/>
  <c r="AJ164" i="93"/>
  <c r="AJ165" i="93"/>
  <c r="AJ166" i="93"/>
  <c r="AJ167" i="93"/>
  <c r="AJ168" i="93"/>
  <c r="AJ169" i="93"/>
  <c r="AJ170" i="93"/>
  <c r="AJ171" i="93"/>
  <c r="AJ172" i="93"/>
  <c r="AJ173" i="93"/>
  <c r="AJ174" i="93"/>
  <c r="AJ175" i="93"/>
  <c r="AJ176" i="93"/>
  <c r="AJ177" i="93"/>
  <c r="AJ178" i="93"/>
  <c r="AJ179" i="93"/>
  <c r="AJ180" i="93"/>
  <c r="AJ181" i="93"/>
  <c r="AJ182" i="93"/>
  <c r="AJ183" i="93"/>
  <c r="AJ184" i="93"/>
  <c r="AJ185" i="93"/>
  <c r="AJ186" i="93"/>
  <c r="AJ187" i="93"/>
  <c r="AJ188" i="93"/>
  <c r="AJ189" i="93"/>
  <c r="AJ190" i="93"/>
  <c r="AJ191" i="93"/>
  <c r="AJ192" i="93"/>
  <c r="AJ193" i="93"/>
  <c r="AJ194" i="93"/>
  <c r="AJ195" i="93"/>
  <c r="AJ196" i="93"/>
  <c r="AJ197" i="93"/>
  <c r="AJ198" i="93"/>
  <c r="AJ199" i="93"/>
  <c r="AJ200" i="93"/>
  <c r="AJ201" i="93"/>
  <c r="AJ202" i="93"/>
  <c r="AJ203" i="93"/>
  <c r="AJ204" i="93"/>
  <c r="AJ205" i="93"/>
  <c r="AJ206" i="93"/>
  <c r="AJ207" i="93"/>
  <c r="AJ208" i="93"/>
  <c r="AJ209" i="93"/>
  <c r="AJ210" i="93"/>
  <c r="AJ211" i="93"/>
  <c r="AJ212" i="93"/>
  <c r="AJ213" i="93"/>
  <c r="AJ214" i="93"/>
  <c r="AJ215" i="93"/>
  <c r="AJ216" i="93"/>
  <c r="AJ217" i="93"/>
  <c r="AJ218" i="93"/>
  <c r="AJ219" i="93"/>
  <c r="AJ220" i="93"/>
  <c r="AJ221" i="93"/>
  <c r="AJ222" i="93"/>
  <c r="AJ223" i="93"/>
  <c r="AJ224" i="93"/>
  <c r="AJ225" i="93"/>
  <c r="AJ226" i="93"/>
  <c r="AJ227" i="93"/>
  <c r="AJ228" i="93"/>
  <c r="AJ229" i="93"/>
  <c r="AJ230" i="93"/>
  <c r="AJ231" i="93"/>
  <c r="AJ232" i="93"/>
  <c r="AJ233" i="93"/>
  <c r="AJ234" i="93"/>
  <c r="AJ235" i="93"/>
  <c r="AJ236" i="93"/>
  <c r="AJ237" i="93"/>
  <c r="AJ238" i="93"/>
  <c r="AJ239" i="93"/>
  <c r="AJ240" i="93"/>
  <c r="AJ241" i="93"/>
  <c r="AJ242" i="93"/>
  <c r="AJ243" i="93"/>
  <c r="AJ244" i="93"/>
  <c r="AJ245" i="93"/>
  <c r="AJ246" i="93"/>
  <c r="AJ247" i="93"/>
  <c r="AJ248" i="93"/>
  <c r="AJ249" i="93"/>
  <c r="AJ250" i="93"/>
  <c r="AJ251" i="93"/>
  <c r="AJ252" i="93"/>
  <c r="AJ253" i="93"/>
  <c r="AJ254" i="93"/>
  <c r="AJ255" i="93"/>
  <c r="AJ256" i="93"/>
  <c r="AJ257" i="93"/>
  <c r="AJ258" i="93"/>
  <c r="AJ259" i="93"/>
  <c r="AJ260" i="93"/>
  <c r="AJ261" i="93"/>
  <c r="AJ262" i="93"/>
  <c r="AJ263" i="93"/>
  <c r="AJ264" i="93"/>
  <c r="AJ265" i="93"/>
  <c r="AJ266" i="93"/>
  <c r="AJ267" i="93"/>
  <c r="AJ268" i="93"/>
  <c r="AJ269" i="93"/>
  <c r="AJ270" i="93"/>
  <c r="AJ271" i="93"/>
  <c r="AJ272" i="93"/>
  <c r="AJ273" i="93"/>
  <c r="AJ274" i="93"/>
  <c r="AJ275" i="93"/>
  <c r="AJ276" i="93"/>
  <c r="AJ277" i="93"/>
  <c r="AJ278" i="93"/>
  <c r="AJ279" i="93"/>
  <c r="AJ280" i="93"/>
  <c r="AJ281" i="93"/>
  <c r="AJ282" i="93"/>
  <c r="AJ283" i="93"/>
  <c r="AJ284" i="93"/>
  <c r="AJ285" i="93"/>
  <c r="AJ286" i="93"/>
  <c r="AJ287" i="93"/>
  <c r="AJ288" i="93"/>
  <c r="AJ289" i="93"/>
  <c r="AJ290" i="93"/>
  <c r="AJ291" i="93"/>
  <c r="AJ292" i="93"/>
  <c r="AJ293" i="93"/>
  <c r="AJ294" i="93"/>
  <c r="AJ295" i="93"/>
  <c r="AJ296" i="93"/>
  <c r="AJ297" i="93"/>
  <c r="AJ298" i="93"/>
  <c r="AJ299" i="93"/>
  <c r="AJ300" i="93"/>
  <c r="AJ301" i="93"/>
  <c r="AJ302" i="93"/>
  <c r="AJ303" i="93"/>
  <c r="AJ304" i="93"/>
  <c r="AJ305" i="93"/>
  <c r="AJ306" i="93"/>
  <c r="AJ307" i="93"/>
  <c r="AJ308" i="93"/>
  <c r="AJ309" i="93"/>
  <c r="AJ310" i="93"/>
  <c r="AJ311" i="93"/>
  <c r="AJ312" i="93"/>
  <c r="AJ313" i="93"/>
  <c r="AJ314" i="93"/>
  <c r="AJ315" i="93"/>
  <c r="AJ316" i="93"/>
  <c r="AJ317" i="93"/>
  <c r="AJ318" i="93"/>
  <c r="AJ319" i="93"/>
  <c r="AJ320" i="93"/>
  <c r="AJ321" i="93"/>
  <c r="AJ322" i="93"/>
  <c r="AJ323" i="93"/>
  <c r="AJ324" i="93"/>
  <c r="AJ325" i="93"/>
  <c r="AJ326" i="93"/>
  <c r="AJ327" i="93"/>
  <c r="AJ328" i="93"/>
  <c r="AJ329" i="93"/>
  <c r="AJ330" i="93"/>
  <c r="AJ331" i="93"/>
  <c r="AJ332" i="93"/>
  <c r="AJ333" i="93"/>
  <c r="AJ334" i="93"/>
  <c r="AJ335" i="93"/>
  <c r="AJ336" i="93"/>
  <c r="AJ337" i="93"/>
  <c r="AJ338" i="93"/>
  <c r="AJ339" i="93"/>
  <c r="AJ340" i="93"/>
  <c r="AJ341" i="93"/>
  <c r="AJ342" i="93"/>
  <c r="AJ343" i="93"/>
  <c r="AJ344" i="93"/>
  <c r="AJ345" i="93"/>
  <c r="AJ346" i="93"/>
  <c r="AJ347" i="93"/>
  <c r="AJ348" i="93"/>
  <c r="AJ349" i="93"/>
  <c r="AJ350" i="93"/>
  <c r="AJ351" i="93"/>
  <c r="AJ352" i="93"/>
  <c r="AJ353" i="93"/>
  <c r="AJ354" i="93"/>
  <c r="AJ355" i="93"/>
  <c r="AJ356" i="93"/>
  <c r="AJ357" i="93"/>
  <c r="AJ358" i="93"/>
  <c r="AJ359" i="93"/>
  <c r="AJ360" i="93"/>
  <c r="AJ361" i="93"/>
  <c r="AJ362" i="93"/>
  <c r="AJ363" i="93"/>
  <c r="AJ364" i="93"/>
  <c r="AJ365" i="93"/>
  <c r="AJ366" i="93"/>
  <c r="AJ367" i="93"/>
  <c r="AJ368" i="93"/>
  <c r="AJ369" i="93"/>
  <c r="AJ370" i="93"/>
  <c r="AJ371" i="93"/>
  <c r="AJ372" i="93"/>
  <c r="AJ373" i="93"/>
  <c r="AJ374" i="93"/>
  <c r="AJ375" i="93"/>
  <c r="AJ376" i="93"/>
  <c r="AJ377" i="93"/>
  <c r="AJ378" i="93"/>
  <c r="AJ379" i="93"/>
  <c r="AJ380" i="93"/>
  <c r="AJ381" i="93"/>
  <c r="AJ382" i="93"/>
  <c r="AJ383" i="93"/>
  <c r="AJ384" i="93"/>
  <c r="AJ385" i="93"/>
  <c r="AJ386" i="93"/>
  <c r="AJ387" i="93"/>
  <c r="AJ388" i="93"/>
  <c r="AJ389" i="93"/>
  <c r="AJ390" i="93"/>
  <c r="AJ391" i="93"/>
  <c r="AJ392" i="93"/>
  <c r="AJ393" i="93"/>
  <c r="AJ394" i="93"/>
  <c r="AJ395" i="93"/>
  <c r="AJ396" i="93"/>
  <c r="AJ397" i="93"/>
  <c r="AJ398" i="93"/>
  <c r="AJ399" i="93"/>
  <c r="AJ400" i="93"/>
  <c r="AJ401" i="93"/>
  <c r="AJ402" i="93"/>
  <c r="AJ403" i="93"/>
  <c r="AJ404" i="93"/>
  <c r="AJ405" i="93"/>
  <c r="AJ406" i="93"/>
  <c r="AJ407" i="93"/>
  <c r="AJ408" i="93"/>
  <c r="AJ409" i="93"/>
  <c r="AJ410" i="93"/>
  <c r="AJ411" i="93"/>
  <c r="AJ412" i="93"/>
  <c r="AJ413" i="93"/>
  <c r="AJ414" i="93"/>
  <c r="AJ415" i="93"/>
  <c r="AJ416" i="93"/>
  <c r="AJ417" i="93"/>
  <c r="AJ418" i="93"/>
  <c r="AJ419" i="93"/>
  <c r="AJ420" i="93"/>
  <c r="AJ421" i="93"/>
  <c r="AJ422" i="93"/>
  <c r="AJ423" i="93"/>
  <c r="AJ424" i="93"/>
  <c r="AJ425" i="93"/>
  <c r="AJ426" i="93"/>
  <c r="AJ427" i="93"/>
  <c r="AJ428" i="93"/>
  <c r="AJ429" i="93"/>
  <c r="AJ430" i="93"/>
  <c r="AJ431" i="93"/>
  <c r="AJ432" i="93"/>
  <c r="AJ433" i="93"/>
  <c r="AJ434" i="93"/>
  <c r="AJ435" i="93"/>
  <c r="AJ436" i="93"/>
  <c r="AJ437" i="93"/>
  <c r="AJ438" i="93"/>
  <c r="AJ439" i="93"/>
  <c r="AJ440" i="93"/>
  <c r="AJ441" i="93"/>
  <c r="AJ442" i="93"/>
  <c r="AJ443" i="93"/>
  <c r="AJ444" i="93"/>
  <c r="AJ445" i="93"/>
  <c r="AJ446" i="93"/>
  <c r="AJ447" i="93"/>
  <c r="AJ448" i="93"/>
  <c r="AJ449" i="93"/>
  <c r="AJ450" i="93"/>
  <c r="AJ451" i="93"/>
  <c r="AJ452" i="93"/>
  <c r="AJ453" i="93"/>
  <c r="AJ454" i="93"/>
  <c r="AJ455" i="93"/>
  <c r="AJ456" i="93"/>
  <c r="AJ457" i="93"/>
  <c r="AJ458" i="93"/>
  <c r="AJ459" i="93"/>
  <c r="AJ460" i="93"/>
  <c r="AJ461" i="93"/>
  <c r="AJ462" i="93"/>
  <c r="AJ463" i="93"/>
  <c r="AJ464" i="93"/>
  <c r="AJ465" i="93"/>
  <c r="AJ466" i="93"/>
  <c r="AJ467" i="93"/>
  <c r="AJ468" i="93"/>
  <c r="AJ469" i="93"/>
  <c r="AJ470" i="93"/>
  <c r="AJ471" i="93"/>
  <c r="AJ472" i="93"/>
  <c r="AJ473" i="93"/>
  <c r="AJ474" i="93"/>
  <c r="AJ475" i="93"/>
  <c r="AJ476" i="93"/>
  <c r="AJ477" i="93"/>
  <c r="AJ478" i="93"/>
  <c r="AJ479" i="93"/>
  <c r="AJ480" i="93"/>
  <c r="AJ481" i="93"/>
  <c r="AJ482" i="93"/>
  <c r="AJ483" i="93"/>
  <c r="AJ484" i="93"/>
  <c r="AJ485" i="93"/>
  <c r="AJ486" i="93"/>
  <c r="AJ487" i="93"/>
  <c r="AJ488" i="93"/>
  <c r="AJ489" i="93"/>
  <c r="AJ490" i="93"/>
  <c r="AJ491" i="93"/>
  <c r="AJ492" i="93"/>
  <c r="AJ493" i="93"/>
  <c r="AJ494" i="93"/>
  <c r="AJ495" i="93"/>
  <c r="AJ496" i="93"/>
  <c r="AJ497" i="93"/>
  <c r="AJ498" i="93"/>
  <c r="AJ499" i="93"/>
  <c r="AJ500" i="93"/>
  <c r="AJ501" i="93"/>
  <c r="AJ502" i="93"/>
  <c r="AJ503" i="93"/>
  <c r="AJ504" i="93"/>
  <c r="AJ505" i="93"/>
  <c r="AJ506" i="93"/>
  <c r="AJ507" i="93"/>
  <c r="AJ508" i="93"/>
  <c r="AJ509" i="93"/>
  <c r="AJ510" i="93"/>
  <c r="AJ511" i="93"/>
  <c r="AJ512" i="93"/>
  <c r="AJ513" i="93"/>
  <c r="AJ514" i="93"/>
  <c r="AJ515" i="93"/>
  <c r="AJ516" i="93"/>
  <c r="AJ517" i="93"/>
  <c r="AJ518" i="93"/>
  <c r="AJ519" i="93"/>
  <c r="AJ520" i="93"/>
  <c r="AJ521" i="93"/>
  <c r="AJ522" i="93"/>
  <c r="AJ523" i="93"/>
  <c r="AJ524" i="93"/>
  <c r="AJ525" i="93"/>
  <c r="AJ526" i="93"/>
  <c r="AJ527" i="93"/>
  <c r="AJ528" i="93"/>
  <c r="AJ529" i="93"/>
  <c r="AJ530" i="93"/>
  <c r="AJ531" i="93"/>
  <c r="AJ532" i="93"/>
  <c r="AJ533" i="93"/>
  <c r="AJ534" i="93"/>
  <c r="AJ535" i="93"/>
  <c r="AJ536" i="93"/>
  <c r="AJ537" i="93"/>
  <c r="AJ538" i="93"/>
  <c r="AJ539" i="93"/>
  <c r="AJ540" i="93"/>
  <c r="AJ541" i="93"/>
  <c r="AJ542" i="93"/>
  <c r="AJ543" i="93"/>
  <c r="AJ544" i="93"/>
  <c r="AJ545" i="93"/>
  <c r="AJ546" i="93"/>
  <c r="AJ547" i="93"/>
  <c r="AJ548" i="93"/>
  <c r="AJ549" i="93"/>
  <c r="AJ550" i="93"/>
  <c r="AJ551" i="93"/>
  <c r="AJ552" i="93"/>
  <c r="AJ553" i="93"/>
  <c r="AJ554" i="93"/>
  <c r="AJ555" i="93"/>
  <c r="AJ556" i="93"/>
  <c r="AJ557" i="93"/>
  <c r="AJ558" i="93"/>
  <c r="AJ559" i="93"/>
  <c r="AJ560" i="93"/>
  <c r="AJ561" i="93"/>
  <c r="AJ562" i="93"/>
  <c r="AJ563" i="93"/>
  <c r="AJ564" i="93"/>
  <c r="AJ565" i="93"/>
  <c r="AJ566" i="93"/>
  <c r="AJ567" i="93"/>
  <c r="AJ568" i="93"/>
  <c r="AJ569" i="93"/>
  <c r="AJ570" i="93"/>
  <c r="AJ571" i="93"/>
  <c r="AJ572" i="93"/>
  <c r="AJ573" i="93"/>
  <c r="AJ574" i="93"/>
  <c r="AJ575" i="93"/>
  <c r="AJ576" i="93"/>
  <c r="AJ577" i="93"/>
  <c r="AJ578" i="93"/>
  <c r="AJ579" i="93"/>
  <c r="AJ580" i="93"/>
  <c r="AJ581" i="93"/>
  <c r="AJ582" i="93"/>
  <c r="AJ583" i="93"/>
  <c r="AJ584" i="93"/>
  <c r="AJ585" i="93"/>
  <c r="AJ586" i="93"/>
  <c r="AJ587" i="93"/>
  <c r="AJ588" i="93"/>
  <c r="AJ589" i="93"/>
  <c r="AJ590" i="93"/>
  <c r="AJ591" i="93"/>
  <c r="AJ592" i="93"/>
  <c r="AJ593" i="93"/>
  <c r="AJ594" i="93"/>
  <c r="AJ595" i="93"/>
  <c r="AJ596" i="93"/>
  <c r="AJ597" i="93"/>
  <c r="AJ598" i="93"/>
  <c r="AJ599" i="93"/>
  <c r="AJ600" i="93"/>
  <c r="AJ601" i="93"/>
  <c r="AJ602" i="93"/>
  <c r="AJ603" i="93"/>
  <c r="AJ604" i="93"/>
  <c r="AJ605" i="93"/>
  <c r="AJ606" i="93"/>
  <c r="AJ607" i="93"/>
  <c r="AJ608" i="93"/>
  <c r="AJ609" i="93"/>
  <c r="AJ610" i="93"/>
  <c r="AJ611" i="93"/>
  <c r="AJ612" i="93"/>
  <c r="AJ613" i="93"/>
  <c r="AJ614" i="93"/>
  <c r="AJ615" i="93"/>
  <c r="AJ616" i="93"/>
  <c r="AJ617" i="93"/>
  <c r="AJ618" i="93"/>
  <c r="AJ619" i="93"/>
  <c r="AJ620" i="93"/>
  <c r="AJ621" i="93"/>
  <c r="AJ622" i="93"/>
  <c r="AJ623" i="93"/>
  <c r="AJ624" i="93"/>
  <c r="AJ625" i="93"/>
  <c r="AJ626" i="93"/>
  <c r="AJ627" i="93"/>
  <c r="AJ628" i="93"/>
  <c r="AJ629" i="93"/>
  <c r="AJ630" i="93"/>
  <c r="AJ631" i="93"/>
  <c r="AJ632" i="93"/>
  <c r="AJ633" i="93"/>
  <c r="AJ634" i="93"/>
  <c r="AJ635" i="93"/>
  <c r="AJ636" i="93"/>
  <c r="AJ637" i="93"/>
  <c r="AJ638" i="93"/>
  <c r="AJ639" i="93"/>
  <c r="AJ640" i="93"/>
  <c r="AJ641" i="93"/>
  <c r="AJ642" i="93"/>
  <c r="AJ643" i="93"/>
  <c r="AJ644" i="93"/>
  <c r="AJ645" i="93"/>
  <c r="AJ646" i="93"/>
  <c r="AJ647" i="93"/>
  <c r="AJ648" i="93"/>
  <c r="AJ649" i="93"/>
  <c r="AJ650" i="93"/>
  <c r="AJ651" i="93"/>
  <c r="AJ652" i="93"/>
  <c r="AJ653" i="93"/>
  <c r="AJ654" i="93"/>
  <c r="AJ655" i="93"/>
  <c r="AJ656" i="93"/>
  <c r="AJ657" i="93"/>
  <c r="AJ658" i="93"/>
  <c r="AJ659" i="93"/>
  <c r="AJ660" i="93"/>
  <c r="AJ661" i="93"/>
  <c r="AJ662" i="93"/>
  <c r="AJ663" i="93"/>
  <c r="AJ664" i="93"/>
  <c r="AJ665" i="93"/>
  <c r="AJ666" i="93"/>
  <c r="AJ667" i="93"/>
  <c r="AJ668" i="93"/>
  <c r="AJ669" i="93"/>
  <c r="AJ670" i="93"/>
  <c r="AJ671" i="93"/>
  <c r="AJ672" i="93"/>
  <c r="AJ673" i="93"/>
  <c r="AJ674" i="93"/>
  <c r="AJ675" i="93"/>
  <c r="AJ676" i="93"/>
  <c r="AJ677" i="93"/>
  <c r="AJ678" i="93"/>
  <c r="AJ679" i="93"/>
  <c r="AJ680" i="93"/>
  <c r="AJ681" i="93"/>
  <c r="AJ682" i="93"/>
  <c r="AJ683" i="93"/>
  <c r="AJ684" i="93"/>
  <c r="AJ685" i="93"/>
  <c r="AJ686" i="93"/>
  <c r="AJ687" i="93"/>
  <c r="AJ688" i="93"/>
  <c r="AJ689" i="93"/>
  <c r="AJ690" i="93"/>
  <c r="AJ691" i="93"/>
  <c r="AJ692" i="93"/>
  <c r="AJ693" i="93"/>
  <c r="AJ694" i="93"/>
  <c r="AJ695" i="93"/>
  <c r="AJ696" i="93"/>
  <c r="AJ697" i="93"/>
  <c r="AJ698" i="93"/>
  <c r="AJ699" i="93"/>
  <c r="AJ700" i="93"/>
  <c r="AJ701" i="93"/>
  <c r="AJ702" i="93"/>
  <c r="AJ703" i="93"/>
  <c r="AJ704" i="93"/>
  <c r="AJ705" i="93"/>
  <c r="AJ706" i="93"/>
  <c r="AJ707" i="93"/>
  <c r="AJ708" i="93"/>
  <c r="AJ709" i="93"/>
  <c r="AJ710" i="93"/>
  <c r="AJ711" i="93"/>
  <c r="AJ712" i="93"/>
  <c r="AJ713" i="93"/>
  <c r="AJ714" i="93"/>
  <c r="AJ715" i="93"/>
  <c r="AJ716" i="93"/>
  <c r="AJ717" i="93"/>
  <c r="AJ718" i="93"/>
  <c r="AJ719" i="93"/>
  <c r="AJ720" i="93"/>
  <c r="AJ721" i="93"/>
  <c r="AJ722" i="93"/>
  <c r="AJ723" i="93"/>
  <c r="AJ724" i="93"/>
  <c r="AJ725" i="93"/>
  <c r="AJ726" i="93"/>
  <c r="AJ727" i="93"/>
  <c r="AJ728" i="93"/>
  <c r="AJ729" i="93"/>
  <c r="AJ730" i="93"/>
  <c r="AJ731" i="93"/>
  <c r="AJ732" i="93"/>
  <c r="AJ733" i="93"/>
  <c r="AJ734" i="93"/>
  <c r="AJ735" i="93"/>
  <c r="AJ736" i="93"/>
  <c r="AJ737" i="93"/>
  <c r="AJ738" i="93"/>
  <c r="AJ739" i="93"/>
  <c r="AJ740" i="93"/>
  <c r="AJ741" i="93"/>
  <c r="AJ742" i="93"/>
  <c r="AJ743" i="93"/>
  <c r="AJ744" i="93"/>
  <c r="AJ745" i="93"/>
  <c r="AJ746" i="93"/>
  <c r="AJ747" i="93"/>
  <c r="AJ748" i="93"/>
  <c r="AJ749" i="93"/>
  <c r="AJ750" i="93"/>
  <c r="AJ751" i="93"/>
  <c r="AJ752" i="93"/>
  <c r="AJ753" i="93"/>
  <c r="AJ754" i="93"/>
  <c r="AJ755" i="93"/>
  <c r="AJ756" i="93"/>
  <c r="AJ757" i="93"/>
  <c r="AJ758" i="93"/>
  <c r="AJ759" i="93"/>
  <c r="AJ760" i="93"/>
  <c r="AJ761" i="93"/>
  <c r="AJ762" i="93"/>
  <c r="AJ763" i="93"/>
  <c r="AJ764" i="93"/>
  <c r="AJ765" i="93"/>
  <c r="AJ766" i="93"/>
  <c r="AJ767" i="93"/>
  <c r="AJ768" i="93"/>
  <c r="AJ769" i="93"/>
  <c r="AJ770" i="93"/>
  <c r="AJ771" i="93"/>
  <c r="AJ772" i="93"/>
  <c r="AJ773" i="93"/>
  <c r="AJ774" i="93"/>
  <c r="AJ775" i="93"/>
  <c r="AJ776" i="93"/>
  <c r="AJ777" i="93"/>
  <c r="AJ778" i="93"/>
  <c r="AJ779" i="93"/>
  <c r="AJ780" i="93"/>
  <c r="AJ781" i="93"/>
  <c r="AJ782" i="93"/>
  <c r="AJ783" i="93"/>
  <c r="AJ784" i="93"/>
  <c r="AJ785" i="93"/>
  <c r="AJ786" i="93"/>
  <c r="AJ787" i="93"/>
  <c r="AJ788" i="93"/>
  <c r="AJ789" i="93"/>
  <c r="AJ790" i="93"/>
  <c r="AJ791" i="93"/>
  <c r="AJ792" i="93"/>
  <c r="AJ793" i="93"/>
  <c r="AJ794" i="93"/>
  <c r="AJ795" i="93"/>
  <c r="AJ796" i="93"/>
  <c r="AJ797" i="93"/>
  <c r="AJ798" i="93"/>
  <c r="AJ799" i="93"/>
  <c r="AJ800" i="93"/>
  <c r="AJ801" i="93"/>
  <c r="AJ802" i="93"/>
  <c r="AJ803" i="93"/>
  <c r="AJ804" i="93"/>
  <c r="AJ805" i="93"/>
  <c r="AJ806" i="93"/>
  <c r="AJ807" i="93"/>
  <c r="AJ808" i="93"/>
  <c r="AJ809" i="93"/>
  <c r="AJ810" i="93"/>
  <c r="AJ811" i="93"/>
  <c r="AJ812" i="93"/>
  <c r="AJ813" i="93"/>
  <c r="AJ814" i="93"/>
  <c r="AJ815" i="93"/>
  <c r="AJ816" i="93"/>
  <c r="AJ817" i="93"/>
  <c r="AJ818" i="93"/>
  <c r="AJ819" i="93"/>
  <c r="AJ820" i="93"/>
  <c r="AJ821" i="93"/>
  <c r="AJ822" i="93"/>
  <c r="AJ823" i="93"/>
  <c r="AJ824" i="93"/>
  <c r="AJ825" i="93"/>
  <c r="AJ826" i="93"/>
  <c r="AJ827" i="93"/>
  <c r="AJ828" i="93"/>
  <c r="AJ829" i="93"/>
  <c r="AJ830" i="93"/>
  <c r="AJ831" i="93"/>
  <c r="AJ832" i="93"/>
  <c r="AJ833" i="93"/>
  <c r="AJ834" i="93"/>
  <c r="AJ835" i="93"/>
  <c r="AJ836" i="93"/>
  <c r="AJ837" i="93"/>
  <c r="AJ838" i="93"/>
  <c r="AJ839" i="93"/>
  <c r="AJ840" i="93"/>
  <c r="AJ841" i="93"/>
  <c r="AJ842" i="93"/>
  <c r="AJ843" i="93"/>
  <c r="AJ844" i="93"/>
  <c r="AJ845" i="93"/>
  <c r="AJ846" i="93"/>
  <c r="AJ847" i="93"/>
  <c r="AJ848" i="93"/>
  <c r="AJ849" i="93"/>
  <c r="AJ850" i="93"/>
  <c r="AJ851" i="93"/>
  <c r="AJ852" i="93"/>
  <c r="AJ853" i="93"/>
  <c r="AJ854" i="93"/>
  <c r="AJ855" i="93"/>
  <c r="AJ856" i="93"/>
  <c r="AJ857" i="93"/>
  <c r="AJ858" i="93"/>
  <c r="AJ859" i="93"/>
  <c r="AJ860" i="93"/>
  <c r="AJ861" i="93"/>
  <c r="AJ862" i="93"/>
  <c r="AJ863" i="93"/>
  <c r="AJ864" i="93"/>
  <c r="AJ865" i="93"/>
  <c r="AJ866" i="93"/>
  <c r="AJ867" i="93"/>
  <c r="AJ868" i="93"/>
  <c r="AJ869" i="93"/>
  <c r="AJ870" i="93"/>
  <c r="AJ871" i="93"/>
  <c r="AJ872" i="93"/>
  <c r="AJ873" i="93"/>
  <c r="AJ874" i="93"/>
  <c r="AJ875" i="93"/>
  <c r="AJ876" i="93"/>
  <c r="AJ877" i="93"/>
  <c r="AJ878" i="93"/>
  <c r="AJ879" i="93"/>
  <c r="AJ880" i="93"/>
  <c r="AJ881" i="93"/>
  <c r="AJ882" i="93"/>
  <c r="AJ883" i="93"/>
  <c r="AJ884" i="93"/>
  <c r="AJ885" i="93"/>
  <c r="AJ886" i="93"/>
  <c r="AJ887" i="93"/>
  <c r="AJ888" i="93"/>
  <c r="AJ889" i="93"/>
  <c r="AJ890" i="93"/>
  <c r="AJ891" i="93"/>
  <c r="AJ892" i="93"/>
  <c r="AJ893" i="93"/>
  <c r="AJ894" i="93"/>
  <c r="AJ895" i="93"/>
  <c r="AJ896" i="93"/>
  <c r="AJ897" i="93"/>
  <c r="AJ898" i="93"/>
  <c r="AJ899" i="93"/>
  <c r="AJ900" i="93"/>
  <c r="AJ901" i="93"/>
  <c r="AJ902" i="93"/>
  <c r="AJ903" i="93"/>
  <c r="AJ904" i="93"/>
  <c r="AJ905" i="93"/>
  <c r="AJ906" i="93"/>
  <c r="AJ907" i="93"/>
  <c r="AJ908" i="93"/>
  <c r="AJ909" i="93"/>
  <c r="AJ910" i="93"/>
  <c r="AJ911" i="93"/>
  <c r="AJ912" i="93"/>
  <c r="AJ913" i="93"/>
  <c r="AJ914" i="93"/>
  <c r="AJ915" i="93"/>
  <c r="AJ916" i="93"/>
  <c r="AJ917" i="93"/>
  <c r="AJ918" i="93"/>
  <c r="AJ919" i="93"/>
  <c r="AJ920" i="93"/>
  <c r="AJ921" i="93"/>
  <c r="AJ922" i="93"/>
  <c r="AJ923" i="93"/>
  <c r="AJ924" i="93"/>
  <c r="AJ925" i="93"/>
  <c r="AJ926" i="93"/>
  <c r="AJ927" i="93"/>
  <c r="AJ928" i="93"/>
  <c r="AJ929" i="93"/>
  <c r="AJ930" i="93"/>
  <c r="AJ931" i="93"/>
  <c r="AJ932" i="93"/>
  <c r="AJ933" i="93"/>
  <c r="AJ934" i="93"/>
  <c r="AJ935" i="93"/>
  <c r="AJ936" i="93"/>
  <c r="AJ937" i="93"/>
  <c r="AJ938" i="93"/>
  <c r="AJ939" i="93"/>
  <c r="AJ940" i="93"/>
  <c r="AJ941" i="93"/>
  <c r="AJ942" i="93"/>
  <c r="AJ943" i="93"/>
  <c r="AJ944" i="93"/>
  <c r="AJ945" i="93"/>
  <c r="AJ946" i="93"/>
  <c r="AJ947" i="93"/>
  <c r="AJ948" i="93"/>
  <c r="AJ949" i="93"/>
  <c r="AJ950" i="93"/>
  <c r="AJ951" i="93"/>
  <c r="AJ952" i="93"/>
  <c r="AJ953" i="93"/>
  <c r="AJ954" i="93"/>
  <c r="AJ955" i="93"/>
  <c r="AJ956" i="93"/>
  <c r="AJ957" i="93"/>
  <c r="AJ958" i="93"/>
  <c r="AJ959" i="93"/>
  <c r="AJ960" i="93"/>
  <c r="AJ961" i="93"/>
  <c r="AJ962" i="93"/>
  <c r="AJ963" i="93"/>
  <c r="AJ964" i="93"/>
  <c r="AJ965" i="93"/>
  <c r="AJ966" i="93"/>
  <c r="AJ967" i="93"/>
  <c r="AJ968" i="93"/>
  <c r="AJ969" i="93"/>
  <c r="AJ970" i="93"/>
  <c r="AJ971" i="93"/>
  <c r="AJ972" i="93"/>
  <c r="AJ973" i="93"/>
  <c r="AJ974" i="93"/>
  <c r="AJ975" i="93"/>
  <c r="AJ976" i="93"/>
  <c r="AJ977" i="93"/>
  <c r="AJ978" i="93"/>
  <c r="AJ979" i="93"/>
  <c r="AJ980" i="93"/>
  <c r="AJ981" i="93"/>
  <c r="AJ982" i="93"/>
  <c r="AJ983" i="93"/>
  <c r="AJ984" i="93"/>
  <c r="AJ985" i="93"/>
  <c r="AJ986" i="93"/>
  <c r="AJ987" i="93"/>
  <c r="AJ988" i="93"/>
  <c r="AJ989" i="93"/>
  <c r="AJ990" i="93"/>
  <c r="AJ991" i="93"/>
  <c r="AJ992" i="93"/>
  <c r="AJ993" i="93"/>
  <c r="AJ994" i="93"/>
  <c r="AJ995" i="93"/>
  <c r="AJ996" i="93"/>
  <c r="AJ997" i="93"/>
  <c r="AJ998" i="93"/>
  <c r="AJ999" i="93"/>
  <c r="AJ1000" i="93"/>
  <c r="AJ1001" i="93"/>
  <c r="AJ1002" i="93"/>
  <c r="AJ1003" i="93"/>
  <c r="AJ1004" i="93"/>
  <c r="AJ1005" i="93"/>
  <c r="AJ1006" i="93"/>
  <c r="AJ1007" i="93"/>
  <c r="AJ1008" i="93"/>
  <c r="AJ1009" i="93"/>
  <c r="AJ1010" i="93"/>
  <c r="AJ1011" i="93"/>
  <c r="AJ1012" i="93"/>
  <c r="AJ1013" i="93"/>
  <c r="AJ1014" i="93"/>
  <c r="AJ1015" i="93"/>
  <c r="AJ1016" i="93"/>
  <c r="AJ1017" i="93"/>
  <c r="AJ1018" i="93"/>
  <c r="AJ1019" i="93"/>
  <c r="AJ1020" i="93"/>
  <c r="AJ1021" i="93"/>
  <c r="AJ1022" i="93"/>
  <c r="AJ1023" i="93"/>
  <c r="AJ1024" i="93"/>
  <c r="AJ1025" i="93"/>
  <c r="AJ1026" i="93"/>
  <c r="AJ1027" i="93"/>
  <c r="AJ1028" i="93"/>
  <c r="AJ1029" i="93"/>
  <c r="AJ1030" i="93"/>
  <c r="AJ1031" i="93"/>
  <c r="AJ1032" i="93"/>
  <c r="AJ1033" i="93"/>
  <c r="AJ1034" i="93"/>
  <c r="AJ1035" i="93"/>
  <c r="AJ1036" i="93"/>
  <c r="AJ1037" i="93"/>
  <c r="AJ1038" i="93"/>
  <c r="AJ1039" i="93"/>
  <c r="AJ1040" i="93"/>
  <c r="AJ1041" i="93"/>
  <c r="AJ1042" i="93"/>
  <c r="AJ1043" i="93"/>
  <c r="AJ1044" i="93"/>
  <c r="AJ1045" i="93"/>
  <c r="AJ1046" i="93"/>
  <c r="AJ1047" i="93"/>
  <c r="AJ1048" i="93"/>
  <c r="AJ1049" i="93"/>
  <c r="AJ1050" i="93"/>
  <c r="AJ1051" i="93"/>
  <c r="AJ1052" i="93"/>
  <c r="AJ1053" i="93"/>
  <c r="AJ1054" i="93"/>
  <c r="AJ1055" i="93"/>
  <c r="AJ1056" i="93"/>
  <c r="AJ1057" i="93"/>
  <c r="AJ1058" i="93"/>
  <c r="AJ1059" i="93"/>
  <c r="AJ1060" i="93"/>
  <c r="AJ1061" i="93"/>
  <c r="AJ1062" i="93"/>
  <c r="AJ1063" i="93"/>
  <c r="AJ1064" i="93"/>
  <c r="AJ1065" i="93"/>
  <c r="AJ1066" i="93"/>
  <c r="AJ1067" i="93"/>
  <c r="AJ1068" i="93"/>
  <c r="AJ1069" i="93"/>
  <c r="AJ1070" i="93"/>
  <c r="AJ1071" i="93"/>
  <c r="AJ1072" i="93"/>
  <c r="AJ1073" i="93"/>
  <c r="AJ1074" i="93"/>
  <c r="AJ1075" i="93"/>
  <c r="AJ1076" i="93"/>
  <c r="AJ1077" i="93"/>
  <c r="AJ1078" i="93"/>
  <c r="AJ1079" i="93"/>
  <c r="AJ1080" i="93"/>
  <c r="AJ1081" i="93"/>
  <c r="AJ1082" i="93"/>
  <c r="AJ1083" i="93"/>
  <c r="AJ1084" i="93"/>
  <c r="AJ1085" i="93"/>
  <c r="AJ1086" i="93"/>
  <c r="AJ1087" i="93"/>
  <c r="AJ1088" i="93"/>
  <c r="AJ1089" i="93"/>
  <c r="AJ1090" i="93"/>
  <c r="AJ1091" i="93"/>
  <c r="AJ1092" i="93"/>
  <c r="AJ1093" i="93"/>
  <c r="AJ1094" i="93"/>
  <c r="AJ1095" i="93"/>
  <c r="AJ1096" i="93"/>
  <c r="AJ1097" i="93"/>
  <c r="AJ1098" i="93"/>
  <c r="AJ1099" i="93"/>
  <c r="AJ1100" i="93"/>
  <c r="AJ1101" i="93"/>
  <c r="AJ1102" i="93"/>
  <c r="AJ1103" i="93"/>
  <c r="AJ1104" i="93"/>
  <c r="AJ1105" i="93"/>
  <c r="AJ1106" i="93"/>
  <c r="AJ1107" i="93"/>
  <c r="AJ1108" i="93"/>
  <c r="AJ1109" i="93"/>
  <c r="AJ1110" i="93"/>
  <c r="AJ1111" i="93"/>
  <c r="AJ1112" i="93"/>
  <c r="AJ1113" i="93"/>
  <c r="AJ1114" i="93"/>
  <c r="AJ1115" i="93"/>
  <c r="AJ1116" i="93"/>
  <c r="AJ1117" i="93"/>
  <c r="AJ1118" i="93"/>
  <c r="AJ1119" i="93"/>
  <c r="AJ1120" i="93"/>
  <c r="AJ1121" i="93"/>
  <c r="AJ1122" i="93"/>
  <c r="AJ1123" i="93"/>
  <c r="AJ1124" i="93"/>
  <c r="AJ1125" i="93"/>
  <c r="AJ1126" i="93"/>
  <c r="AJ1127" i="93"/>
  <c r="AJ1128" i="93"/>
  <c r="AJ1129" i="93"/>
  <c r="AJ1130" i="93"/>
  <c r="AJ1131" i="93"/>
  <c r="AJ1132" i="93"/>
  <c r="AJ1133" i="93"/>
  <c r="AJ1134" i="93"/>
  <c r="AJ1135" i="93"/>
  <c r="AJ1136" i="93"/>
  <c r="AJ1137" i="93"/>
  <c r="AJ1138" i="93"/>
  <c r="AJ1139" i="93"/>
  <c r="AJ1140" i="93"/>
  <c r="AJ1141" i="93"/>
  <c r="AJ1142" i="93"/>
  <c r="AJ1143" i="93"/>
  <c r="AJ1144" i="93"/>
  <c r="AJ1145" i="93"/>
  <c r="AJ1146" i="93"/>
  <c r="AJ1147" i="93"/>
  <c r="AJ1148" i="93"/>
  <c r="AJ1149" i="93"/>
  <c r="AJ1150" i="93"/>
  <c r="AJ1151" i="93"/>
  <c r="AJ1152" i="93"/>
  <c r="AJ1153" i="93"/>
  <c r="AJ1154" i="93"/>
  <c r="AJ1155" i="93"/>
  <c r="AJ1156" i="93"/>
  <c r="AJ1157" i="93"/>
  <c r="AJ1158" i="93"/>
  <c r="AJ1159" i="93"/>
  <c r="AJ1160" i="93"/>
  <c r="AJ1161" i="93"/>
  <c r="AJ1162" i="93"/>
  <c r="AJ1163" i="93"/>
  <c r="AJ1164" i="93"/>
  <c r="AJ1165" i="93"/>
  <c r="AJ1166" i="93"/>
  <c r="AJ1167" i="93"/>
  <c r="AJ1168" i="93"/>
  <c r="AJ1169" i="93"/>
  <c r="AJ1170" i="93"/>
  <c r="AJ1171" i="93"/>
  <c r="AJ1172" i="93"/>
  <c r="AJ1173" i="93"/>
  <c r="AJ1174" i="93"/>
  <c r="AJ1175" i="93"/>
  <c r="AJ1176" i="93"/>
  <c r="AJ1177" i="93"/>
  <c r="AJ1178" i="93"/>
  <c r="AJ1179" i="93"/>
  <c r="AJ1180" i="93"/>
  <c r="AJ1181" i="93"/>
  <c r="AJ1182" i="93"/>
  <c r="AJ1183" i="93"/>
  <c r="AJ1184" i="93"/>
  <c r="AJ1185" i="93"/>
  <c r="AJ1186" i="93"/>
  <c r="AJ1187" i="93"/>
  <c r="AJ1188" i="93"/>
  <c r="AJ1189" i="93"/>
  <c r="AJ1190" i="93"/>
  <c r="AJ1191" i="93"/>
  <c r="AJ1192" i="93"/>
  <c r="AJ1193" i="93"/>
  <c r="AJ1194" i="93"/>
  <c r="AJ1195" i="93"/>
  <c r="AJ1196" i="93"/>
  <c r="AJ1197" i="93"/>
  <c r="AJ1198" i="93"/>
  <c r="AJ1199" i="93"/>
  <c r="AJ1200" i="93"/>
  <c r="AJ1201" i="93"/>
  <c r="AJ1202" i="93"/>
  <c r="AJ1203" i="93"/>
  <c r="AJ1204" i="93"/>
  <c r="AJ1205" i="93"/>
  <c r="AJ1206" i="93"/>
  <c r="AJ1207" i="93"/>
  <c r="AJ1208" i="93"/>
  <c r="AJ1209" i="93"/>
  <c r="AJ1210" i="93"/>
  <c r="AJ1211" i="93"/>
  <c r="AJ1212" i="93"/>
  <c r="AJ1213" i="93"/>
  <c r="AJ14" i="93"/>
  <c r="AK977" i="93" l="1"/>
  <c r="AK981" i="93"/>
  <c r="AK985" i="93"/>
  <c r="AK989" i="93"/>
  <c r="AK993" i="93"/>
  <c r="AK997" i="93"/>
  <c r="AK1001" i="93"/>
  <c r="AK1005" i="93"/>
  <c r="AK1009" i="93"/>
  <c r="AK1013" i="93"/>
  <c r="AK1167" i="93"/>
  <c r="AK1155" i="93"/>
  <c r="AK1143" i="93"/>
  <c r="AK1135" i="93"/>
  <c r="AK1012" i="93"/>
  <c r="AK996" i="93"/>
  <c r="AK980" i="93"/>
  <c r="AK847" i="93"/>
  <c r="AK831" i="93"/>
  <c r="AK815" i="93"/>
  <c r="AK671" i="93"/>
  <c r="AK655" i="93"/>
  <c r="AK511" i="93"/>
  <c r="AK495" i="93"/>
  <c r="AK359" i="93"/>
  <c r="AK335" i="93"/>
  <c r="AK209" i="93"/>
  <c r="AK177" i="93"/>
  <c r="AK616" i="93"/>
  <c r="AK620" i="93"/>
  <c r="AK624" i="93"/>
  <c r="AK628" i="93"/>
  <c r="AK632" i="93"/>
  <c r="AK636" i="93"/>
  <c r="AK640" i="93"/>
  <c r="AK644" i="93"/>
  <c r="AK648" i="93"/>
  <c r="AK652" i="93"/>
  <c r="AK617" i="93"/>
  <c r="AK621" i="93"/>
  <c r="AK625" i="93"/>
  <c r="AK629" i="93"/>
  <c r="AK633" i="93"/>
  <c r="AK637" i="93"/>
  <c r="AK641" i="93"/>
  <c r="AK645" i="93"/>
  <c r="AK649" i="93"/>
  <c r="AK653" i="93"/>
  <c r="AK14" i="93"/>
  <c r="AK1166" i="93"/>
  <c r="AK1154" i="93"/>
  <c r="AK1142" i="93"/>
  <c r="AK1126" i="93"/>
  <c r="AK1114" i="93"/>
  <c r="AK1102" i="93"/>
  <c r="AK1091" i="93"/>
  <c r="AK1043" i="93"/>
  <c r="AK1000" i="93"/>
  <c r="AK979" i="93"/>
  <c r="AK963" i="93"/>
  <c r="AK942" i="93"/>
  <c r="AK931" i="93"/>
  <c r="AK899" i="93"/>
  <c r="AK840" i="93"/>
  <c r="AK808" i="93"/>
  <c r="AK678" i="93"/>
  <c r="AK654" i="93"/>
  <c r="AK638" i="93"/>
  <c r="AK622" i="93"/>
  <c r="AK526" i="93"/>
  <c r="AK518" i="93"/>
  <c r="AK510" i="93"/>
  <c r="AK502" i="93"/>
  <c r="AK486" i="93"/>
  <c r="AK478" i="93"/>
  <c r="AK470" i="93"/>
  <c r="AK454" i="93"/>
  <c r="AK366" i="93"/>
  <c r="AK358" i="93"/>
  <c r="AK350" i="93"/>
  <c r="AK342" i="93"/>
  <c r="AK334" i="93"/>
  <c r="AK326" i="93"/>
  <c r="AK316" i="93"/>
  <c r="AK305" i="93"/>
  <c r="AK263" i="93"/>
  <c r="AK231" i="93"/>
  <c r="AK208" i="93"/>
  <c r="AK192" i="93"/>
  <c r="AK160" i="93"/>
  <c r="AK144" i="93"/>
  <c r="AK817" i="93"/>
  <c r="AK821" i="93"/>
  <c r="AK825" i="93"/>
  <c r="AK829" i="93"/>
  <c r="AK833" i="93"/>
  <c r="AK837" i="93"/>
  <c r="AK841" i="93"/>
  <c r="AK845" i="93"/>
  <c r="AK849" i="93"/>
  <c r="AK853" i="93"/>
  <c r="AK496" i="93"/>
  <c r="AK500" i="93"/>
  <c r="AK504" i="93"/>
  <c r="AK508" i="93"/>
  <c r="AK512" i="93"/>
  <c r="AK516" i="93"/>
  <c r="AK520" i="93"/>
  <c r="AK524" i="93"/>
  <c r="AK528" i="93"/>
  <c r="AK532" i="93"/>
  <c r="AK497" i="93"/>
  <c r="AK501" i="93"/>
  <c r="AK505" i="93"/>
  <c r="AK509" i="93"/>
  <c r="AK513" i="93"/>
  <c r="AK517" i="93"/>
  <c r="AK521" i="93"/>
  <c r="AK525" i="93"/>
  <c r="AK529" i="93"/>
  <c r="AK533" i="93"/>
  <c r="AK174" i="93"/>
  <c r="AK178" i="93"/>
  <c r="AK182" i="93"/>
  <c r="AK186" i="93"/>
  <c r="AK190" i="93"/>
  <c r="AK194" i="93"/>
  <c r="AK198" i="93"/>
  <c r="AK202" i="93"/>
  <c r="AK206" i="93"/>
  <c r="AK210" i="93"/>
  <c r="AK175" i="93"/>
  <c r="AK179" i="93"/>
  <c r="AK183" i="93"/>
  <c r="AK187" i="93"/>
  <c r="AK191" i="93"/>
  <c r="AK195" i="93"/>
  <c r="AK199" i="93"/>
  <c r="AK203" i="93"/>
  <c r="AK207" i="93"/>
  <c r="AK211" i="93"/>
  <c r="AK180" i="93"/>
  <c r="AK188" i="93"/>
  <c r="AK196" i="93"/>
  <c r="AK204" i="93"/>
  <c r="AK212" i="93"/>
  <c r="AK181" i="93"/>
  <c r="AK189" i="93"/>
  <c r="AK197" i="93"/>
  <c r="AK205" i="93"/>
  <c r="AK213" i="93"/>
  <c r="AK1171" i="93"/>
  <c r="AK1159" i="93"/>
  <c r="AK1147" i="93"/>
  <c r="AK1002" i="93"/>
  <c r="AK986" i="93"/>
  <c r="AK842" i="93"/>
  <c r="AK826" i="93"/>
  <c r="AK679" i="93"/>
  <c r="AK519" i="93"/>
  <c r="AK367" i="93"/>
  <c r="AK776" i="93"/>
  <c r="AK780" i="93"/>
  <c r="AK784" i="93"/>
  <c r="AK788" i="93"/>
  <c r="AK792" i="93"/>
  <c r="AK796" i="93"/>
  <c r="AK777" i="93"/>
  <c r="AK781" i="93"/>
  <c r="AK785" i="93"/>
  <c r="AK789" i="93"/>
  <c r="AK793" i="93"/>
  <c r="AK797" i="93"/>
  <c r="AK801" i="93"/>
  <c r="AK805" i="93"/>
  <c r="AK809" i="93"/>
  <c r="AK813" i="93"/>
  <c r="AK294" i="93"/>
  <c r="AK298" i="93"/>
  <c r="AK302" i="93"/>
  <c r="AK306" i="93"/>
  <c r="AK310" i="93"/>
  <c r="AK314" i="93"/>
  <c r="AK318" i="93"/>
  <c r="AK322" i="93"/>
  <c r="AK297" i="93"/>
  <c r="AK303" i="93"/>
  <c r="AK308" i="93"/>
  <c r="AK313" i="93"/>
  <c r="AK319" i="93"/>
  <c r="AK324" i="93"/>
  <c r="AK328" i="93"/>
  <c r="AK332" i="93"/>
  <c r="AK299" i="93"/>
  <c r="AK304" i="93"/>
  <c r="AK309" i="93"/>
  <c r="AK315" i="93"/>
  <c r="AK320" i="93"/>
  <c r="AK325" i="93"/>
  <c r="AK329" i="93"/>
  <c r="AK333" i="93"/>
  <c r="AK1162" i="93"/>
  <c r="AK1150" i="93"/>
  <c r="AK1138" i="93"/>
  <c r="AK1130" i="93"/>
  <c r="AK1118" i="93"/>
  <c r="AK1106" i="93"/>
  <c r="AK1075" i="93"/>
  <c r="AK1027" i="93"/>
  <c r="AK1011" i="93"/>
  <c r="AK995" i="93"/>
  <c r="AK984" i="93"/>
  <c r="AK968" i="93"/>
  <c r="AK952" i="93"/>
  <c r="AK936" i="93"/>
  <c r="AK867" i="93"/>
  <c r="AK851" i="93"/>
  <c r="AK835" i="93"/>
  <c r="AK819" i="93"/>
  <c r="AK803" i="93"/>
  <c r="AK790" i="93"/>
  <c r="AK686" i="93"/>
  <c r="AK670" i="93"/>
  <c r="AK662" i="93"/>
  <c r="AK646" i="93"/>
  <c r="AK630" i="93"/>
  <c r="AK614" i="93"/>
  <c r="AK462" i="93"/>
  <c r="AK18" i="93"/>
  <c r="AK22" i="93"/>
  <c r="AK26" i="93"/>
  <c r="AK30" i="93"/>
  <c r="AK34" i="93"/>
  <c r="AK38" i="93"/>
  <c r="AK42" i="93"/>
  <c r="AK46" i="93"/>
  <c r="AK50" i="93"/>
  <c r="AK15" i="93"/>
  <c r="AK19" i="93"/>
  <c r="AK23" i="93"/>
  <c r="AK27" i="93"/>
  <c r="AK31" i="93"/>
  <c r="AK35" i="93"/>
  <c r="AK39" i="93"/>
  <c r="AK43" i="93"/>
  <c r="AK47" i="93"/>
  <c r="AK51" i="93"/>
  <c r="AK20" i="93"/>
  <c r="AK28" i="93"/>
  <c r="AK36" i="93"/>
  <c r="AK44" i="93"/>
  <c r="AK52" i="93"/>
  <c r="AK21" i="93"/>
  <c r="AK29" i="93"/>
  <c r="AK37" i="93"/>
  <c r="AK45" i="93"/>
  <c r="AK53" i="93"/>
  <c r="AK1057" i="93"/>
  <c r="AK1061" i="93"/>
  <c r="AK1065" i="93"/>
  <c r="AK1069" i="93"/>
  <c r="AK1073" i="93"/>
  <c r="AK1077" i="93"/>
  <c r="AK1081" i="93"/>
  <c r="AK1085" i="93"/>
  <c r="AK1089" i="93"/>
  <c r="AK1093" i="93"/>
  <c r="AK897" i="93"/>
  <c r="AK901" i="93"/>
  <c r="AK905" i="93"/>
  <c r="AK909" i="93"/>
  <c r="AK913" i="93"/>
  <c r="AK917" i="93"/>
  <c r="AK921" i="93"/>
  <c r="AK925" i="93"/>
  <c r="AK929" i="93"/>
  <c r="AK933" i="93"/>
  <c r="AK736" i="93"/>
  <c r="AK740" i="93"/>
  <c r="AK744" i="93"/>
  <c r="AK748" i="93"/>
  <c r="AK752" i="93"/>
  <c r="AK756" i="93"/>
  <c r="AK760" i="93"/>
  <c r="AK764" i="93"/>
  <c r="AK768" i="93"/>
  <c r="AK772" i="93"/>
  <c r="AK737" i="93"/>
  <c r="AK741" i="93"/>
  <c r="AK745" i="93"/>
  <c r="AK749" i="93"/>
  <c r="AK753" i="93"/>
  <c r="AK757" i="93"/>
  <c r="AK761" i="93"/>
  <c r="AK765" i="93"/>
  <c r="AK769" i="93"/>
  <c r="AK773" i="93"/>
  <c r="AK576" i="93"/>
  <c r="AK580" i="93"/>
  <c r="AK584" i="93"/>
  <c r="AK588" i="93"/>
  <c r="AK592" i="93"/>
  <c r="AK596" i="93"/>
  <c r="AK600" i="93"/>
  <c r="AK604" i="93"/>
  <c r="AK608" i="93"/>
  <c r="AK612" i="93"/>
  <c r="AK577" i="93"/>
  <c r="AK581" i="93"/>
  <c r="AK585" i="93"/>
  <c r="AK589" i="93"/>
  <c r="AK593" i="93"/>
  <c r="AK597" i="93"/>
  <c r="AK601" i="93"/>
  <c r="AK605" i="93"/>
  <c r="AK609" i="93"/>
  <c r="AK613" i="93"/>
  <c r="AK416" i="93"/>
  <c r="AK420" i="93"/>
  <c r="AK424" i="93"/>
  <c r="AK428" i="93"/>
  <c r="AK432" i="93"/>
  <c r="AK436" i="93"/>
  <c r="AK440" i="93"/>
  <c r="AK444" i="93"/>
  <c r="AK448" i="93"/>
  <c r="AK452" i="93"/>
  <c r="AK417" i="93"/>
  <c r="AK421" i="93"/>
  <c r="AK425" i="93"/>
  <c r="AK429" i="93"/>
  <c r="AK433" i="93"/>
  <c r="AK437" i="93"/>
  <c r="AK441" i="93"/>
  <c r="AK445" i="93"/>
  <c r="AK449" i="93"/>
  <c r="AK453" i="93"/>
  <c r="AK254" i="93"/>
  <c r="AK258" i="93"/>
  <c r="AK262" i="93"/>
  <c r="AK266" i="93"/>
  <c r="AK270" i="93"/>
  <c r="AK274" i="93"/>
  <c r="AK278" i="93"/>
  <c r="AK282" i="93"/>
  <c r="AK286" i="93"/>
  <c r="AK290" i="93"/>
  <c r="AK255" i="93"/>
  <c r="AK260" i="93"/>
  <c r="AK265" i="93"/>
  <c r="AK271" i="93"/>
  <c r="AK276" i="93"/>
  <c r="AK281" i="93"/>
  <c r="AK287" i="93"/>
  <c r="AK292" i="93"/>
  <c r="AK256" i="93"/>
  <c r="AK261" i="93"/>
  <c r="AK267" i="93"/>
  <c r="AK272" i="93"/>
  <c r="AK277" i="93"/>
  <c r="AK283" i="93"/>
  <c r="AK288" i="93"/>
  <c r="AK293" i="93"/>
  <c r="AK94" i="93"/>
  <c r="AK98" i="93"/>
  <c r="AK102" i="93"/>
  <c r="AK106" i="93"/>
  <c r="AK110" i="93"/>
  <c r="AK114" i="93"/>
  <c r="AK118" i="93"/>
  <c r="AK122" i="93"/>
  <c r="AK126" i="93"/>
  <c r="AK130" i="93"/>
  <c r="AK95" i="93"/>
  <c r="AK99" i="93"/>
  <c r="AK103" i="93"/>
  <c r="AK107" i="93"/>
  <c r="AK111" i="93"/>
  <c r="AK115" i="93"/>
  <c r="AK119" i="93"/>
  <c r="AK123" i="93"/>
  <c r="AK127" i="93"/>
  <c r="AK131" i="93"/>
  <c r="AK100" i="93"/>
  <c r="AK108" i="93"/>
  <c r="AK116" i="93"/>
  <c r="AK124" i="93"/>
  <c r="AK132" i="93"/>
  <c r="AK101" i="93"/>
  <c r="AK109" i="93"/>
  <c r="AK117" i="93"/>
  <c r="AK125" i="93"/>
  <c r="AK133" i="93"/>
  <c r="AK1205" i="93"/>
  <c r="AK1201" i="93"/>
  <c r="AK1197" i="93"/>
  <c r="AK1193" i="93"/>
  <c r="AK1189" i="93"/>
  <c r="AK1185" i="93"/>
  <c r="AK1181" i="93"/>
  <c r="AK1177" i="93"/>
  <c r="AK1173" i="93"/>
  <c r="AK1169" i="93"/>
  <c r="AK1165" i="93"/>
  <c r="AK1161" i="93"/>
  <c r="AK1157" i="93"/>
  <c r="AK1153" i="93"/>
  <c r="AK1149" i="93"/>
  <c r="AK1145" i="93"/>
  <c r="AK1141" i="93"/>
  <c r="AK1137" i="93"/>
  <c r="AK1133" i="93"/>
  <c r="AK1129" i="93"/>
  <c r="AK1125" i="93"/>
  <c r="AK1121" i="93"/>
  <c r="AK1117" i="93"/>
  <c r="AK1113" i="93"/>
  <c r="AK1109" i="93"/>
  <c r="AK1105" i="93"/>
  <c r="AK1100" i="93"/>
  <c r="AK1090" i="93"/>
  <c r="AK1084" i="93"/>
  <c r="AK1079" i="93"/>
  <c r="AK1074" i="93"/>
  <c r="AK1068" i="93"/>
  <c r="AK1063" i="93"/>
  <c r="AK1058" i="93"/>
  <c r="AK1052" i="93"/>
  <c r="AK1047" i="93"/>
  <c r="AK1042" i="93"/>
  <c r="AK1036" i="93"/>
  <c r="AK1031" i="93"/>
  <c r="AK1026" i="93"/>
  <c r="AK1020" i="93"/>
  <c r="AK1010" i="93"/>
  <c r="AK1004" i="93"/>
  <c r="AK999" i="93"/>
  <c r="AK994" i="93"/>
  <c r="AK988" i="93"/>
  <c r="AK983" i="93"/>
  <c r="AK978" i="93"/>
  <c r="AK972" i="93"/>
  <c r="AK967" i="93"/>
  <c r="AK962" i="93"/>
  <c r="AK956" i="93"/>
  <c r="AK951" i="93"/>
  <c r="AK946" i="93"/>
  <c r="AK940" i="93"/>
  <c r="AK930" i="93"/>
  <c r="AK924" i="93"/>
  <c r="AK919" i="93"/>
  <c r="AK914" i="93"/>
  <c r="AK908" i="93"/>
  <c r="AK903" i="93"/>
  <c r="AK898" i="93"/>
  <c r="AK892" i="93"/>
  <c r="AK887" i="93"/>
  <c r="AK882" i="93"/>
  <c r="AK876" i="93"/>
  <c r="AK871" i="93"/>
  <c r="AK866" i="93"/>
  <c r="AK860" i="93"/>
  <c r="AK850" i="93"/>
  <c r="AK844" i="93"/>
  <c r="AK839" i="93"/>
  <c r="AK834" i="93"/>
  <c r="AK828" i="93"/>
  <c r="AK823" i="93"/>
  <c r="AK818" i="93"/>
  <c r="AK812" i="93"/>
  <c r="AK807" i="93"/>
  <c r="AK802" i="93"/>
  <c r="AK795" i="93"/>
  <c r="AK787" i="93"/>
  <c r="AK779" i="93"/>
  <c r="AK771" i="93"/>
  <c r="AK763" i="93"/>
  <c r="AK755" i="93"/>
  <c r="AK747" i="93"/>
  <c r="AK739" i="93"/>
  <c r="AK731" i="93"/>
  <c r="AK723" i="93"/>
  <c r="AK715" i="93"/>
  <c r="AK707" i="93"/>
  <c r="AK691" i="93"/>
  <c r="AK683" i="93"/>
  <c r="AK675" i="93"/>
  <c r="AK667" i="93"/>
  <c r="AK651" i="93"/>
  <c r="AK643" i="93"/>
  <c r="AK635" i="93"/>
  <c r="AK627" i="93"/>
  <c r="AK619" i="93"/>
  <c r="AK611" i="93"/>
  <c r="AK603" i="93"/>
  <c r="AK595" i="93"/>
  <c r="AK587" i="93"/>
  <c r="AK579" i="93"/>
  <c r="AK571" i="93"/>
  <c r="AK563" i="93"/>
  <c r="AK555" i="93"/>
  <c r="AK547" i="93"/>
  <c r="AK531" i="93"/>
  <c r="AK523" i="93"/>
  <c r="AK515" i="93"/>
  <c r="AK507" i="93"/>
  <c r="AK499" i="93"/>
  <c r="AK491" i="93"/>
  <c r="AK483" i="93"/>
  <c r="AK475" i="93"/>
  <c r="AK467" i="93"/>
  <c r="AK451" i="93"/>
  <c r="AK443" i="93"/>
  <c r="AK435" i="93"/>
  <c r="AK427" i="93"/>
  <c r="AK419" i="93"/>
  <c r="AK411" i="93"/>
  <c r="AK403" i="93"/>
  <c r="AK395" i="93"/>
  <c r="AK387" i="93"/>
  <c r="AK371" i="93"/>
  <c r="AK363" i="93"/>
  <c r="AK355" i="93"/>
  <c r="AK347" i="93"/>
  <c r="AK331" i="93"/>
  <c r="AK323" i="93"/>
  <c r="AK312" i="93"/>
  <c r="AK301" i="93"/>
  <c r="AK291" i="93"/>
  <c r="AK280" i="93"/>
  <c r="AK269" i="93"/>
  <c r="AK259" i="93"/>
  <c r="AK248" i="93"/>
  <c r="AK237" i="93"/>
  <c r="AK227" i="93"/>
  <c r="AK201" i="93"/>
  <c r="AK185" i="93"/>
  <c r="AK169" i="93"/>
  <c r="AK153" i="93"/>
  <c r="AK121" i="93"/>
  <c r="AK105" i="93"/>
  <c r="AK89" i="93"/>
  <c r="AK73" i="93"/>
  <c r="AK41" i="93"/>
  <c r="AK25" i="93"/>
  <c r="AK656" i="93"/>
  <c r="AK660" i="93"/>
  <c r="AK664" i="93"/>
  <c r="AK668" i="93"/>
  <c r="AK672" i="93"/>
  <c r="AK676" i="93"/>
  <c r="AK680" i="93"/>
  <c r="AK684" i="93"/>
  <c r="AK688" i="93"/>
  <c r="AK692" i="93"/>
  <c r="AK657" i="93"/>
  <c r="AK661" i="93"/>
  <c r="AK665" i="93"/>
  <c r="AK669" i="93"/>
  <c r="AK673" i="93"/>
  <c r="AK677" i="93"/>
  <c r="AK681" i="93"/>
  <c r="AK685" i="93"/>
  <c r="AK689" i="93"/>
  <c r="AK693" i="93"/>
  <c r="AK336" i="93"/>
  <c r="AK340" i="93"/>
  <c r="AK344" i="93"/>
  <c r="AK348" i="93"/>
  <c r="AK352" i="93"/>
  <c r="AK356" i="93"/>
  <c r="AK360" i="93"/>
  <c r="AK364" i="93"/>
  <c r="AK368" i="93"/>
  <c r="AK372" i="93"/>
  <c r="AK337" i="93"/>
  <c r="AK341" i="93"/>
  <c r="AK345" i="93"/>
  <c r="AK349" i="93"/>
  <c r="AK353" i="93"/>
  <c r="AK357" i="93"/>
  <c r="AK361" i="93"/>
  <c r="AK365" i="93"/>
  <c r="AK369" i="93"/>
  <c r="AK373" i="93"/>
  <c r="AK1163" i="93"/>
  <c r="AK1151" i="93"/>
  <c r="AK1139" i="93"/>
  <c r="AK1007" i="93"/>
  <c r="AK991" i="93"/>
  <c r="AK975" i="93"/>
  <c r="AK852" i="93"/>
  <c r="AK836" i="93"/>
  <c r="AK820" i="93"/>
  <c r="AK687" i="93"/>
  <c r="AK663" i="93"/>
  <c r="AK527" i="93"/>
  <c r="AK503" i="93"/>
  <c r="AK351" i="93"/>
  <c r="AK343" i="93"/>
  <c r="AK193" i="93"/>
  <c r="AK1097" i="93"/>
  <c r="AK1101" i="93"/>
  <c r="AK937" i="93"/>
  <c r="AK941" i="93"/>
  <c r="AK945" i="93"/>
  <c r="AK949" i="93"/>
  <c r="AK953" i="93"/>
  <c r="AK957" i="93"/>
  <c r="AK961" i="93"/>
  <c r="AK965" i="93"/>
  <c r="AK969" i="93"/>
  <c r="AK973" i="93"/>
  <c r="AK456" i="93"/>
  <c r="AK460" i="93"/>
  <c r="AK464" i="93"/>
  <c r="AK468" i="93"/>
  <c r="AK472" i="93"/>
  <c r="AK476" i="93"/>
  <c r="AK480" i="93"/>
  <c r="AK484" i="93"/>
  <c r="AK488" i="93"/>
  <c r="AK492" i="93"/>
  <c r="AK457" i="93"/>
  <c r="AK461" i="93"/>
  <c r="AK465" i="93"/>
  <c r="AK469" i="93"/>
  <c r="AK473" i="93"/>
  <c r="AK477" i="93"/>
  <c r="AK481" i="93"/>
  <c r="AK485" i="93"/>
  <c r="AK489" i="93"/>
  <c r="AK493" i="93"/>
  <c r="AK134" i="93"/>
  <c r="AK138" i="93"/>
  <c r="AK142" i="93"/>
  <c r="AK146" i="93"/>
  <c r="AK150" i="93"/>
  <c r="AK154" i="93"/>
  <c r="AK158" i="93"/>
  <c r="AK162" i="93"/>
  <c r="AK166" i="93"/>
  <c r="AK170" i="93"/>
  <c r="AK135" i="93"/>
  <c r="AK139" i="93"/>
  <c r="AK143" i="93"/>
  <c r="AK147" i="93"/>
  <c r="AK151" i="93"/>
  <c r="AK155" i="93"/>
  <c r="AK159" i="93"/>
  <c r="AK163" i="93"/>
  <c r="AK167" i="93"/>
  <c r="AK171" i="93"/>
  <c r="AK140" i="93"/>
  <c r="AK148" i="93"/>
  <c r="AK156" i="93"/>
  <c r="AK164" i="93"/>
  <c r="AK172" i="93"/>
  <c r="AK141" i="93"/>
  <c r="AK149" i="93"/>
  <c r="AK157" i="93"/>
  <c r="AK165" i="93"/>
  <c r="AK173" i="93"/>
  <c r="AK1170" i="93"/>
  <c r="AK1158" i="93"/>
  <c r="AK1146" i="93"/>
  <c r="AK1134" i="93"/>
  <c r="AK1122" i="93"/>
  <c r="AK1110" i="93"/>
  <c r="AK1096" i="93"/>
  <c r="AK1059" i="93"/>
  <c r="AK1006" i="93"/>
  <c r="AK990" i="93"/>
  <c r="AK974" i="93"/>
  <c r="AK958" i="93"/>
  <c r="AK947" i="93"/>
  <c r="AK915" i="93"/>
  <c r="AK883" i="93"/>
  <c r="AK846" i="93"/>
  <c r="AK830" i="93"/>
  <c r="AK814" i="93"/>
  <c r="AK798" i="93"/>
  <c r="AK774" i="93"/>
  <c r="AK1017" i="93"/>
  <c r="AK1021" i="93"/>
  <c r="AK1025" i="93"/>
  <c r="AK1029" i="93"/>
  <c r="AK1033" i="93"/>
  <c r="AK1037" i="93"/>
  <c r="AK1041" i="93"/>
  <c r="AK1045" i="93"/>
  <c r="AK1049" i="93"/>
  <c r="AK1053" i="93"/>
  <c r="AK857" i="93"/>
  <c r="AK861" i="93"/>
  <c r="AK865" i="93"/>
  <c r="AK869" i="93"/>
  <c r="AK873" i="93"/>
  <c r="AK877" i="93"/>
  <c r="AK881" i="93"/>
  <c r="AK885" i="93"/>
  <c r="AK889" i="93"/>
  <c r="AK893" i="93"/>
  <c r="AK696" i="93"/>
  <c r="AK700" i="93"/>
  <c r="AK704" i="93"/>
  <c r="AK708" i="93"/>
  <c r="AK712" i="93"/>
  <c r="AK716" i="93"/>
  <c r="AK720" i="93"/>
  <c r="AK724" i="93"/>
  <c r="AK728" i="93"/>
  <c r="AK732" i="93"/>
  <c r="AK697" i="93"/>
  <c r="AK701" i="93"/>
  <c r="AK705" i="93"/>
  <c r="AK709" i="93"/>
  <c r="AK713" i="93"/>
  <c r="AK717" i="93"/>
  <c r="AK721" i="93"/>
  <c r="AK725" i="93"/>
  <c r="AK729" i="93"/>
  <c r="AK733" i="93"/>
  <c r="AK536" i="93"/>
  <c r="AK540" i="93"/>
  <c r="AK544" i="93"/>
  <c r="AK548" i="93"/>
  <c r="AK552" i="93"/>
  <c r="AK556" i="93"/>
  <c r="AK560" i="93"/>
  <c r="AK564" i="93"/>
  <c r="AK568" i="93"/>
  <c r="AK572" i="93"/>
  <c r="AK537" i="93"/>
  <c r="AK541" i="93"/>
  <c r="AK545" i="93"/>
  <c r="AK549" i="93"/>
  <c r="AK553" i="93"/>
  <c r="AK557" i="93"/>
  <c r="AK561" i="93"/>
  <c r="AK565" i="93"/>
  <c r="AK569" i="93"/>
  <c r="AK573" i="93"/>
  <c r="AK376" i="93"/>
  <c r="AK380" i="93"/>
  <c r="AK384" i="93"/>
  <c r="AK388" i="93"/>
  <c r="AK392" i="93"/>
  <c r="AK396" i="93"/>
  <c r="AK400" i="93"/>
  <c r="AK404" i="93"/>
  <c r="AK408" i="93"/>
  <c r="AK412" i="93"/>
  <c r="AK377" i="93"/>
  <c r="AK381" i="93"/>
  <c r="AK385" i="93"/>
  <c r="AK389" i="93"/>
  <c r="AK393" i="93"/>
  <c r="AK397" i="93"/>
  <c r="AK401" i="93"/>
  <c r="AK405" i="93"/>
  <c r="AK409" i="93"/>
  <c r="AK413" i="93"/>
  <c r="AK214" i="93"/>
  <c r="AK218" i="93"/>
  <c r="AK222" i="93"/>
  <c r="AK226" i="93"/>
  <c r="AK230" i="93"/>
  <c r="AK234" i="93"/>
  <c r="AK238" i="93"/>
  <c r="AK242" i="93"/>
  <c r="AK246" i="93"/>
  <c r="AK250" i="93"/>
  <c r="AK217" i="93"/>
  <c r="AK223" i="93"/>
  <c r="AK228" i="93"/>
  <c r="AK233" i="93"/>
  <c r="AK239" i="93"/>
  <c r="AK244" i="93"/>
  <c r="AK249" i="93"/>
  <c r="AK219" i="93"/>
  <c r="AK224" i="93"/>
  <c r="AK229" i="93"/>
  <c r="AK235" i="93"/>
  <c r="AK240" i="93"/>
  <c r="AK245" i="93"/>
  <c r="AK251" i="93"/>
  <c r="AK54" i="93"/>
  <c r="AK58" i="93"/>
  <c r="AK62" i="93"/>
  <c r="AK66" i="93"/>
  <c r="AK70" i="93"/>
  <c r="AK74" i="93"/>
  <c r="AK78" i="93"/>
  <c r="AK82" i="93"/>
  <c r="AK86" i="93"/>
  <c r="AK90" i="93"/>
  <c r="AK55" i="93"/>
  <c r="AK59" i="93"/>
  <c r="AK63" i="93"/>
  <c r="AK67" i="93"/>
  <c r="AK71" i="93"/>
  <c r="AK75" i="93"/>
  <c r="AK79" i="93"/>
  <c r="AK83" i="93"/>
  <c r="AK87" i="93"/>
  <c r="AK91" i="93"/>
  <c r="AK60" i="93"/>
  <c r="AK68" i="93"/>
  <c r="AK76" i="93"/>
  <c r="AK84" i="93"/>
  <c r="AK92" i="93"/>
  <c r="AK61" i="93"/>
  <c r="AK69" i="93"/>
  <c r="AK77" i="93"/>
  <c r="AK85" i="93"/>
  <c r="AK93" i="93"/>
  <c r="AK1212" i="93"/>
  <c r="AK1208" i="93"/>
  <c r="AK1204" i="93"/>
  <c r="AK1200" i="93"/>
  <c r="AK1196" i="93"/>
  <c r="AK1192" i="93"/>
  <c r="AK1188" i="93"/>
  <c r="AK1184" i="93"/>
  <c r="AK1180" i="93"/>
  <c r="AK1172" i="93"/>
  <c r="AK1168" i="93"/>
  <c r="AK1164" i="93"/>
  <c r="AK1160" i="93"/>
  <c r="AK1156" i="93"/>
  <c r="AK1152" i="93"/>
  <c r="AK1148" i="93"/>
  <c r="AK1144" i="93"/>
  <c r="AK1140" i="93"/>
  <c r="AK1132" i="93"/>
  <c r="AK1128" i="93"/>
  <c r="AK1124" i="93"/>
  <c r="AK1120" i="93"/>
  <c r="AK1116" i="93"/>
  <c r="AK1112" i="93"/>
  <c r="AK1108" i="93"/>
  <c r="AK1104" i="93"/>
  <c r="AK1099" i="93"/>
  <c r="AK1094" i="93"/>
  <c r="AK1088" i="93"/>
  <c r="AK1083" i="93"/>
  <c r="AK1078" i="93"/>
  <c r="AK1072" i="93"/>
  <c r="AK1067" i="93"/>
  <c r="AK1062" i="93"/>
  <c r="AK1056" i="93"/>
  <c r="AK1051" i="93"/>
  <c r="AK1046" i="93"/>
  <c r="AK1040" i="93"/>
  <c r="AK1035" i="93"/>
  <c r="AK1030" i="93"/>
  <c r="AK1024" i="93"/>
  <c r="AK1019" i="93"/>
  <c r="AK1014" i="93"/>
  <c r="AK1008" i="93"/>
  <c r="AK1003" i="93"/>
  <c r="AK998" i="93"/>
  <c r="AK992" i="93"/>
  <c r="AK987" i="93"/>
  <c r="AK982" i="93"/>
  <c r="AK976" i="93"/>
  <c r="AK971" i="93"/>
  <c r="AK966" i="93"/>
  <c r="AK960" i="93"/>
  <c r="AK955" i="93"/>
  <c r="AK950" i="93"/>
  <c r="AK944" i="93"/>
  <c r="AK939" i="93"/>
  <c r="AK934" i="93"/>
  <c r="AK928" i="93"/>
  <c r="AK923" i="93"/>
  <c r="AK918" i="93"/>
  <c r="AK912" i="93"/>
  <c r="AK907" i="93"/>
  <c r="AK902" i="93"/>
  <c r="AK896" i="93"/>
  <c r="AK891" i="93"/>
  <c r="AK886" i="93"/>
  <c r="AK880" i="93"/>
  <c r="AK875" i="93"/>
  <c r="AK870" i="93"/>
  <c r="AK864" i="93"/>
  <c r="AK859" i="93"/>
  <c r="AK854" i="93"/>
  <c r="AK848" i="93"/>
  <c r="AK843" i="93"/>
  <c r="AK838" i="93"/>
  <c r="AK832" i="93"/>
  <c r="AK827" i="93"/>
  <c r="AK822" i="93"/>
  <c r="AK816" i="93"/>
  <c r="AK811" i="93"/>
  <c r="AK806" i="93"/>
  <c r="AK800" i="93"/>
  <c r="AK794" i="93"/>
  <c r="AK786" i="93"/>
  <c r="AK778" i="93"/>
  <c r="AK770" i="93"/>
  <c r="AK762" i="93"/>
  <c r="AK754" i="93"/>
  <c r="AK746" i="93"/>
  <c r="AK738" i="93"/>
  <c r="AK730" i="93"/>
  <c r="AK722" i="93"/>
  <c r="AK714" i="93"/>
  <c r="AK706" i="93"/>
  <c r="AK698" i="93"/>
  <c r="AK690" i="93"/>
  <c r="AK682" i="93"/>
  <c r="AK674" i="93"/>
  <c r="AK666" i="93"/>
  <c r="AK658" i="93"/>
  <c r="AK650" i="93"/>
  <c r="AK642" i="93"/>
  <c r="AK634" i="93"/>
  <c r="AK626" i="93"/>
  <c r="AK618" i="93"/>
  <c r="AK610" i="93"/>
  <c r="AK602" i="93"/>
  <c r="AK594" i="93"/>
  <c r="AK586" i="93"/>
  <c r="AK578" i="93"/>
  <c r="AK570" i="93"/>
  <c r="AK562" i="93"/>
  <c r="AK554" i="93"/>
  <c r="AK546" i="93"/>
  <c r="AK538" i="93"/>
  <c r="AK530" i="93"/>
  <c r="AK522" i="93"/>
  <c r="AK514" i="93"/>
  <c r="AK506" i="93"/>
  <c r="AK498" i="93"/>
  <c r="AK490" i="93"/>
  <c r="AK482" i="93"/>
  <c r="AK474" i="93"/>
  <c r="AK466" i="93"/>
  <c r="AK458" i="93"/>
  <c r="AK450" i="93"/>
  <c r="AK442" i="93"/>
  <c r="AK434" i="93"/>
  <c r="AK426" i="93"/>
  <c r="AK418" i="93"/>
  <c r="AK410" i="93"/>
  <c r="AK402" i="93"/>
  <c r="AK394" i="93"/>
  <c r="AK386" i="93"/>
  <c r="AK378" i="93"/>
  <c r="AK370" i="93"/>
  <c r="AK362" i="93"/>
  <c r="AK354" i="93"/>
  <c r="AK346" i="93"/>
  <c r="AK338" i="93"/>
  <c r="AK330" i="93"/>
  <c r="AK321" i="93"/>
  <c r="AK311" i="93"/>
  <c r="AK300" i="93"/>
  <c r="AK289" i="93"/>
  <c r="AK279" i="93"/>
  <c r="AK268" i="93"/>
  <c r="AK257" i="93"/>
  <c r="AK247" i="93"/>
  <c r="AK236" i="93"/>
  <c r="AK225" i="93"/>
  <c r="AK215" i="93"/>
  <c r="AK200" i="93"/>
  <c r="AK184" i="93"/>
  <c r="AK168" i="93"/>
  <c r="AK152" i="93"/>
  <c r="AK136" i="93"/>
  <c r="AK120" i="93"/>
  <c r="AK104" i="93"/>
  <c r="AK88" i="93"/>
  <c r="AK72" i="93"/>
  <c r="AK56" i="93"/>
  <c r="AK40" i="93"/>
  <c r="AK24" i="93"/>
  <c r="G12" i="93" l="1"/>
  <c r="H12" i="93"/>
  <c r="I12" i="93"/>
  <c r="J12" i="93"/>
  <c r="K12" i="93"/>
  <c r="L12" i="93"/>
  <c r="F12" i="93"/>
  <c r="G7" i="93"/>
  <c r="C35" i="93" s="1"/>
  <c r="G8" i="93"/>
  <c r="C47" i="93" s="1"/>
  <c r="G6" i="93"/>
  <c r="C27" i="93" s="1"/>
  <c r="G5" i="93"/>
  <c r="C15" i="93" s="1"/>
  <c r="K5" i="93"/>
  <c r="K6" i="93"/>
  <c r="K7" i="93"/>
  <c r="K8" i="93"/>
  <c r="K9" i="93"/>
  <c r="K10" i="93"/>
  <c r="K4" i="93"/>
  <c r="L10" i="93"/>
  <c r="L9" i="93"/>
  <c r="L8" i="93"/>
  <c r="L7" i="93"/>
  <c r="L6" i="93"/>
  <c r="L5" i="93"/>
  <c r="L4" i="93"/>
  <c r="B9" i="93"/>
  <c r="B6" i="93"/>
  <c r="B7" i="93"/>
  <c r="B8" i="93"/>
  <c r="B5" i="93"/>
  <c r="C22" i="93" l="1"/>
  <c r="C20" i="93"/>
  <c r="C18" i="93"/>
  <c r="C14" i="93"/>
  <c r="C16" i="93"/>
  <c r="C50" i="93"/>
  <c r="C46" i="93"/>
  <c r="C42" i="93"/>
  <c r="C38" i="93"/>
  <c r="C34" i="93"/>
  <c r="C30" i="93"/>
  <c r="C26" i="93"/>
  <c r="C53" i="93"/>
  <c r="C49" i="93"/>
  <c r="C45" i="93"/>
  <c r="C41" i="93"/>
  <c r="C37" i="93"/>
  <c r="C33" i="93"/>
  <c r="C29" i="93"/>
  <c r="C25" i="93"/>
  <c r="C21" i="93"/>
  <c r="C17" i="93"/>
  <c r="C52" i="93"/>
  <c r="C48" i="93"/>
  <c r="C44" i="93"/>
  <c r="C40" i="93"/>
  <c r="C36" i="93"/>
  <c r="C32" i="93"/>
  <c r="C28" i="93"/>
  <c r="C24" i="93"/>
  <c r="C51" i="93"/>
  <c r="C43" i="93"/>
  <c r="C39" i="93"/>
  <c r="C31" i="93"/>
  <c r="C23" i="93"/>
  <c r="C19" i="93"/>
  <c r="O26" i="82" l="1"/>
  <c r="O30" i="82"/>
  <c r="S30" i="82" s="1"/>
  <c r="O34" i="82"/>
  <c r="O38" i="82"/>
  <c r="S38" i="82" s="1"/>
  <c r="I42" i="82"/>
  <c r="O46" i="82"/>
  <c r="S46" i="82" s="1"/>
  <c r="O50" i="82"/>
  <c r="O54" i="82"/>
  <c r="S54" i="82" s="1"/>
  <c r="O58" i="82"/>
  <c r="O62" i="82"/>
  <c r="S62" i="82" s="1"/>
  <c r="O66" i="82"/>
  <c r="I69" i="82"/>
  <c r="N67" i="82"/>
  <c r="M28" i="82"/>
  <c r="M29" i="82"/>
  <c r="M32" i="82"/>
  <c r="M33" i="82"/>
  <c r="M34" i="82"/>
  <c r="M36" i="82"/>
  <c r="M37" i="82"/>
  <c r="M38" i="82"/>
  <c r="M40" i="82"/>
  <c r="M44" i="82"/>
  <c r="M45" i="82"/>
  <c r="M48" i="82"/>
  <c r="M49" i="82"/>
  <c r="M50" i="82"/>
  <c r="M52" i="82"/>
  <c r="M53" i="82"/>
  <c r="M54" i="82"/>
  <c r="M56" i="82"/>
  <c r="M60" i="82"/>
  <c r="M61" i="82"/>
  <c r="M64" i="82"/>
  <c r="M65" i="82"/>
  <c r="M66" i="82"/>
  <c r="I64" i="82"/>
  <c r="I65" i="82"/>
  <c r="I68" i="82"/>
  <c r="I55" i="82"/>
  <c r="I52" i="82"/>
  <c r="I44" i="82"/>
  <c r="I48" i="82"/>
  <c r="I49" i="82"/>
  <c r="I43" i="82"/>
  <c r="I28" i="82"/>
  <c r="I29" i="82"/>
  <c r="I32" i="82"/>
  <c r="O27" i="82"/>
  <c r="O28" i="82"/>
  <c r="S28" i="82" s="1"/>
  <c r="O29" i="82"/>
  <c r="O31" i="82"/>
  <c r="O32" i="82"/>
  <c r="S32" i="82" s="1"/>
  <c r="O33" i="82"/>
  <c r="O35" i="82"/>
  <c r="O36" i="82"/>
  <c r="S36" i="82" s="1"/>
  <c r="O37" i="82"/>
  <c r="O39" i="82"/>
  <c r="O40" i="82"/>
  <c r="S40" i="82" s="1"/>
  <c r="O41" i="82"/>
  <c r="O43" i="82"/>
  <c r="O44" i="82"/>
  <c r="S44" i="82" s="1"/>
  <c r="O45" i="82"/>
  <c r="O47" i="82"/>
  <c r="O48" i="82"/>
  <c r="S48" i="82" s="1"/>
  <c r="O49" i="82"/>
  <c r="O51" i="82"/>
  <c r="O52" i="82"/>
  <c r="S52" i="82" s="1"/>
  <c r="O53" i="82"/>
  <c r="O55" i="82"/>
  <c r="O56" i="82"/>
  <c r="S56" i="82" s="1"/>
  <c r="O57" i="82"/>
  <c r="O59" i="82"/>
  <c r="O60" i="82"/>
  <c r="S60" i="82" s="1"/>
  <c r="O61" i="82"/>
  <c r="O63" i="82"/>
  <c r="O64" i="82"/>
  <c r="S64" i="82" s="1"/>
  <c r="O65" i="82"/>
  <c r="O67" i="82"/>
  <c r="O68" i="82"/>
  <c r="S68" i="82" s="1"/>
  <c r="O69" i="82"/>
  <c r="O25" i="82"/>
  <c r="Q26" i="82"/>
  <c r="Q27" i="82"/>
  <c r="Q34" i="82"/>
  <c r="Q35" i="82"/>
  <c r="Q42" i="82"/>
  <c r="Q43" i="82"/>
  <c r="Q50" i="82"/>
  <c r="Q51" i="82"/>
  <c r="Q57" i="82"/>
  <c r="Q61" i="82"/>
  <c r="Q62" i="82"/>
  <c r="Q65" i="82"/>
  <c r="Q66" i="82"/>
  <c r="Q67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5" i="82"/>
  <c r="N68" i="82" s="1"/>
  <c r="N66" i="82"/>
  <c r="N69" i="82" s="1"/>
  <c r="N25" i="82"/>
  <c r="G29" i="82"/>
  <c r="G33" i="82"/>
  <c r="G34" i="82"/>
  <c r="G37" i="82"/>
  <c r="G38" i="82"/>
  <c r="G39" i="82"/>
  <c r="G45" i="82"/>
  <c r="G49" i="82"/>
  <c r="G50" i="82"/>
  <c r="G53" i="82"/>
  <c r="G54" i="82"/>
  <c r="G55" i="82"/>
  <c r="G61" i="82"/>
  <c r="G65" i="82"/>
  <c r="G66" i="82"/>
  <c r="G69" i="82"/>
  <c r="G26" i="82"/>
  <c r="G27" i="82"/>
  <c r="C26" i="82"/>
  <c r="C27" i="82"/>
  <c r="C28" i="82"/>
  <c r="C29" i="82"/>
  <c r="C30" i="82"/>
  <c r="C31" i="82"/>
  <c r="C32" i="82"/>
  <c r="C33" i="82"/>
  <c r="C34" i="82"/>
  <c r="C35" i="82"/>
  <c r="C36" i="82"/>
  <c r="C37" i="82"/>
  <c r="C38" i="82"/>
  <c r="C39" i="82"/>
  <c r="C40" i="82"/>
  <c r="C41" i="82"/>
  <c r="C42" i="82"/>
  <c r="C43" i="82"/>
  <c r="C44" i="82"/>
  <c r="C45" i="82"/>
  <c r="C46" i="82"/>
  <c r="C47" i="82"/>
  <c r="C48" i="82"/>
  <c r="C49" i="82"/>
  <c r="C50" i="82"/>
  <c r="C51" i="82"/>
  <c r="C52" i="82"/>
  <c r="C53" i="82"/>
  <c r="C54" i="82"/>
  <c r="C55" i="82"/>
  <c r="C56" i="82"/>
  <c r="C57" i="82"/>
  <c r="C58" i="82"/>
  <c r="C59" i="82"/>
  <c r="C60" i="82"/>
  <c r="C61" i="82"/>
  <c r="C62" i="82"/>
  <c r="C63" i="82"/>
  <c r="C64" i="82"/>
  <c r="C65" i="82"/>
  <c r="C66" i="82"/>
  <c r="C67" i="82"/>
  <c r="C68" i="82"/>
  <c r="C69" i="82"/>
  <c r="C25" i="82"/>
  <c r="B26" i="82"/>
  <c r="B27" i="82"/>
  <c r="B28" i="82"/>
  <c r="Q28" i="82" s="1"/>
  <c r="B29" i="82"/>
  <c r="B30" i="82"/>
  <c r="B31" i="82"/>
  <c r="B32" i="82"/>
  <c r="Q32" i="82" s="1"/>
  <c r="B33" i="82"/>
  <c r="B34" i="82"/>
  <c r="B35" i="82"/>
  <c r="M35" i="82" s="1"/>
  <c r="B36" i="82"/>
  <c r="I36" i="82" s="1"/>
  <c r="B37" i="82"/>
  <c r="B38" i="82"/>
  <c r="Q38" i="82" s="1"/>
  <c r="B39" i="82"/>
  <c r="M39" i="82" s="1"/>
  <c r="B40" i="82"/>
  <c r="I40" i="82" s="1"/>
  <c r="B41" i="82"/>
  <c r="B42" i="82"/>
  <c r="M42" i="82" s="1"/>
  <c r="B43" i="82"/>
  <c r="M43" i="82" s="1"/>
  <c r="B44" i="82"/>
  <c r="Q44" i="82" s="1"/>
  <c r="B45" i="82"/>
  <c r="B46" i="82"/>
  <c r="B47" i="82"/>
  <c r="B48" i="82"/>
  <c r="Q48" i="82" s="1"/>
  <c r="B49" i="82"/>
  <c r="B50" i="82"/>
  <c r="B51" i="82"/>
  <c r="B52" i="82"/>
  <c r="Q52" i="82" s="1"/>
  <c r="B53" i="82"/>
  <c r="B54" i="82"/>
  <c r="Q54" i="82" s="1"/>
  <c r="B55" i="82"/>
  <c r="M55" i="82" s="1"/>
  <c r="B56" i="82"/>
  <c r="I56" i="82" s="1"/>
  <c r="B57" i="82"/>
  <c r="B58" i="82"/>
  <c r="B59" i="82"/>
  <c r="M59" i="82" s="1"/>
  <c r="B60" i="82"/>
  <c r="I60" i="82" s="1"/>
  <c r="B61" i="82"/>
  <c r="B62" i="82"/>
  <c r="B63" i="82"/>
  <c r="B64" i="82"/>
  <c r="Q64" i="82" s="1"/>
  <c r="B65" i="82"/>
  <c r="S65" i="82" s="1"/>
  <c r="B66" i="82"/>
  <c r="B67" i="82"/>
  <c r="I67" i="82" s="1"/>
  <c r="B68" i="82"/>
  <c r="Q68" i="82" s="1"/>
  <c r="B69" i="82"/>
  <c r="S69" i="82" s="1"/>
  <c r="B25" i="82"/>
  <c r="I54" i="82" l="1"/>
  <c r="I66" i="82"/>
  <c r="I62" i="82"/>
  <c r="I58" i="82"/>
  <c r="I50" i="82"/>
  <c r="I46" i="82"/>
  <c r="I34" i="82"/>
  <c r="I30" i="82"/>
  <c r="I26" i="82"/>
  <c r="O42" i="82"/>
  <c r="M63" i="82"/>
  <c r="I63" i="82"/>
  <c r="M51" i="82"/>
  <c r="I51" i="82"/>
  <c r="M47" i="82"/>
  <c r="I47" i="82"/>
  <c r="M31" i="82"/>
  <c r="I31" i="82"/>
  <c r="M27" i="82"/>
  <c r="I27" i="82"/>
  <c r="G59" i="82"/>
  <c r="G43" i="82"/>
  <c r="Q55" i="82"/>
  <c r="I39" i="82"/>
  <c r="S31" i="82"/>
  <c r="S39" i="82"/>
  <c r="S47" i="82"/>
  <c r="S55" i="82"/>
  <c r="S63" i="82"/>
  <c r="M25" i="82"/>
  <c r="I25" i="82"/>
  <c r="G25" i="82"/>
  <c r="G63" i="82"/>
  <c r="G58" i="82"/>
  <c r="G47" i="82"/>
  <c r="G42" i="82"/>
  <c r="G31" i="82"/>
  <c r="Q59" i="82"/>
  <c r="Q47" i="82"/>
  <c r="Q39" i="82"/>
  <c r="Q31" i="82"/>
  <c r="I38" i="82"/>
  <c r="I59" i="82"/>
  <c r="S26" i="82"/>
  <c r="S34" i="82"/>
  <c r="S42" i="82"/>
  <c r="S50" i="82"/>
  <c r="S58" i="82"/>
  <c r="S66" i="82"/>
  <c r="M58" i="82"/>
  <c r="M26" i="82"/>
  <c r="S61" i="82"/>
  <c r="I61" i="82"/>
  <c r="S57" i="82"/>
  <c r="I57" i="82"/>
  <c r="S53" i="82"/>
  <c r="I53" i="82"/>
  <c r="S49" i="82"/>
  <c r="Q49" i="82"/>
  <c r="S45" i="82"/>
  <c r="Q45" i="82"/>
  <c r="S41" i="82"/>
  <c r="I41" i="82"/>
  <c r="Q41" i="82"/>
  <c r="S37" i="82"/>
  <c r="I37" i="82"/>
  <c r="Q37" i="82"/>
  <c r="S33" i="82"/>
  <c r="Q33" i="82"/>
  <c r="S29" i="82"/>
  <c r="Q29" i="82"/>
  <c r="G67" i="82"/>
  <c r="G62" i="82"/>
  <c r="G57" i="82"/>
  <c r="G51" i="82"/>
  <c r="G46" i="82"/>
  <c r="G41" i="82"/>
  <c r="G35" i="82"/>
  <c r="G30" i="82"/>
  <c r="Q69" i="82"/>
  <c r="Q63" i="82"/>
  <c r="Q58" i="82"/>
  <c r="Q53" i="82"/>
  <c r="Q46" i="82"/>
  <c r="Q30" i="82"/>
  <c r="I33" i="82"/>
  <c r="I35" i="82"/>
  <c r="I45" i="82"/>
  <c r="S27" i="82"/>
  <c r="S35" i="82"/>
  <c r="S43" i="82"/>
  <c r="S51" i="82"/>
  <c r="S59" i="82"/>
  <c r="S67" i="82"/>
  <c r="M62" i="82"/>
  <c r="M57" i="82"/>
  <c r="M46" i="82"/>
  <c r="M41" i="82"/>
  <c r="M30" i="82"/>
  <c r="G68" i="82"/>
  <c r="G64" i="82"/>
  <c r="G60" i="82"/>
  <c r="G56" i="82"/>
  <c r="G52" i="82"/>
  <c r="G48" i="82"/>
  <c r="G44" i="82"/>
  <c r="G40" i="82"/>
  <c r="G36" i="82"/>
  <c r="G32" i="82"/>
  <c r="G28" i="82"/>
  <c r="Q60" i="82"/>
  <c r="Q56" i="82"/>
  <c r="Q40" i="82"/>
  <c r="Q36" i="82"/>
  <c r="S25" i="82"/>
  <c r="Q25" i="82"/>
  <c r="T36" i="89"/>
  <c r="T37" i="89"/>
  <c r="T38" i="89"/>
  <c r="T39" i="89"/>
  <c r="T40" i="89"/>
  <c r="T41" i="89"/>
  <c r="T42" i="89"/>
  <c r="T43" i="89"/>
  <c r="T44" i="89"/>
  <c r="T45" i="89"/>
  <c r="T46" i="89"/>
  <c r="O203" i="81" l="1"/>
  <c r="O202" i="81"/>
  <c r="O201" i="81"/>
  <c r="O200" i="81"/>
  <c r="O199" i="81"/>
  <c r="O198" i="81"/>
  <c r="J198" i="81"/>
  <c r="K198" i="81" s="1"/>
  <c r="O197" i="81"/>
  <c r="J197" i="81"/>
  <c r="K197" i="81" s="1"/>
  <c r="O196" i="81"/>
  <c r="O195" i="81"/>
  <c r="L195" i="81"/>
  <c r="J195" i="81"/>
  <c r="O194" i="81"/>
  <c r="N192" i="81"/>
  <c r="O189" i="81"/>
  <c r="O188" i="81"/>
  <c r="O187" i="81"/>
  <c r="O186" i="81"/>
  <c r="O185" i="81"/>
  <c r="O184" i="81"/>
  <c r="J184" i="81"/>
  <c r="K184" i="81" s="1"/>
  <c r="O183" i="81"/>
  <c r="J183" i="81"/>
  <c r="K183" i="81" s="1"/>
  <c r="O182" i="81"/>
  <c r="O181" i="81"/>
  <c r="L181" i="81"/>
  <c r="J181" i="81"/>
  <c r="O180" i="81"/>
  <c r="N178" i="81"/>
  <c r="O175" i="81"/>
  <c r="O174" i="81"/>
  <c r="O173" i="81"/>
  <c r="O172" i="81"/>
  <c r="O171" i="81"/>
  <c r="O170" i="81"/>
  <c r="J170" i="81"/>
  <c r="K170" i="81" s="1"/>
  <c r="O169" i="81"/>
  <c r="J169" i="81"/>
  <c r="K169" i="81" s="1"/>
  <c r="O168" i="81"/>
  <c r="O167" i="81"/>
  <c r="O166" i="81"/>
  <c r="N164" i="81"/>
  <c r="O161" i="81"/>
  <c r="O160" i="81"/>
  <c r="O159" i="81"/>
  <c r="O158" i="81"/>
  <c r="O157" i="81"/>
  <c r="O156" i="81"/>
  <c r="J156" i="81"/>
  <c r="K156" i="81" s="1"/>
  <c r="O155" i="81"/>
  <c r="J155" i="81"/>
  <c r="K155" i="81" s="1"/>
  <c r="O154" i="81"/>
  <c r="O153" i="81"/>
  <c r="O152" i="81"/>
  <c r="N150" i="81"/>
  <c r="O147" i="81"/>
  <c r="O146" i="81"/>
  <c r="O145" i="81"/>
  <c r="O144" i="81"/>
  <c r="O143" i="81"/>
  <c r="O142" i="81"/>
  <c r="J142" i="81"/>
  <c r="K142" i="81" s="1"/>
  <c r="O141" i="81"/>
  <c r="J141" i="81"/>
  <c r="K141" i="81" s="1"/>
  <c r="O140" i="81"/>
  <c r="O139" i="81"/>
  <c r="O138" i="81"/>
  <c r="N136" i="81"/>
  <c r="O1130" i="92" l="1"/>
  <c r="Q1130" i="92"/>
  <c r="R1130" i="92" s="1"/>
  <c r="S1130" i="92"/>
  <c r="T1130" i="92"/>
  <c r="U1130" i="92"/>
  <c r="W1130" i="92"/>
  <c r="X1130" i="92"/>
  <c r="Y1130" i="92"/>
  <c r="AA1130" i="92"/>
  <c r="O1131" i="92"/>
  <c r="Q1131" i="92"/>
  <c r="R1131" i="92" s="1"/>
  <c r="S1131" i="92"/>
  <c r="T1131" i="92"/>
  <c r="U1131" i="92"/>
  <c r="W1131" i="92"/>
  <c r="X1131" i="92"/>
  <c r="Y1131" i="92"/>
  <c r="AA1131" i="92"/>
  <c r="O1132" i="92"/>
  <c r="Q1132" i="92"/>
  <c r="R1132" i="92" s="1"/>
  <c r="S1132" i="92"/>
  <c r="T1132" i="92"/>
  <c r="U1132" i="92"/>
  <c r="W1132" i="92"/>
  <c r="X1132" i="92"/>
  <c r="Y1132" i="92"/>
  <c r="AA1132" i="92"/>
  <c r="O1133" i="92"/>
  <c r="Q1133" i="92"/>
  <c r="R1133" i="92" s="1"/>
  <c r="S1133" i="92"/>
  <c r="T1133" i="92"/>
  <c r="U1133" i="92"/>
  <c r="W1133" i="92"/>
  <c r="X1133" i="92"/>
  <c r="Y1133" i="92"/>
  <c r="AA1133" i="92"/>
  <c r="O1134" i="92"/>
  <c r="Q1134" i="92"/>
  <c r="R1134" i="92" s="1"/>
  <c r="S1134" i="92"/>
  <c r="T1134" i="92"/>
  <c r="U1134" i="92"/>
  <c r="W1134" i="92"/>
  <c r="X1134" i="92"/>
  <c r="Y1134" i="92"/>
  <c r="AA1134" i="92"/>
  <c r="O1135" i="92"/>
  <c r="Q1135" i="92"/>
  <c r="R1135" i="92" s="1"/>
  <c r="S1135" i="92"/>
  <c r="T1135" i="92"/>
  <c r="U1135" i="92"/>
  <c r="W1135" i="92"/>
  <c r="X1135" i="92"/>
  <c r="Y1135" i="92"/>
  <c r="AA1135" i="92"/>
  <c r="O1136" i="92"/>
  <c r="Q1136" i="92"/>
  <c r="R1136" i="92" s="1"/>
  <c r="S1136" i="92"/>
  <c r="T1136" i="92"/>
  <c r="U1136" i="92"/>
  <c r="W1136" i="92"/>
  <c r="X1136" i="92"/>
  <c r="Y1136" i="92"/>
  <c r="AA1136" i="92"/>
  <c r="O1137" i="92"/>
  <c r="Q1137" i="92"/>
  <c r="R1137" i="92" s="1"/>
  <c r="S1137" i="92"/>
  <c r="T1137" i="92"/>
  <c r="U1137" i="92"/>
  <c r="W1137" i="92"/>
  <c r="X1137" i="92"/>
  <c r="Y1137" i="92"/>
  <c r="AA1137" i="92"/>
  <c r="O1138" i="92"/>
  <c r="Q1138" i="92"/>
  <c r="R1138" i="92" s="1"/>
  <c r="S1138" i="92"/>
  <c r="T1138" i="92"/>
  <c r="U1138" i="92"/>
  <c r="W1138" i="92"/>
  <c r="X1138" i="92"/>
  <c r="Y1138" i="92"/>
  <c r="AA1138" i="92"/>
  <c r="O1139" i="92"/>
  <c r="Q1139" i="92"/>
  <c r="R1139" i="92" s="1"/>
  <c r="S1139" i="92"/>
  <c r="T1139" i="92"/>
  <c r="U1139" i="92"/>
  <c r="W1139" i="92"/>
  <c r="X1139" i="92"/>
  <c r="Y1139" i="92"/>
  <c r="AA1139" i="92"/>
  <c r="O1140" i="92"/>
  <c r="Q1140" i="92"/>
  <c r="R1140" i="92" s="1"/>
  <c r="S1140" i="92"/>
  <c r="T1140" i="92"/>
  <c r="U1140" i="92"/>
  <c r="W1140" i="92"/>
  <c r="X1140" i="92"/>
  <c r="Y1140" i="92"/>
  <c r="AA1140" i="92"/>
  <c r="O1141" i="92"/>
  <c r="Q1141" i="92"/>
  <c r="R1141" i="92" s="1"/>
  <c r="S1141" i="92"/>
  <c r="T1141" i="92"/>
  <c r="U1141" i="92"/>
  <c r="W1141" i="92"/>
  <c r="X1141" i="92"/>
  <c r="Y1141" i="92"/>
  <c r="AA1141" i="92"/>
  <c r="O1142" i="92"/>
  <c r="Q1142" i="92"/>
  <c r="R1142" i="92" s="1"/>
  <c r="S1142" i="92"/>
  <c r="T1142" i="92"/>
  <c r="U1142" i="92"/>
  <c r="W1142" i="92"/>
  <c r="X1142" i="92"/>
  <c r="Y1142" i="92"/>
  <c r="AA1142" i="92"/>
  <c r="O1143" i="92"/>
  <c r="Q1143" i="92"/>
  <c r="R1143" i="92" s="1"/>
  <c r="S1143" i="92"/>
  <c r="T1143" i="92"/>
  <c r="U1143" i="92"/>
  <c r="W1143" i="92"/>
  <c r="X1143" i="92"/>
  <c r="Y1143" i="92"/>
  <c r="AA1143" i="92"/>
  <c r="O1144" i="92"/>
  <c r="Q1144" i="92"/>
  <c r="R1144" i="92" s="1"/>
  <c r="S1144" i="92"/>
  <c r="T1144" i="92"/>
  <c r="U1144" i="92"/>
  <c r="W1144" i="92"/>
  <c r="X1144" i="92"/>
  <c r="Y1144" i="92"/>
  <c r="AA1144" i="92"/>
  <c r="O1145" i="92"/>
  <c r="Q1145" i="92"/>
  <c r="R1145" i="92" s="1"/>
  <c r="S1145" i="92"/>
  <c r="T1145" i="92"/>
  <c r="U1145" i="92"/>
  <c r="W1145" i="92"/>
  <c r="X1145" i="92"/>
  <c r="Y1145" i="92"/>
  <c r="AA1145" i="92"/>
  <c r="O1146" i="92"/>
  <c r="Q1146" i="92"/>
  <c r="R1146" i="92" s="1"/>
  <c r="S1146" i="92"/>
  <c r="T1146" i="92"/>
  <c r="U1146" i="92"/>
  <c r="W1146" i="92"/>
  <c r="X1146" i="92"/>
  <c r="Y1146" i="92"/>
  <c r="AA1146" i="92"/>
  <c r="O1147" i="92"/>
  <c r="Q1147" i="92"/>
  <c r="R1147" i="92" s="1"/>
  <c r="S1147" i="92"/>
  <c r="T1147" i="92"/>
  <c r="U1147" i="92"/>
  <c r="W1147" i="92"/>
  <c r="X1147" i="92"/>
  <c r="Y1147" i="92"/>
  <c r="AA1147" i="92"/>
  <c r="O1148" i="92"/>
  <c r="Q1148" i="92"/>
  <c r="R1148" i="92" s="1"/>
  <c r="S1148" i="92"/>
  <c r="T1148" i="92"/>
  <c r="U1148" i="92"/>
  <c r="W1148" i="92"/>
  <c r="X1148" i="92"/>
  <c r="Y1148" i="92"/>
  <c r="AA1148" i="92"/>
  <c r="O1149" i="92"/>
  <c r="Q1149" i="92"/>
  <c r="R1149" i="92" s="1"/>
  <c r="S1149" i="92"/>
  <c r="T1149" i="92"/>
  <c r="U1149" i="92"/>
  <c r="W1149" i="92"/>
  <c r="X1149" i="92"/>
  <c r="Y1149" i="92"/>
  <c r="AA1149" i="92"/>
  <c r="O1150" i="92"/>
  <c r="Q1150" i="92"/>
  <c r="R1150" i="92" s="1"/>
  <c r="S1150" i="92"/>
  <c r="T1150" i="92"/>
  <c r="U1150" i="92"/>
  <c r="W1150" i="92"/>
  <c r="X1150" i="92"/>
  <c r="Y1150" i="92"/>
  <c r="AA1150" i="92"/>
  <c r="N1130" i="92"/>
  <c r="N1131" i="92"/>
  <c r="N1132" i="92"/>
  <c r="N1133" i="92"/>
  <c r="N1134" i="92"/>
  <c r="N1135" i="92"/>
  <c r="N1136" i="92"/>
  <c r="N1137" i="92"/>
  <c r="N1138" i="92"/>
  <c r="N1139" i="92"/>
  <c r="N1140" i="92"/>
  <c r="N1141" i="92"/>
  <c r="N1142" i="92"/>
  <c r="N1143" i="92"/>
  <c r="N1144" i="92"/>
  <c r="N1145" i="92"/>
  <c r="N1146" i="92"/>
  <c r="N1147" i="92"/>
  <c r="N1148" i="92"/>
  <c r="N1149" i="92"/>
  <c r="N1150" i="92"/>
  <c r="N1080" i="92"/>
  <c r="O1080" i="92"/>
  <c r="Q1080" i="92"/>
  <c r="R1080" i="92" s="1"/>
  <c r="U1080" i="92"/>
  <c r="Y1080" i="92"/>
  <c r="N1081" i="92"/>
  <c r="O1081" i="92" s="1"/>
  <c r="Q1081" i="92"/>
  <c r="S1081" i="92" s="1"/>
  <c r="N1082" i="92"/>
  <c r="O1082" i="92"/>
  <c r="Q1082" i="92"/>
  <c r="S1082" i="92" s="1"/>
  <c r="N1083" i="92"/>
  <c r="O1083" i="92" s="1"/>
  <c r="Q1083" i="92"/>
  <c r="Y1083" i="92" s="1"/>
  <c r="N1084" i="92"/>
  <c r="O1084" i="92"/>
  <c r="Q1084" i="92"/>
  <c r="R1084" i="92" s="1"/>
  <c r="S1084" i="92"/>
  <c r="T1084" i="92"/>
  <c r="U1084" i="92"/>
  <c r="W1084" i="92"/>
  <c r="X1084" i="92"/>
  <c r="Y1084" i="92"/>
  <c r="AA1084" i="92"/>
  <c r="N1085" i="92"/>
  <c r="O1085" i="92" s="1"/>
  <c r="Q1085" i="92"/>
  <c r="U1085" i="92" s="1"/>
  <c r="Y1085" i="92"/>
  <c r="N1086" i="92"/>
  <c r="O1086" i="92" s="1"/>
  <c r="Q1086" i="92"/>
  <c r="S1086" i="92" s="1"/>
  <c r="R1086" i="92"/>
  <c r="T1086" i="92"/>
  <c r="U1086" i="92"/>
  <c r="V1086" i="92"/>
  <c r="X1086" i="92"/>
  <c r="Y1086" i="92"/>
  <c r="Z1086" i="92"/>
  <c r="N1087" i="92"/>
  <c r="O1087" i="92" s="1"/>
  <c r="Q1087" i="92"/>
  <c r="U1087" i="92" s="1"/>
  <c r="S1087" i="92"/>
  <c r="AA1087" i="92"/>
  <c r="N1088" i="92"/>
  <c r="O1088" i="92" s="1"/>
  <c r="Q1088" i="92"/>
  <c r="T1088" i="92" s="1"/>
  <c r="R1088" i="92"/>
  <c r="S1088" i="92"/>
  <c r="U1088" i="92"/>
  <c r="V1088" i="92"/>
  <c r="W1088" i="92"/>
  <c r="Y1088" i="92"/>
  <c r="Z1088" i="92"/>
  <c r="AA1088" i="92"/>
  <c r="N1089" i="92"/>
  <c r="O1089" i="92" s="1"/>
  <c r="Q1089" i="92"/>
  <c r="U1089" i="92" s="1"/>
  <c r="S1089" i="92"/>
  <c r="W1089" i="92"/>
  <c r="AA1089" i="92"/>
  <c r="N1090" i="92"/>
  <c r="O1090" i="92"/>
  <c r="Q1090" i="92"/>
  <c r="S1090" i="92" s="1"/>
  <c r="R1090" i="92"/>
  <c r="T1090" i="92"/>
  <c r="U1090" i="92"/>
  <c r="V1090" i="92"/>
  <c r="X1090" i="92"/>
  <c r="Y1090" i="92"/>
  <c r="Z1090" i="92"/>
  <c r="N1091" i="92"/>
  <c r="O1091" i="92" s="1"/>
  <c r="Q1091" i="92"/>
  <c r="S1091" i="92" s="1"/>
  <c r="N1092" i="92"/>
  <c r="O1092" i="92" s="1"/>
  <c r="Q1092" i="92"/>
  <c r="R1092" i="92" s="1"/>
  <c r="U1092" i="92"/>
  <c r="Y1092" i="92"/>
  <c r="N1093" i="92"/>
  <c r="O1093" i="92" s="1"/>
  <c r="Q1093" i="92"/>
  <c r="V1093" i="92" s="1"/>
  <c r="N1094" i="92"/>
  <c r="O1094" i="92"/>
  <c r="Q1094" i="92"/>
  <c r="R1094" i="92" s="1"/>
  <c r="T1094" i="92"/>
  <c r="U1094" i="92"/>
  <c r="V1094" i="92"/>
  <c r="Y1094" i="92"/>
  <c r="Z1094" i="92"/>
  <c r="N1095" i="92"/>
  <c r="O1095" i="92" s="1"/>
  <c r="Q1095" i="92"/>
  <c r="T1095" i="92" s="1"/>
  <c r="S1095" i="92"/>
  <c r="X1095" i="92"/>
  <c r="AA1095" i="92"/>
  <c r="N1096" i="92"/>
  <c r="O1096" i="92" s="1"/>
  <c r="Q1096" i="92"/>
  <c r="S1096" i="92" s="1"/>
  <c r="R1096" i="92"/>
  <c r="U1096" i="92"/>
  <c r="V1096" i="92"/>
  <c r="Y1096" i="92"/>
  <c r="Z1096" i="92"/>
  <c r="N1097" i="92"/>
  <c r="O1097" i="92" s="1"/>
  <c r="Q1097" i="92"/>
  <c r="S1097" i="92" s="1"/>
  <c r="R1097" i="92"/>
  <c r="V1097" i="92"/>
  <c r="W1097" i="92"/>
  <c r="AA1097" i="92"/>
  <c r="N1098" i="92"/>
  <c r="O1098" i="92" s="1"/>
  <c r="Q1098" i="92"/>
  <c r="R1098" i="92" s="1"/>
  <c r="T1098" i="92"/>
  <c r="Y1098" i="92"/>
  <c r="N1099" i="92"/>
  <c r="O1099" i="92" s="1"/>
  <c r="Q1099" i="92"/>
  <c r="W1099" i="92"/>
  <c r="N1100" i="92"/>
  <c r="O1100" i="92" s="1"/>
  <c r="Q1100" i="92"/>
  <c r="R1100" i="92" s="1"/>
  <c r="S1100" i="92"/>
  <c r="T1100" i="92"/>
  <c r="U1100" i="92"/>
  <c r="W1100" i="92"/>
  <c r="X1100" i="92"/>
  <c r="Y1100" i="92"/>
  <c r="AA1100" i="92"/>
  <c r="N1101" i="92"/>
  <c r="O1101" i="92" s="1"/>
  <c r="Q1101" i="92"/>
  <c r="R1101" i="92" s="1"/>
  <c r="V1101" i="92"/>
  <c r="Y1101" i="92"/>
  <c r="AA1101" i="92"/>
  <c r="N1102" i="92"/>
  <c r="O1102" i="92"/>
  <c r="Q1102" i="92"/>
  <c r="T1102" i="92" s="1"/>
  <c r="N1103" i="92"/>
  <c r="O1103" i="92"/>
  <c r="Q1103" i="92"/>
  <c r="S1103" i="92" s="1"/>
  <c r="W1103" i="92"/>
  <c r="N1104" i="92"/>
  <c r="O1104" i="92" s="1"/>
  <c r="Q1104" i="92"/>
  <c r="R1104" i="92"/>
  <c r="S1104" i="92"/>
  <c r="T1104" i="92"/>
  <c r="U1104" i="92"/>
  <c r="V1104" i="92"/>
  <c r="W1104" i="92"/>
  <c r="X1104" i="92"/>
  <c r="Y1104" i="92"/>
  <c r="Z1104" i="92"/>
  <c r="AA1104" i="92"/>
  <c r="N1105" i="92"/>
  <c r="O1105" i="92" s="1"/>
  <c r="Q1105" i="92"/>
  <c r="S1105" i="92" s="1"/>
  <c r="R1105" i="92"/>
  <c r="U1105" i="92"/>
  <c r="V1105" i="92"/>
  <c r="W1105" i="92"/>
  <c r="Z1105" i="92"/>
  <c r="AA1105" i="92"/>
  <c r="N1106" i="92"/>
  <c r="O1106" i="92" s="1"/>
  <c r="Q1106" i="92"/>
  <c r="T1106" i="92" s="1"/>
  <c r="N1107" i="92"/>
  <c r="O1107" i="92" s="1"/>
  <c r="Q1107" i="92"/>
  <c r="S1107" i="92" s="1"/>
  <c r="W1107" i="92"/>
  <c r="Y1107" i="92"/>
  <c r="N1108" i="92"/>
  <c r="O1108" i="92" s="1"/>
  <c r="Q1108" i="92"/>
  <c r="R1108" i="92"/>
  <c r="S1108" i="92"/>
  <c r="T1108" i="92"/>
  <c r="U1108" i="92"/>
  <c r="V1108" i="92"/>
  <c r="W1108" i="92"/>
  <c r="X1108" i="92"/>
  <c r="Y1108" i="92"/>
  <c r="Z1108" i="92"/>
  <c r="AA1108" i="92"/>
  <c r="N1109" i="92"/>
  <c r="O1109" i="92" s="1"/>
  <c r="Q1109" i="92"/>
  <c r="N1110" i="92"/>
  <c r="O1110" i="92"/>
  <c r="Q1110" i="92"/>
  <c r="R1110" i="92" s="1"/>
  <c r="T1110" i="92"/>
  <c r="U1110" i="92"/>
  <c r="V1110" i="92"/>
  <c r="Y1110" i="92"/>
  <c r="Z1110" i="92"/>
  <c r="N1111" i="92"/>
  <c r="O1111" i="92" s="1"/>
  <c r="Q1111" i="92"/>
  <c r="T1111" i="92" s="1"/>
  <c r="S1111" i="92"/>
  <c r="X1111" i="92"/>
  <c r="AA1111" i="92"/>
  <c r="N1112" i="92"/>
  <c r="O1112" i="92" s="1"/>
  <c r="Q1112" i="92"/>
  <c r="S1112" i="92" s="1"/>
  <c r="R1112" i="92"/>
  <c r="V1112" i="92"/>
  <c r="Y1112" i="92"/>
  <c r="Z1112" i="92"/>
  <c r="N1113" i="92"/>
  <c r="O1113" i="92" s="1"/>
  <c r="Q1113" i="92"/>
  <c r="S1113" i="92" s="1"/>
  <c r="R1113" i="92"/>
  <c r="W1113" i="92"/>
  <c r="N1114" i="92"/>
  <c r="O1114" i="92" s="1"/>
  <c r="Q1114" i="92"/>
  <c r="R1114" i="92" s="1"/>
  <c r="T1114" i="92"/>
  <c r="Y1114" i="92"/>
  <c r="N1115" i="92"/>
  <c r="O1115" i="92" s="1"/>
  <c r="Q1115" i="92"/>
  <c r="N1116" i="92"/>
  <c r="O1116" i="92" s="1"/>
  <c r="Q1116" i="92"/>
  <c r="R1116" i="92" s="1"/>
  <c r="Y1116" i="92"/>
  <c r="N1117" i="92"/>
  <c r="O1117" i="92" s="1"/>
  <c r="Q1117" i="92"/>
  <c r="R1117" i="92" s="1"/>
  <c r="N1118" i="92"/>
  <c r="O1118" i="92"/>
  <c r="Q1118" i="92"/>
  <c r="S1118" i="92" s="1"/>
  <c r="U1118" i="92"/>
  <c r="V1118" i="92"/>
  <c r="W1118" i="92"/>
  <c r="Z1118" i="92"/>
  <c r="AA1118" i="92"/>
  <c r="N1119" i="92"/>
  <c r="O1119" i="92" s="1"/>
  <c r="Q1119" i="92"/>
  <c r="S1119" i="92" s="1"/>
  <c r="R1119" i="92"/>
  <c r="X1119" i="92"/>
  <c r="N1120" i="92"/>
  <c r="O1120" i="92" s="1"/>
  <c r="Q1120" i="92"/>
  <c r="T1120" i="92" s="1"/>
  <c r="N1121" i="92"/>
  <c r="O1121" i="92" s="1"/>
  <c r="Q1121" i="92"/>
  <c r="S1121" i="92" s="1"/>
  <c r="R1121" i="92"/>
  <c r="V1121" i="92"/>
  <c r="Y1121" i="92"/>
  <c r="Z1121" i="92"/>
  <c r="N1122" i="92"/>
  <c r="O1122" i="92" s="1"/>
  <c r="Q1122" i="92"/>
  <c r="R1122" i="92" s="1"/>
  <c r="N1123" i="92"/>
  <c r="O1123" i="92" s="1"/>
  <c r="Q1123" i="92"/>
  <c r="S1123" i="92" s="1"/>
  <c r="R1123" i="92"/>
  <c r="T1123" i="92"/>
  <c r="U1123" i="92"/>
  <c r="V1123" i="92"/>
  <c r="X1123" i="92"/>
  <c r="Y1123" i="92"/>
  <c r="Z1123" i="92"/>
  <c r="N1124" i="92"/>
  <c r="O1124" i="92" s="1"/>
  <c r="Q1124" i="92"/>
  <c r="T1124" i="92" s="1"/>
  <c r="S1124" i="92"/>
  <c r="AA1124" i="92"/>
  <c r="N1125" i="92"/>
  <c r="O1125" i="92" s="1"/>
  <c r="Q1125" i="92"/>
  <c r="S1125" i="92" s="1"/>
  <c r="R1125" i="92"/>
  <c r="U1125" i="92"/>
  <c r="V1125" i="92"/>
  <c r="Y1125" i="92"/>
  <c r="Z1125" i="92"/>
  <c r="N1126" i="92"/>
  <c r="O1126" i="92" s="1"/>
  <c r="Q1126" i="92"/>
  <c r="R1126" i="92" s="1"/>
  <c r="U1126" i="92"/>
  <c r="N1127" i="92"/>
  <c r="O1127" i="92"/>
  <c r="Q1127" i="92"/>
  <c r="N1128" i="92"/>
  <c r="O1128" i="92" s="1"/>
  <c r="Q1128" i="92"/>
  <c r="T1128" i="92" s="1"/>
  <c r="W1128" i="92"/>
  <c r="AA1128" i="92"/>
  <c r="N1129" i="92"/>
  <c r="O1129" i="92" s="1"/>
  <c r="Q1129" i="92"/>
  <c r="S1129" i="92" s="1"/>
  <c r="R1129" i="92"/>
  <c r="U1129" i="92"/>
  <c r="V1129" i="92"/>
  <c r="Y1129" i="92"/>
  <c r="Z1129" i="92"/>
  <c r="Z1150" i="92" l="1"/>
  <c r="V1150" i="92"/>
  <c r="Z1149" i="92"/>
  <c r="V1149" i="92"/>
  <c r="Z1148" i="92"/>
  <c r="V1148" i="92"/>
  <c r="Z1147" i="92"/>
  <c r="V1147" i="92"/>
  <c r="Z1146" i="92"/>
  <c r="V1146" i="92"/>
  <c r="Z1145" i="92"/>
  <c r="V1145" i="92"/>
  <c r="Z1144" i="92"/>
  <c r="V1144" i="92"/>
  <c r="Z1143" i="92"/>
  <c r="V1143" i="92"/>
  <c r="Z1142" i="92"/>
  <c r="V1142" i="92"/>
  <c r="Z1141" i="92"/>
  <c r="V1141" i="92"/>
  <c r="Z1140" i="92"/>
  <c r="V1140" i="92"/>
  <c r="Z1139" i="92"/>
  <c r="V1139" i="92"/>
  <c r="Z1138" i="92"/>
  <c r="V1138" i="92"/>
  <c r="Z1137" i="92"/>
  <c r="V1137" i="92"/>
  <c r="Z1136" i="92"/>
  <c r="V1136" i="92"/>
  <c r="Z1135" i="92"/>
  <c r="V1135" i="92"/>
  <c r="Z1134" i="92"/>
  <c r="V1134" i="92"/>
  <c r="Z1133" i="92"/>
  <c r="V1133" i="92"/>
  <c r="Z1132" i="92"/>
  <c r="V1132" i="92"/>
  <c r="Z1131" i="92"/>
  <c r="V1131" i="92"/>
  <c r="Z1130" i="92"/>
  <c r="V1130" i="92"/>
  <c r="S1127" i="92"/>
  <c r="R1127" i="92"/>
  <c r="X1127" i="92"/>
  <c r="Z1127" i="92"/>
  <c r="T1127" i="92"/>
  <c r="Y1127" i="92"/>
  <c r="U1127" i="92"/>
  <c r="V1127" i="92"/>
  <c r="AA1120" i="92"/>
  <c r="U1116" i="92"/>
  <c r="Y1081" i="92"/>
  <c r="U1121" i="92"/>
  <c r="V1119" i="92"/>
  <c r="T1116" i="92"/>
  <c r="AA1113" i="92"/>
  <c r="V1113" i="92"/>
  <c r="AA1103" i="92"/>
  <c r="U1103" i="92"/>
  <c r="V1102" i="92"/>
  <c r="X1092" i="92"/>
  <c r="T1092" i="92"/>
  <c r="Z1082" i="92"/>
  <c r="U1082" i="92"/>
  <c r="W1081" i="92"/>
  <c r="X1080" i="92"/>
  <c r="T1080" i="92"/>
  <c r="X1129" i="92"/>
  <c r="T1129" i="92"/>
  <c r="S1128" i="92"/>
  <c r="X1125" i="92"/>
  <c r="T1125" i="92"/>
  <c r="W1124" i="92"/>
  <c r="X1121" i="92"/>
  <c r="T1121" i="92"/>
  <c r="W1120" i="92"/>
  <c r="Z1119" i="92"/>
  <c r="U1119" i="92"/>
  <c r="Y1118" i="92"/>
  <c r="R1118" i="92"/>
  <c r="Y1117" i="92"/>
  <c r="AA1116" i="92"/>
  <c r="W1116" i="92"/>
  <c r="S1116" i="92"/>
  <c r="Z1113" i="92"/>
  <c r="U1113" i="92"/>
  <c r="X1112" i="92"/>
  <c r="T1112" i="92"/>
  <c r="W1111" i="92"/>
  <c r="X1110" i="92"/>
  <c r="T1107" i="92"/>
  <c r="Y1103" i="92"/>
  <c r="T1103" i="92"/>
  <c r="U1102" i="92"/>
  <c r="S1101" i="92"/>
  <c r="Z1100" i="92"/>
  <c r="V1100" i="92"/>
  <c r="Z1097" i="92"/>
  <c r="U1097" i="92"/>
  <c r="X1096" i="92"/>
  <c r="T1096" i="92"/>
  <c r="W1095" i="92"/>
  <c r="X1094" i="92"/>
  <c r="AA1093" i="92"/>
  <c r="AA1092" i="92"/>
  <c r="W1092" i="92"/>
  <c r="S1092" i="92"/>
  <c r="Y1087" i="92"/>
  <c r="Z1084" i="92"/>
  <c r="V1084" i="92"/>
  <c r="Y1082" i="92"/>
  <c r="T1082" i="92"/>
  <c r="U1081" i="92"/>
  <c r="AA1080" i="92"/>
  <c r="W1080" i="92"/>
  <c r="S1080" i="92"/>
  <c r="X1102" i="92"/>
  <c r="V1082" i="92"/>
  <c r="Y1124" i="92"/>
  <c r="Y1120" i="92"/>
  <c r="X1116" i="92"/>
  <c r="U1112" i="92"/>
  <c r="AA1129" i="92"/>
  <c r="W1129" i="92"/>
  <c r="Y1126" i="92"/>
  <c r="AA1125" i="92"/>
  <c r="W1125" i="92"/>
  <c r="U1124" i="92"/>
  <c r="AA1121" i="92"/>
  <c r="W1121" i="92"/>
  <c r="S1120" i="92"/>
  <c r="Y1119" i="92"/>
  <c r="T1119" i="92"/>
  <c r="S1117" i="92"/>
  <c r="Z1116" i="92"/>
  <c r="V1116" i="92"/>
  <c r="Y1113" i="92"/>
  <c r="AA1112" i="92"/>
  <c r="W1112" i="92"/>
  <c r="U1111" i="92"/>
  <c r="X1103" i="92"/>
  <c r="Z1102" i="92"/>
  <c r="R1102" i="92"/>
  <c r="Y1097" i="92"/>
  <c r="AA1096" i="92"/>
  <c r="W1096" i="92"/>
  <c r="U1095" i="92"/>
  <c r="Z1092" i="92"/>
  <c r="V1092" i="92"/>
  <c r="Y1089" i="92"/>
  <c r="X1088" i="92"/>
  <c r="W1087" i="92"/>
  <c r="X1082" i="92"/>
  <c r="R1082" i="92"/>
  <c r="AA1081" i="92"/>
  <c r="Z1080" i="92"/>
  <c r="V1080" i="92"/>
  <c r="R1115" i="92"/>
  <c r="V1115" i="92"/>
  <c r="Z1115" i="92"/>
  <c r="T1109" i="92"/>
  <c r="X1109" i="92"/>
  <c r="V1106" i="92"/>
  <c r="R1099" i="92"/>
  <c r="V1099" i="92"/>
  <c r="Z1099" i="92"/>
  <c r="T1093" i="92"/>
  <c r="X1093" i="92"/>
  <c r="Y1091" i="92"/>
  <c r="T1091" i="92"/>
  <c r="R1085" i="92"/>
  <c r="V1085" i="92"/>
  <c r="Z1085" i="92"/>
  <c r="T1085" i="92"/>
  <c r="X1085" i="92"/>
  <c r="T1083" i="92"/>
  <c r="X1083" i="92"/>
  <c r="R1083" i="92"/>
  <c r="V1083" i="92"/>
  <c r="Z1083" i="92"/>
  <c r="Z1128" i="92"/>
  <c r="V1128" i="92"/>
  <c r="R1128" i="92"/>
  <c r="AA1127" i="92"/>
  <c r="W1127" i="92"/>
  <c r="X1126" i="92"/>
  <c r="T1126" i="92"/>
  <c r="Z1124" i="92"/>
  <c r="V1124" i="92"/>
  <c r="R1124" i="92"/>
  <c r="AA1123" i="92"/>
  <c r="W1123" i="92"/>
  <c r="X1122" i="92"/>
  <c r="T1122" i="92"/>
  <c r="Z1120" i="92"/>
  <c r="V1120" i="92"/>
  <c r="R1120" i="92"/>
  <c r="AA1119" i="92"/>
  <c r="W1119" i="92"/>
  <c r="X1118" i="92"/>
  <c r="T1118" i="92"/>
  <c r="W1117" i="92"/>
  <c r="AA1115" i="92"/>
  <c r="U1115" i="92"/>
  <c r="X1114" i="92"/>
  <c r="T1113" i="92"/>
  <c r="X1113" i="92"/>
  <c r="Y1111" i="92"/>
  <c r="S1110" i="92"/>
  <c r="W1110" i="92"/>
  <c r="AA1110" i="92"/>
  <c r="Z1109" i="92"/>
  <c r="U1109" i="92"/>
  <c r="X1107" i="92"/>
  <c r="Z1106" i="92"/>
  <c r="U1106" i="92"/>
  <c r="Y1105" i="92"/>
  <c r="R1103" i="92"/>
  <c r="V1103" i="92"/>
  <c r="Z1103" i="92"/>
  <c r="Y1102" i="92"/>
  <c r="W1101" i="92"/>
  <c r="AA1099" i="92"/>
  <c r="U1099" i="92"/>
  <c r="X1098" i="92"/>
  <c r="T1097" i="92"/>
  <c r="X1097" i="92"/>
  <c r="Y1095" i="92"/>
  <c r="S1094" i="92"/>
  <c r="W1094" i="92"/>
  <c r="AA1094" i="92"/>
  <c r="Z1093" i="92"/>
  <c r="U1093" i="92"/>
  <c r="X1091" i="92"/>
  <c r="W1085" i="92"/>
  <c r="W1083" i="92"/>
  <c r="R1081" i="92"/>
  <c r="V1081" i="92"/>
  <c r="Z1081" i="92"/>
  <c r="T1081" i="92"/>
  <c r="X1081" i="92"/>
  <c r="Y1122" i="92"/>
  <c r="U1122" i="92"/>
  <c r="AA1109" i="92"/>
  <c r="W1122" i="92"/>
  <c r="S1122" i="92"/>
  <c r="U1120" i="92"/>
  <c r="T1117" i="92"/>
  <c r="X1117" i="92"/>
  <c r="T1115" i="92"/>
  <c r="S1114" i="92"/>
  <c r="W1114" i="92"/>
  <c r="AA1114" i="92"/>
  <c r="Y1109" i="92"/>
  <c r="S1109" i="92"/>
  <c r="R1107" i="92"/>
  <c r="V1107" i="92"/>
  <c r="Z1107" i="92"/>
  <c r="Y1106" i="92"/>
  <c r="S1098" i="92"/>
  <c r="W1098" i="92"/>
  <c r="AA1098" i="92"/>
  <c r="S1093" i="92"/>
  <c r="R1091" i="92"/>
  <c r="V1091" i="92"/>
  <c r="Z1091" i="92"/>
  <c r="U1083" i="92"/>
  <c r="W1115" i="92"/>
  <c r="V1109" i="92"/>
  <c r="S1106" i="92"/>
  <c r="W1106" i="92"/>
  <c r="AA1106" i="92"/>
  <c r="Y1128" i="92"/>
  <c r="U1128" i="92"/>
  <c r="AA1126" i="92"/>
  <c r="W1126" i="92"/>
  <c r="S1126" i="92"/>
  <c r="AA1122" i="92"/>
  <c r="AA1117" i="92"/>
  <c r="V1117" i="92"/>
  <c r="Y1115" i="92"/>
  <c r="V1114" i="92"/>
  <c r="T1101" i="92"/>
  <c r="X1101" i="92"/>
  <c r="Y1099" i="92"/>
  <c r="T1099" i="92"/>
  <c r="V1098" i="92"/>
  <c r="Y1093" i="92"/>
  <c r="W1091" i="92"/>
  <c r="X1128" i="92"/>
  <c r="Z1126" i="92"/>
  <c r="V1126" i="92"/>
  <c r="X1124" i="92"/>
  <c r="Z1122" i="92"/>
  <c r="V1122" i="92"/>
  <c r="X1120" i="92"/>
  <c r="Z1117" i="92"/>
  <c r="U1117" i="92"/>
  <c r="X1115" i="92"/>
  <c r="S1115" i="92"/>
  <c r="Z1114" i="92"/>
  <c r="U1114" i="92"/>
  <c r="R1111" i="92"/>
  <c r="V1111" i="92"/>
  <c r="Z1111" i="92"/>
  <c r="W1109" i="92"/>
  <c r="R1109" i="92"/>
  <c r="AA1107" i="92"/>
  <c r="U1107" i="92"/>
  <c r="X1106" i="92"/>
  <c r="R1106" i="92"/>
  <c r="T1105" i="92"/>
  <c r="X1105" i="92"/>
  <c r="S1102" i="92"/>
  <c r="W1102" i="92"/>
  <c r="AA1102" i="92"/>
  <c r="Z1101" i="92"/>
  <c r="U1101" i="92"/>
  <c r="X1099" i="92"/>
  <c r="S1099" i="92"/>
  <c r="Z1098" i="92"/>
  <c r="U1098" i="92"/>
  <c r="R1095" i="92"/>
  <c r="V1095" i="92"/>
  <c r="Z1095" i="92"/>
  <c r="W1093" i="92"/>
  <c r="R1093" i="92"/>
  <c r="AA1091" i="92"/>
  <c r="U1091" i="92"/>
  <c r="R1089" i="92"/>
  <c r="V1089" i="92"/>
  <c r="Z1089" i="92"/>
  <c r="T1089" i="92"/>
  <c r="X1089" i="92"/>
  <c r="T1087" i="92"/>
  <c r="X1087" i="92"/>
  <c r="R1087" i="92"/>
  <c r="V1087" i="92"/>
  <c r="Z1087" i="92"/>
  <c r="AA1085" i="92"/>
  <c r="S1085" i="92"/>
  <c r="AA1083" i="92"/>
  <c r="S1083" i="92"/>
  <c r="AA1090" i="92"/>
  <c r="W1090" i="92"/>
  <c r="AA1086" i="92"/>
  <c r="W1086" i="92"/>
  <c r="AA1082" i="92"/>
  <c r="W1082" i="92"/>
  <c r="AO28" i="92" l="1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27" i="92"/>
  <c r="AN26" i="92"/>
  <c r="N81" i="92" l="1"/>
  <c r="O81" i="92" s="1"/>
  <c r="N82" i="92"/>
  <c r="O82" i="92" s="1"/>
  <c r="N83" i="92"/>
  <c r="O83" i="92" s="1"/>
  <c r="N84" i="92"/>
  <c r="O84" i="92" s="1"/>
  <c r="N85" i="92"/>
  <c r="O85" i="92" s="1"/>
  <c r="N86" i="92"/>
  <c r="O86" i="92" s="1"/>
  <c r="N87" i="92"/>
  <c r="O87" i="92" s="1"/>
  <c r="N88" i="92"/>
  <c r="O88" i="92" s="1"/>
  <c r="N89" i="92"/>
  <c r="O89" i="92" s="1"/>
  <c r="N90" i="92"/>
  <c r="O90" i="92" s="1"/>
  <c r="N91" i="92"/>
  <c r="O91" i="92" s="1"/>
  <c r="N92" i="92"/>
  <c r="O92" i="92" s="1"/>
  <c r="N93" i="92"/>
  <c r="O93" i="92" s="1"/>
  <c r="N94" i="92"/>
  <c r="O94" i="92" s="1"/>
  <c r="N95" i="92"/>
  <c r="O95" i="92" s="1"/>
  <c r="N96" i="92"/>
  <c r="O96" i="92" s="1"/>
  <c r="N97" i="92"/>
  <c r="O97" i="92" s="1"/>
  <c r="N98" i="92"/>
  <c r="O98" i="92" s="1"/>
  <c r="N99" i="92"/>
  <c r="O99" i="92" s="1"/>
  <c r="N100" i="92"/>
  <c r="O100" i="92" s="1"/>
  <c r="N101" i="92"/>
  <c r="O101" i="92" s="1"/>
  <c r="N102" i="92"/>
  <c r="O102" i="92" s="1"/>
  <c r="N103" i="92"/>
  <c r="O103" i="92" s="1"/>
  <c r="N104" i="92"/>
  <c r="O104" i="92" s="1"/>
  <c r="N105" i="92"/>
  <c r="O105" i="92" s="1"/>
  <c r="N106" i="92"/>
  <c r="O106" i="92" s="1"/>
  <c r="N107" i="92"/>
  <c r="O107" i="92" s="1"/>
  <c r="N108" i="92"/>
  <c r="O108" i="92" s="1"/>
  <c r="N109" i="92"/>
  <c r="O109" i="92" s="1"/>
  <c r="N110" i="92"/>
  <c r="O110" i="92" s="1"/>
  <c r="N111" i="92"/>
  <c r="O111" i="92" s="1"/>
  <c r="N112" i="92"/>
  <c r="O112" i="92" s="1"/>
  <c r="N113" i="92"/>
  <c r="O113" i="92" s="1"/>
  <c r="N114" i="92"/>
  <c r="O114" i="92" s="1"/>
  <c r="N115" i="92"/>
  <c r="O115" i="92" s="1"/>
  <c r="N116" i="92"/>
  <c r="O116" i="92" s="1"/>
  <c r="N117" i="92"/>
  <c r="O117" i="92" s="1"/>
  <c r="N118" i="92"/>
  <c r="O118" i="92" s="1"/>
  <c r="N119" i="92"/>
  <c r="O119" i="92" s="1"/>
  <c r="N120" i="92"/>
  <c r="O120" i="92" s="1"/>
  <c r="N121" i="92"/>
  <c r="O121" i="92" s="1"/>
  <c r="N122" i="92"/>
  <c r="O122" i="92" s="1"/>
  <c r="N123" i="92"/>
  <c r="O123" i="92" s="1"/>
  <c r="N124" i="92"/>
  <c r="O124" i="92" s="1"/>
  <c r="N125" i="92"/>
  <c r="O125" i="92" s="1"/>
  <c r="N126" i="92"/>
  <c r="O126" i="92" s="1"/>
  <c r="N127" i="92"/>
  <c r="O127" i="92" s="1"/>
  <c r="N128" i="92"/>
  <c r="O128" i="92" s="1"/>
  <c r="N129" i="92"/>
  <c r="O129" i="92" s="1"/>
  <c r="N130" i="92"/>
  <c r="O130" i="92" s="1"/>
  <c r="N131" i="92"/>
  <c r="O131" i="92" s="1"/>
  <c r="N132" i="92"/>
  <c r="O132" i="92" s="1"/>
  <c r="N133" i="92"/>
  <c r="O133" i="92" s="1"/>
  <c r="N134" i="92"/>
  <c r="O134" i="92" s="1"/>
  <c r="N135" i="92"/>
  <c r="O135" i="92" s="1"/>
  <c r="N136" i="92"/>
  <c r="O136" i="92" s="1"/>
  <c r="N137" i="92"/>
  <c r="O137" i="92" s="1"/>
  <c r="N138" i="92"/>
  <c r="O138" i="92" s="1"/>
  <c r="N139" i="92"/>
  <c r="O139" i="92" s="1"/>
  <c r="N140" i="92"/>
  <c r="O140" i="92" s="1"/>
  <c r="N141" i="92"/>
  <c r="O141" i="92" s="1"/>
  <c r="N142" i="92"/>
  <c r="O142" i="92" s="1"/>
  <c r="N143" i="92"/>
  <c r="O143" i="92" s="1"/>
  <c r="N144" i="92"/>
  <c r="O144" i="92" s="1"/>
  <c r="N145" i="92"/>
  <c r="O145" i="92" s="1"/>
  <c r="N146" i="92"/>
  <c r="O146" i="92" s="1"/>
  <c r="N147" i="92"/>
  <c r="O147" i="92" s="1"/>
  <c r="N148" i="92"/>
  <c r="O148" i="92" s="1"/>
  <c r="N149" i="92"/>
  <c r="O149" i="92" s="1"/>
  <c r="N150" i="92"/>
  <c r="O150" i="92" s="1"/>
  <c r="N151" i="92"/>
  <c r="O151" i="92" s="1"/>
  <c r="N152" i="92"/>
  <c r="O152" i="92" s="1"/>
  <c r="N153" i="92"/>
  <c r="O153" i="92" s="1"/>
  <c r="N154" i="92"/>
  <c r="O154" i="92" s="1"/>
  <c r="N155" i="92"/>
  <c r="O155" i="92" s="1"/>
  <c r="N156" i="92"/>
  <c r="O156" i="92" s="1"/>
  <c r="N157" i="92"/>
  <c r="O157" i="92" s="1"/>
  <c r="N158" i="92"/>
  <c r="O158" i="92" s="1"/>
  <c r="N159" i="92"/>
  <c r="O159" i="92" s="1"/>
  <c r="N160" i="92"/>
  <c r="O160" i="92" s="1"/>
  <c r="N161" i="92"/>
  <c r="O161" i="92" s="1"/>
  <c r="N162" i="92"/>
  <c r="O162" i="92" s="1"/>
  <c r="N163" i="92"/>
  <c r="O163" i="92" s="1"/>
  <c r="N164" i="92"/>
  <c r="O164" i="92" s="1"/>
  <c r="N165" i="92"/>
  <c r="O165" i="92" s="1"/>
  <c r="N166" i="92"/>
  <c r="O166" i="92" s="1"/>
  <c r="N167" i="92"/>
  <c r="O167" i="92" s="1"/>
  <c r="N168" i="92"/>
  <c r="O168" i="92" s="1"/>
  <c r="N169" i="92"/>
  <c r="O169" i="92" s="1"/>
  <c r="N170" i="92"/>
  <c r="O170" i="92" s="1"/>
  <c r="N171" i="92"/>
  <c r="O171" i="92" s="1"/>
  <c r="N172" i="92"/>
  <c r="O172" i="92" s="1"/>
  <c r="N173" i="92"/>
  <c r="O173" i="92" s="1"/>
  <c r="N174" i="92"/>
  <c r="O174" i="92" s="1"/>
  <c r="N175" i="92"/>
  <c r="O175" i="92" s="1"/>
  <c r="N176" i="92"/>
  <c r="O176" i="92" s="1"/>
  <c r="N177" i="92"/>
  <c r="O177" i="92" s="1"/>
  <c r="N178" i="92"/>
  <c r="O178" i="92" s="1"/>
  <c r="N179" i="92"/>
  <c r="O179" i="92" s="1"/>
  <c r="N180" i="92"/>
  <c r="O180" i="92" s="1"/>
  <c r="N181" i="92"/>
  <c r="O181" i="92" s="1"/>
  <c r="N182" i="92"/>
  <c r="O182" i="92" s="1"/>
  <c r="N183" i="92"/>
  <c r="O183" i="92" s="1"/>
  <c r="N184" i="92"/>
  <c r="O184" i="92" s="1"/>
  <c r="N185" i="92"/>
  <c r="O185" i="92" s="1"/>
  <c r="N186" i="92"/>
  <c r="O186" i="92" s="1"/>
  <c r="N187" i="92"/>
  <c r="O187" i="92" s="1"/>
  <c r="N188" i="92"/>
  <c r="O188" i="92" s="1"/>
  <c r="N189" i="92"/>
  <c r="O189" i="92" s="1"/>
  <c r="N190" i="92"/>
  <c r="O190" i="92" s="1"/>
  <c r="N191" i="92"/>
  <c r="O191" i="92" s="1"/>
  <c r="N192" i="92"/>
  <c r="O192" i="92" s="1"/>
  <c r="N193" i="92"/>
  <c r="O193" i="92" s="1"/>
  <c r="N194" i="92"/>
  <c r="O194" i="92" s="1"/>
  <c r="N195" i="92"/>
  <c r="O195" i="92" s="1"/>
  <c r="N196" i="92"/>
  <c r="O196" i="92" s="1"/>
  <c r="N197" i="92"/>
  <c r="O197" i="92" s="1"/>
  <c r="N198" i="92"/>
  <c r="O198" i="92" s="1"/>
  <c r="N199" i="92"/>
  <c r="O199" i="92" s="1"/>
  <c r="N200" i="92"/>
  <c r="O200" i="92" s="1"/>
  <c r="N201" i="92"/>
  <c r="O201" i="92" s="1"/>
  <c r="N202" i="92"/>
  <c r="O202" i="92" s="1"/>
  <c r="N203" i="92"/>
  <c r="O203" i="92" s="1"/>
  <c r="N204" i="92"/>
  <c r="O204" i="92" s="1"/>
  <c r="N205" i="92"/>
  <c r="O205" i="92" s="1"/>
  <c r="N206" i="92"/>
  <c r="O206" i="92" s="1"/>
  <c r="N207" i="92"/>
  <c r="O207" i="92" s="1"/>
  <c r="N208" i="92"/>
  <c r="O208" i="92" s="1"/>
  <c r="N209" i="92"/>
  <c r="O209" i="92" s="1"/>
  <c r="N210" i="92"/>
  <c r="O210" i="92" s="1"/>
  <c r="N211" i="92"/>
  <c r="O211" i="92" s="1"/>
  <c r="N212" i="92"/>
  <c r="O212" i="92" s="1"/>
  <c r="N213" i="92"/>
  <c r="O213" i="92" s="1"/>
  <c r="N214" i="92"/>
  <c r="O214" i="92" s="1"/>
  <c r="N215" i="92"/>
  <c r="O215" i="92" s="1"/>
  <c r="N216" i="92"/>
  <c r="O216" i="92" s="1"/>
  <c r="N217" i="92"/>
  <c r="O217" i="92" s="1"/>
  <c r="N218" i="92"/>
  <c r="O218" i="92" s="1"/>
  <c r="N219" i="92"/>
  <c r="O219" i="92" s="1"/>
  <c r="N220" i="92"/>
  <c r="O220" i="92" s="1"/>
  <c r="N221" i="92"/>
  <c r="O221" i="92" s="1"/>
  <c r="N222" i="92"/>
  <c r="O222" i="92" s="1"/>
  <c r="N223" i="92"/>
  <c r="O223" i="92" s="1"/>
  <c r="N224" i="92"/>
  <c r="O224" i="92" s="1"/>
  <c r="N225" i="92"/>
  <c r="O225" i="92" s="1"/>
  <c r="N226" i="92"/>
  <c r="O226" i="92" s="1"/>
  <c r="N227" i="92"/>
  <c r="O227" i="92" s="1"/>
  <c r="N228" i="92"/>
  <c r="O228" i="92" s="1"/>
  <c r="N229" i="92"/>
  <c r="O229" i="92" s="1"/>
  <c r="N230" i="92"/>
  <c r="O230" i="92" s="1"/>
  <c r="N231" i="92"/>
  <c r="O231" i="92" s="1"/>
  <c r="N232" i="92"/>
  <c r="O232" i="92" s="1"/>
  <c r="N233" i="92"/>
  <c r="O233" i="92" s="1"/>
  <c r="N234" i="92"/>
  <c r="O234" i="92" s="1"/>
  <c r="N235" i="92"/>
  <c r="O235" i="92" s="1"/>
  <c r="N236" i="92"/>
  <c r="O236" i="92" s="1"/>
  <c r="N237" i="92"/>
  <c r="O237" i="92" s="1"/>
  <c r="N238" i="92"/>
  <c r="O238" i="92" s="1"/>
  <c r="N239" i="92"/>
  <c r="O239" i="92" s="1"/>
  <c r="N240" i="92"/>
  <c r="O240" i="92" s="1"/>
  <c r="N241" i="92"/>
  <c r="O241" i="92" s="1"/>
  <c r="N242" i="92"/>
  <c r="O242" i="92" s="1"/>
  <c r="N243" i="92"/>
  <c r="O243" i="92" s="1"/>
  <c r="N244" i="92"/>
  <c r="O244" i="92" s="1"/>
  <c r="N245" i="92"/>
  <c r="O245" i="92" s="1"/>
  <c r="N246" i="92"/>
  <c r="O246" i="92" s="1"/>
  <c r="N247" i="92"/>
  <c r="O247" i="92" s="1"/>
  <c r="N248" i="92"/>
  <c r="O248" i="92" s="1"/>
  <c r="N249" i="92"/>
  <c r="O249" i="92" s="1"/>
  <c r="N250" i="92"/>
  <c r="O250" i="92" s="1"/>
  <c r="N251" i="92"/>
  <c r="O251" i="92" s="1"/>
  <c r="N252" i="92"/>
  <c r="O252" i="92" s="1"/>
  <c r="N253" i="92"/>
  <c r="O253" i="92" s="1"/>
  <c r="N254" i="92"/>
  <c r="O254" i="92" s="1"/>
  <c r="N255" i="92"/>
  <c r="O255" i="92" s="1"/>
  <c r="N256" i="92"/>
  <c r="O256" i="92" s="1"/>
  <c r="N257" i="92"/>
  <c r="O257" i="92" s="1"/>
  <c r="N258" i="92"/>
  <c r="O258" i="92" s="1"/>
  <c r="N259" i="92"/>
  <c r="O259" i="92" s="1"/>
  <c r="N260" i="92"/>
  <c r="O260" i="92" s="1"/>
  <c r="N261" i="92"/>
  <c r="O261" i="92" s="1"/>
  <c r="N262" i="92"/>
  <c r="O262" i="92" s="1"/>
  <c r="N263" i="92"/>
  <c r="O263" i="92" s="1"/>
  <c r="N264" i="92"/>
  <c r="O264" i="92" s="1"/>
  <c r="N265" i="92"/>
  <c r="O265" i="92" s="1"/>
  <c r="N266" i="92"/>
  <c r="O266" i="92" s="1"/>
  <c r="N267" i="92"/>
  <c r="O267" i="92" s="1"/>
  <c r="N268" i="92"/>
  <c r="O268" i="92" s="1"/>
  <c r="N269" i="92"/>
  <c r="O269" i="92" s="1"/>
  <c r="N270" i="92"/>
  <c r="O270" i="92" s="1"/>
  <c r="N271" i="92"/>
  <c r="O271" i="92" s="1"/>
  <c r="N272" i="92"/>
  <c r="O272" i="92" s="1"/>
  <c r="N273" i="92"/>
  <c r="O273" i="92" s="1"/>
  <c r="N274" i="92"/>
  <c r="O274" i="92" s="1"/>
  <c r="N275" i="92"/>
  <c r="O275" i="92" s="1"/>
  <c r="N276" i="92"/>
  <c r="O276" i="92" s="1"/>
  <c r="N277" i="92"/>
  <c r="O277" i="92" s="1"/>
  <c r="N278" i="92"/>
  <c r="O278" i="92" s="1"/>
  <c r="N279" i="92"/>
  <c r="O279" i="92" s="1"/>
  <c r="N280" i="92"/>
  <c r="O280" i="92" s="1"/>
  <c r="N281" i="92"/>
  <c r="O281" i="92" s="1"/>
  <c r="N282" i="92"/>
  <c r="O282" i="92" s="1"/>
  <c r="N283" i="92"/>
  <c r="O283" i="92" s="1"/>
  <c r="N284" i="92"/>
  <c r="O284" i="92" s="1"/>
  <c r="N285" i="92"/>
  <c r="O285" i="92" s="1"/>
  <c r="N286" i="92"/>
  <c r="O286" i="92" s="1"/>
  <c r="N287" i="92"/>
  <c r="O287" i="92" s="1"/>
  <c r="N288" i="92"/>
  <c r="O288" i="92" s="1"/>
  <c r="N289" i="92"/>
  <c r="O289" i="92" s="1"/>
  <c r="N290" i="92"/>
  <c r="O290" i="92" s="1"/>
  <c r="N291" i="92"/>
  <c r="O291" i="92" s="1"/>
  <c r="N292" i="92"/>
  <c r="O292" i="92" s="1"/>
  <c r="N293" i="92"/>
  <c r="O293" i="92" s="1"/>
  <c r="N294" i="92"/>
  <c r="O294" i="92" s="1"/>
  <c r="N295" i="92"/>
  <c r="O295" i="92" s="1"/>
  <c r="N296" i="92"/>
  <c r="O296" i="92" s="1"/>
  <c r="N297" i="92"/>
  <c r="O297" i="92" s="1"/>
  <c r="N298" i="92"/>
  <c r="O298" i="92" s="1"/>
  <c r="N299" i="92"/>
  <c r="O299" i="92" s="1"/>
  <c r="N300" i="92"/>
  <c r="O300" i="92" s="1"/>
  <c r="N301" i="92"/>
  <c r="O301" i="92" s="1"/>
  <c r="N302" i="92"/>
  <c r="O302" i="92" s="1"/>
  <c r="N303" i="92"/>
  <c r="O303" i="92" s="1"/>
  <c r="N304" i="92"/>
  <c r="O304" i="92" s="1"/>
  <c r="N305" i="92"/>
  <c r="O305" i="92" s="1"/>
  <c r="N306" i="92"/>
  <c r="O306" i="92" s="1"/>
  <c r="N307" i="92"/>
  <c r="O307" i="92" s="1"/>
  <c r="N308" i="92"/>
  <c r="O308" i="92" s="1"/>
  <c r="N309" i="92"/>
  <c r="O309" i="92" s="1"/>
  <c r="N310" i="92"/>
  <c r="O310" i="92" s="1"/>
  <c r="N311" i="92"/>
  <c r="O311" i="92" s="1"/>
  <c r="N312" i="92"/>
  <c r="O312" i="92" s="1"/>
  <c r="N313" i="92"/>
  <c r="O313" i="92" s="1"/>
  <c r="N314" i="92"/>
  <c r="O314" i="92" s="1"/>
  <c r="N315" i="92"/>
  <c r="O315" i="92" s="1"/>
  <c r="N316" i="92"/>
  <c r="O316" i="92" s="1"/>
  <c r="N317" i="92"/>
  <c r="O317" i="92" s="1"/>
  <c r="N318" i="92"/>
  <c r="O318" i="92" s="1"/>
  <c r="N319" i="92"/>
  <c r="O319" i="92" s="1"/>
  <c r="N320" i="92"/>
  <c r="O320" i="92" s="1"/>
  <c r="N321" i="92"/>
  <c r="O321" i="92" s="1"/>
  <c r="N322" i="92"/>
  <c r="O322" i="92" s="1"/>
  <c r="N323" i="92"/>
  <c r="O323" i="92" s="1"/>
  <c r="N324" i="92"/>
  <c r="O324" i="92" s="1"/>
  <c r="N325" i="92"/>
  <c r="O325" i="92" s="1"/>
  <c r="N326" i="92"/>
  <c r="O326" i="92" s="1"/>
  <c r="N327" i="92"/>
  <c r="O327" i="92" s="1"/>
  <c r="N328" i="92"/>
  <c r="O328" i="92" s="1"/>
  <c r="N329" i="92"/>
  <c r="O329" i="92" s="1"/>
  <c r="N330" i="92"/>
  <c r="O330" i="92" s="1"/>
  <c r="N331" i="92"/>
  <c r="O331" i="92" s="1"/>
  <c r="N332" i="92"/>
  <c r="O332" i="92" s="1"/>
  <c r="N333" i="92"/>
  <c r="O333" i="92" s="1"/>
  <c r="N334" i="92"/>
  <c r="O334" i="92" s="1"/>
  <c r="N335" i="92"/>
  <c r="O335" i="92" s="1"/>
  <c r="N336" i="92"/>
  <c r="O336" i="92" s="1"/>
  <c r="N337" i="92"/>
  <c r="O337" i="92" s="1"/>
  <c r="N338" i="92"/>
  <c r="O338" i="92" s="1"/>
  <c r="N339" i="92"/>
  <c r="O339" i="92" s="1"/>
  <c r="N340" i="92"/>
  <c r="O340" i="92" s="1"/>
  <c r="N341" i="92"/>
  <c r="O341" i="92" s="1"/>
  <c r="N342" i="92"/>
  <c r="O342" i="92" s="1"/>
  <c r="N343" i="92"/>
  <c r="O343" i="92" s="1"/>
  <c r="N344" i="92"/>
  <c r="O344" i="92" s="1"/>
  <c r="N345" i="92"/>
  <c r="O345" i="92" s="1"/>
  <c r="N346" i="92"/>
  <c r="O346" i="92" s="1"/>
  <c r="N347" i="92"/>
  <c r="O347" i="92" s="1"/>
  <c r="N348" i="92"/>
  <c r="O348" i="92" s="1"/>
  <c r="N349" i="92"/>
  <c r="O349" i="92" s="1"/>
  <c r="N350" i="92"/>
  <c r="O350" i="92" s="1"/>
  <c r="N351" i="92"/>
  <c r="O351" i="92" s="1"/>
  <c r="N352" i="92"/>
  <c r="O352" i="92" s="1"/>
  <c r="N353" i="92"/>
  <c r="O353" i="92" s="1"/>
  <c r="N354" i="92"/>
  <c r="O354" i="92" s="1"/>
  <c r="N355" i="92"/>
  <c r="O355" i="92" s="1"/>
  <c r="N356" i="92"/>
  <c r="O356" i="92" s="1"/>
  <c r="N357" i="92"/>
  <c r="O357" i="92" s="1"/>
  <c r="N358" i="92"/>
  <c r="O358" i="92" s="1"/>
  <c r="N359" i="92"/>
  <c r="O359" i="92" s="1"/>
  <c r="N360" i="92"/>
  <c r="O360" i="92" s="1"/>
  <c r="N361" i="92"/>
  <c r="O361" i="92" s="1"/>
  <c r="N362" i="92"/>
  <c r="O362" i="92" s="1"/>
  <c r="N363" i="92"/>
  <c r="O363" i="92" s="1"/>
  <c r="N364" i="92"/>
  <c r="O364" i="92" s="1"/>
  <c r="N365" i="92"/>
  <c r="O365" i="92" s="1"/>
  <c r="N366" i="92"/>
  <c r="O366" i="92" s="1"/>
  <c r="N367" i="92"/>
  <c r="O367" i="92" s="1"/>
  <c r="N368" i="92"/>
  <c r="O368" i="92" s="1"/>
  <c r="N369" i="92"/>
  <c r="O369" i="92" s="1"/>
  <c r="N370" i="92"/>
  <c r="O370" i="92" s="1"/>
  <c r="N371" i="92"/>
  <c r="O371" i="92" s="1"/>
  <c r="N372" i="92"/>
  <c r="O372" i="92" s="1"/>
  <c r="N373" i="92"/>
  <c r="O373" i="92" s="1"/>
  <c r="N374" i="92"/>
  <c r="O374" i="92" s="1"/>
  <c r="N375" i="92"/>
  <c r="O375" i="92" s="1"/>
  <c r="N376" i="92"/>
  <c r="O376" i="92" s="1"/>
  <c r="N377" i="92"/>
  <c r="O377" i="92" s="1"/>
  <c r="N378" i="92"/>
  <c r="O378" i="92" s="1"/>
  <c r="N379" i="92"/>
  <c r="O379" i="92" s="1"/>
  <c r="N380" i="92"/>
  <c r="O380" i="92" s="1"/>
  <c r="N381" i="92"/>
  <c r="O381" i="92" s="1"/>
  <c r="N382" i="92"/>
  <c r="O382" i="92" s="1"/>
  <c r="N383" i="92"/>
  <c r="O383" i="92" s="1"/>
  <c r="N384" i="92"/>
  <c r="O384" i="92" s="1"/>
  <c r="N385" i="92"/>
  <c r="O385" i="92" s="1"/>
  <c r="N386" i="92"/>
  <c r="O386" i="92" s="1"/>
  <c r="N387" i="92"/>
  <c r="O387" i="92" s="1"/>
  <c r="N388" i="92"/>
  <c r="O388" i="92" s="1"/>
  <c r="N389" i="92"/>
  <c r="O389" i="92" s="1"/>
  <c r="N390" i="92"/>
  <c r="O390" i="92" s="1"/>
  <c r="N391" i="92"/>
  <c r="O391" i="92" s="1"/>
  <c r="N392" i="92"/>
  <c r="O392" i="92" s="1"/>
  <c r="N393" i="92"/>
  <c r="O393" i="92" s="1"/>
  <c r="N394" i="92"/>
  <c r="O394" i="92" s="1"/>
  <c r="N395" i="92"/>
  <c r="O395" i="92" s="1"/>
  <c r="N396" i="92"/>
  <c r="O396" i="92" s="1"/>
  <c r="N397" i="92"/>
  <c r="O397" i="92" s="1"/>
  <c r="N398" i="92"/>
  <c r="O398" i="92" s="1"/>
  <c r="N399" i="92"/>
  <c r="O399" i="92" s="1"/>
  <c r="N400" i="92"/>
  <c r="O400" i="92" s="1"/>
  <c r="N401" i="92"/>
  <c r="O401" i="92" s="1"/>
  <c r="N402" i="92"/>
  <c r="O402" i="92" s="1"/>
  <c r="N403" i="92"/>
  <c r="O403" i="92" s="1"/>
  <c r="N404" i="92"/>
  <c r="O404" i="92" s="1"/>
  <c r="N405" i="92"/>
  <c r="O405" i="92" s="1"/>
  <c r="N406" i="92"/>
  <c r="O406" i="92" s="1"/>
  <c r="N407" i="92"/>
  <c r="O407" i="92" s="1"/>
  <c r="N408" i="92"/>
  <c r="O408" i="92" s="1"/>
  <c r="N409" i="92"/>
  <c r="O409" i="92" s="1"/>
  <c r="N410" i="92"/>
  <c r="O410" i="92" s="1"/>
  <c r="N411" i="92"/>
  <c r="O411" i="92" s="1"/>
  <c r="N412" i="92"/>
  <c r="O412" i="92" s="1"/>
  <c r="N413" i="92"/>
  <c r="O413" i="92" s="1"/>
  <c r="N414" i="92"/>
  <c r="O414" i="92" s="1"/>
  <c r="N415" i="92"/>
  <c r="O415" i="92" s="1"/>
  <c r="N416" i="92"/>
  <c r="O416" i="92" s="1"/>
  <c r="N417" i="92"/>
  <c r="O417" i="92" s="1"/>
  <c r="N418" i="92"/>
  <c r="O418" i="92" s="1"/>
  <c r="N419" i="92"/>
  <c r="O419" i="92" s="1"/>
  <c r="N420" i="92"/>
  <c r="O420" i="92" s="1"/>
  <c r="N421" i="92"/>
  <c r="O421" i="92" s="1"/>
  <c r="N422" i="92"/>
  <c r="O422" i="92" s="1"/>
  <c r="N423" i="92"/>
  <c r="O423" i="92" s="1"/>
  <c r="N424" i="92"/>
  <c r="O424" i="92" s="1"/>
  <c r="N425" i="92"/>
  <c r="O425" i="92" s="1"/>
  <c r="N426" i="92"/>
  <c r="O426" i="92" s="1"/>
  <c r="N427" i="92"/>
  <c r="O427" i="92" s="1"/>
  <c r="N428" i="92"/>
  <c r="O428" i="92" s="1"/>
  <c r="N429" i="92"/>
  <c r="O429" i="92" s="1"/>
  <c r="N430" i="92"/>
  <c r="O430" i="92" s="1"/>
  <c r="N431" i="92"/>
  <c r="O431" i="92" s="1"/>
  <c r="N432" i="92"/>
  <c r="O432" i="92" s="1"/>
  <c r="N433" i="92"/>
  <c r="O433" i="92" s="1"/>
  <c r="N434" i="92"/>
  <c r="O434" i="92" s="1"/>
  <c r="N435" i="92"/>
  <c r="O435" i="92" s="1"/>
  <c r="N436" i="92"/>
  <c r="O436" i="92" s="1"/>
  <c r="N437" i="92"/>
  <c r="O437" i="92" s="1"/>
  <c r="N438" i="92"/>
  <c r="O438" i="92" s="1"/>
  <c r="N439" i="92"/>
  <c r="O439" i="92" s="1"/>
  <c r="N440" i="92"/>
  <c r="O440" i="92" s="1"/>
  <c r="N441" i="92"/>
  <c r="O441" i="92" s="1"/>
  <c r="N442" i="92"/>
  <c r="O442" i="92" s="1"/>
  <c r="N443" i="92"/>
  <c r="O443" i="92" s="1"/>
  <c r="N444" i="92"/>
  <c r="O444" i="92" s="1"/>
  <c r="N445" i="92"/>
  <c r="O445" i="92" s="1"/>
  <c r="N446" i="92"/>
  <c r="O446" i="92" s="1"/>
  <c r="N447" i="92"/>
  <c r="O447" i="92" s="1"/>
  <c r="N448" i="92"/>
  <c r="O448" i="92" s="1"/>
  <c r="N449" i="92"/>
  <c r="O449" i="92" s="1"/>
  <c r="N450" i="92"/>
  <c r="O450" i="92" s="1"/>
  <c r="N451" i="92"/>
  <c r="O451" i="92" s="1"/>
  <c r="N452" i="92"/>
  <c r="O452" i="92" s="1"/>
  <c r="N453" i="92"/>
  <c r="O453" i="92" s="1"/>
  <c r="N454" i="92"/>
  <c r="O454" i="92" s="1"/>
  <c r="N455" i="92"/>
  <c r="O455" i="92" s="1"/>
  <c r="N456" i="92"/>
  <c r="O456" i="92" s="1"/>
  <c r="N457" i="92"/>
  <c r="O457" i="92" s="1"/>
  <c r="N458" i="92"/>
  <c r="O458" i="92" s="1"/>
  <c r="N459" i="92"/>
  <c r="O459" i="92" s="1"/>
  <c r="N460" i="92"/>
  <c r="O460" i="92" s="1"/>
  <c r="N461" i="92"/>
  <c r="O461" i="92" s="1"/>
  <c r="N462" i="92"/>
  <c r="O462" i="92" s="1"/>
  <c r="N463" i="92"/>
  <c r="O463" i="92" s="1"/>
  <c r="N464" i="92"/>
  <c r="O464" i="92" s="1"/>
  <c r="N465" i="92"/>
  <c r="O465" i="92" s="1"/>
  <c r="N466" i="92"/>
  <c r="O466" i="92" s="1"/>
  <c r="N467" i="92"/>
  <c r="O467" i="92" s="1"/>
  <c r="N468" i="92"/>
  <c r="O468" i="92" s="1"/>
  <c r="N469" i="92"/>
  <c r="O469" i="92" s="1"/>
  <c r="N470" i="92"/>
  <c r="O470" i="92" s="1"/>
  <c r="N471" i="92"/>
  <c r="O471" i="92" s="1"/>
  <c r="N472" i="92"/>
  <c r="O472" i="92" s="1"/>
  <c r="N473" i="92"/>
  <c r="O473" i="92" s="1"/>
  <c r="N474" i="92"/>
  <c r="O474" i="92" s="1"/>
  <c r="N475" i="92"/>
  <c r="O475" i="92" s="1"/>
  <c r="N476" i="92"/>
  <c r="O476" i="92" s="1"/>
  <c r="N477" i="92"/>
  <c r="O477" i="92" s="1"/>
  <c r="N478" i="92"/>
  <c r="O478" i="92" s="1"/>
  <c r="N479" i="92"/>
  <c r="O479" i="92" s="1"/>
  <c r="N480" i="92"/>
  <c r="O480" i="92" s="1"/>
  <c r="N481" i="92"/>
  <c r="O481" i="92" s="1"/>
  <c r="N482" i="92"/>
  <c r="O482" i="92" s="1"/>
  <c r="N483" i="92"/>
  <c r="O483" i="92" s="1"/>
  <c r="N484" i="92"/>
  <c r="O484" i="92" s="1"/>
  <c r="N485" i="92"/>
  <c r="O485" i="92" s="1"/>
  <c r="N486" i="92"/>
  <c r="O486" i="92" s="1"/>
  <c r="N487" i="92"/>
  <c r="O487" i="92" s="1"/>
  <c r="N488" i="92"/>
  <c r="O488" i="92" s="1"/>
  <c r="N489" i="92"/>
  <c r="O489" i="92" s="1"/>
  <c r="N490" i="92"/>
  <c r="O490" i="92" s="1"/>
  <c r="N491" i="92"/>
  <c r="O491" i="92" s="1"/>
  <c r="N492" i="92"/>
  <c r="O492" i="92" s="1"/>
  <c r="N493" i="92"/>
  <c r="O493" i="92" s="1"/>
  <c r="N494" i="92"/>
  <c r="O494" i="92" s="1"/>
  <c r="N495" i="92"/>
  <c r="O495" i="92" s="1"/>
  <c r="N496" i="92"/>
  <c r="O496" i="92" s="1"/>
  <c r="N497" i="92"/>
  <c r="O497" i="92" s="1"/>
  <c r="N498" i="92"/>
  <c r="O498" i="92" s="1"/>
  <c r="N499" i="92"/>
  <c r="O499" i="92" s="1"/>
  <c r="N500" i="92"/>
  <c r="O500" i="92" s="1"/>
  <c r="N501" i="92"/>
  <c r="O501" i="92" s="1"/>
  <c r="N502" i="92"/>
  <c r="O502" i="92" s="1"/>
  <c r="N503" i="92"/>
  <c r="O503" i="92" s="1"/>
  <c r="N504" i="92"/>
  <c r="O504" i="92" s="1"/>
  <c r="N505" i="92"/>
  <c r="O505" i="92" s="1"/>
  <c r="N506" i="92"/>
  <c r="O506" i="92" s="1"/>
  <c r="N507" i="92"/>
  <c r="O507" i="92" s="1"/>
  <c r="N508" i="92"/>
  <c r="O508" i="92" s="1"/>
  <c r="N509" i="92"/>
  <c r="O509" i="92" s="1"/>
  <c r="N510" i="92"/>
  <c r="O510" i="92" s="1"/>
  <c r="N511" i="92"/>
  <c r="O511" i="92" s="1"/>
  <c r="N512" i="92"/>
  <c r="O512" i="92" s="1"/>
  <c r="N513" i="92"/>
  <c r="O513" i="92" s="1"/>
  <c r="N514" i="92"/>
  <c r="O514" i="92" s="1"/>
  <c r="N515" i="92"/>
  <c r="O515" i="92" s="1"/>
  <c r="N516" i="92"/>
  <c r="O516" i="92" s="1"/>
  <c r="N517" i="92"/>
  <c r="O517" i="92" s="1"/>
  <c r="N518" i="92"/>
  <c r="O518" i="92" s="1"/>
  <c r="N519" i="92"/>
  <c r="O519" i="92" s="1"/>
  <c r="N520" i="92"/>
  <c r="O520" i="92" s="1"/>
  <c r="N521" i="92"/>
  <c r="O521" i="92" s="1"/>
  <c r="N522" i="92"/>
  <c r="O522" i="92" s="1"/>
  <c r="N523" i="92"/>
  <c r="O523" i="92" s="1"/>
  <c r="N524" i="92"/>
  <c r="O524" i="92" s="1"/>
  <c r="N525" i="92"/>
  <c r="O525" i="92" s="1"/>
  <c r="N526" i="92"/>
  <c r="O526" i="92" s="1"/>
  <c r="N527" i="92"/>
  <c r="O527" i="92" s="1"/>
  <c r="N528" i="92"/>
  <c r="O528" i="92" s="1"/>
  <c r="N529" i="92"/>
  <c r="O529" i="92" s="1"/>
  <c r="N530" i="92"/>
  <c r="O530" i="92" s="1"/>
  <c r="N531" i="92"/>
  <c r="O531" i="92" s="1"/>
  <c r="N532" i="92"/>
  <c r="O532" i="92" s="1"/>
  <c r="N533" i="92"/>
  <c r="O533" i="92" s="1"/>
  <c r="N534" i="92"/>
  <c r="O534" i="92" s="1"/>
  <c r="N535" i="92"/>
  <c r="O535" i="92" s="1"/>
  <c r="N536" i="92"/>
  <c r="O536" i="92" s="1"/>
  <c r="N537" i="92"/>
  <c r="O537" i="92" s="1"/>
  <c r="N538" i="92"/>
  <c r="O538" i="92" s="1"/>
  <c r="N539" i="92"/>
  <c r="O539" i="92" s="1"/>
  <c r="N540" i="92"/>
  <c r="O540" i="92" s="1"/>
  <c r="N541" i="92"/>
  <c r="O541" i="92" s="1"/>
  <c r="N542" i="92"/>
  <c r="O542" i="92" s="1"/>
  <c r="N543" i="92"/>
  <c r="O543" i="92" s="1"/>
  <c r="N544" i="92"/>
  <c r="O544" i="92" s="1"/>
  <c r="N545" i="92"/>
  <c r="O545" i="92" s="1"/>
  <c r="N546" i="92"/>
  <c r="O546" i="92" s="1"/>
  <c r="N547" i="92"/>
  <c r="O547" i="92" s="1"/>
  <c r="N548" i="92"/>
  <c r="O548" i="92" s="1"/>
  <c r="N549" i="92"/>
  <c r="O549" i="92" s="1"/>
  <c r="N550" i="92"/>
  <c r="O550" i="92" s="1"/>
  <c r="N551" i="92"/>
  <c r="O551" i="92" s="1"/>
  <c r="N552" i="92"/>
  <c r="O552" i="92" s="1"/>
  <c r="N553" i="92"/>
  <c r="O553" i="92" s="1"/>
  <c r="N554" i="92"/>
  <c r="O554" i="92" s="1"/>
  <c r="N555" i="92"/>
  <c r="O555" i="92" s="1"/>
  <c r="N556" i="92"/>
  <c r="O556" i="92" s="1"/>
  <c r="N557" i="92"/>
  <c r="O557" i="92" s="1"/>
  <c r="N558" i="92"/>
  <c r="O558" i="92" s="1"/>
  <c r="N559" i="92"/>
  <c r="O559" i="92" s="1"/>
  <c r="N560" i="92"/>
  <c r="O560" i="92" s="1"/>
  <c r="N561" i="92"/>
  <c r="O561" i="92" s="1"/>
  <c r="N562" i="92"/>
  <c r="O562" i="92" s="1"/>
  <c r="N563" i="92"/>
  <c r="O563" i="92" s="1"/>
  <c r="N564" i="92"/>
  <c r="O564" i="92" s="1"/>
  <c r="N565" i="92"/>
  <c r="O565" i="92" s="1"/>
  <c r="N566" i="92"/>
  <c r="O566" i="92" s="1"/>
  <c r="N567" i="92"/>
  <c r="O567" i="92" s="1"/>
  <c r="N568" i="92"/>
  <c r="O568" i="92" s="1"/>
  <c r="N569" i="92"/>
  <c r="O569" i="92" s="1"/>
  <c r="N570" i="92"/>
  <c r="O570" i="92" s="1"/>
  <c r="N571" i="92"/>
  <c r="O571" i="92" s="1"/>
  <c r="N572" i="92"/>
  <c r="O572" i="92" s="1"/>
  <c r="N573" i="92"/>
  <c r="O573" i="92" s="1"/>
  <c r="N574" i="92"/>
  <c r="O574" i="92" s="1"/>
  <c r="N575" i="92"/>
  <c r="O575" i="92" s="1"/>
  <c r="N576" i="92"/>
  <c r="O576" i="92" s="1"/>
  <c r="N577" i="92"/>
  <c r="O577" i="92" s="1"/>
  <c r="N578" i="92"/>
  <c r="O578" i="92" s="1"/>
  <c r="N579" i="92"/>
  <c r="O579" i="92" s="1"/>
  <c r="N580" i="92"/>
  <c r="O580" i="92" s="1"/>
  <c r="N581" i="92"/>
  <c r="O581" i="92" s="1"/>
  <c r="N582" i="92"/>
  <c r="O582" i="92" s="1"/>
  <c r="N583" i="92"/>
  <c r="O583" i="92" s="1"/>
  <c r="N584" i="92"/>
  <c r="O584" i="92" s="1"/>
  <c r="N585" i="92"/>
  <c r="O585" i="92" s="1"/>
  <c r="N586" i="92"/>
  <c r="O586" i="92" s="1"/>
  <c r="N587" i="92"/>
  <c r="O587" i="92" s="1"/>
  <c r="N588" i="92"/>
  <c r="O588" i="92" s="1"/>
  <c r="N589" i="92"/>
  <c r="O589" i="92" s="1"/>
  <c r="N590" i="92"/>
  <c r="O590" i="92" s="1"/>
  <c r="N591" i="92"/>
  <c r="O591" i="92" s="1"/>
  <c r="N592" i="92"/>
  <c r="O592" i="92" s="1"/>
  <c r="N593" i="92"/>
  <c r="O593" i="92" s="1"/>
  <c r="N594" i="92"/>
  <c r="O594" i="92" s="1"/>
  <c r="N595" i="92"/>
  <c r="O595" i="92" s="1"/>
  <c r="N596" i="92"/>
  <c r="O596" i="92" s="1"/>
  <c r="N597" i="92"/>
  <c r="O597" i="92" s="1"/>
  <c r="N598" i="92"/>
  <c r="O598" i="92" s="1"/>
  <c r="N599" i="92"/>
  <c r="O599" i="92" s="1"/>
  <c r="N600" i="92"/>
  <c r="O600" i="92" s="1"/>
  <c r="N601" i="92"/>
  <c r="O601" i="92" s="1"/>
  <c r="N602" i="92"/>
  <c r="O602" i="92" s="1"/>
  <c r="N603" i="92"/>
  <c r="O603" i="92" s="1"/>
  <c r="N604" i="92"/>
  <c r="O604" i="92" s="1"/>
  <c r="N605" i="92"/>
  <c r="O605" i="92" s="1"/>
  <c r="N606" i="92"/>
  <c r="O606" i="92" s="1"/>
  <c r="N607" i="92"/>
  <c r="O607" i="92" s="1"/>
  <c r="N608" i="92"/>
  <c r="O608" i="92" s="1"/>
  <c r="N609" i="92"/>
  <c r="O609" i="92" s="1"/>
  <c r="N610" i="92"/>
  <c r="O610" i="92" s="1"/>
  <c r="N611" i="92"/>
  <c r="O611" i="92" s="1"/>
  <c r="N612" i="92"/>
  <c r="O612" i="92" s="1"/>
  <c r="N613" i="92"/>
  <c r="O613" i="92" s="1"/>
  <c r="N614" i="92"/>
  <c r="O614" i="92" s="1"/>
  <c r="N615" i="92"/>
  <c r="O615" i="92" s="1"/>
  <c r="N616" i="92"/>
  <c r="O616" i="92" s="1"/>
  <c r="N617" i="92"/>
  <c r="O617" i="92" s="1"/>
  <c r="N618" i="92"/>
  <c r="O618" i="92" s="1"/>
  <c r="N619" i="92"/>
  <c r="O619" i="92" s="1"/>
  <c r="N620" i="92"/>
  <c r="O620" i="92" s="1"/>
  <c r="N621" i="92"/>
  <c r="O621" i="92" s="1"/>
  <c r="N622" i="92"/>
  <c r="O622" i="92" s="1"/>
  <c r="N623" i="92"/>
  <c r="O623" i="92" s="1"/>
  <c r="N624" i="92"/>
  <c r="O624" i="92" s="1"/>
  <c r="N625" i="92"/>
  <c r="O625" i="92" s="1"/>
  <c r="N626" i="92"/>
  <c r="O626" i="92" s="1"/>
  <c r="N627" i="92"/>
  <c r="O627" i="92" s="1"/>
  <c r="N628" i="92"/>
  <c r="O628" i="92" s="1"/>
  <c r="N629" i="92"/>
  <c r="O629" i="92" s="1"/>
  <c r="N630" i="92"/>
  <c r="O630" i="92" s="1"/>
  <c r="N631" i="92"/>
  <c r="O631" i="92" s="1"/>
  <c r="N632" i="92"/>
  <c r="O632" i="92" s="1"/>
  <c r="N633" i="92"/>
  <c r="O633" i="92" s="1"/>
  <c r="N634" i="92"/>
  <c r="O634" i="92" s="1"/>
  <c r="N635" i="92"/>
  <c r="O635" i="92" s="1"/>
  <c r="N636" i="92"/>
  <c r="O636" i="92" s="1"/>
  <c r="N637" i="92"/>
  <c r="O637" i="92" s="1"/>
  <c r="N638" i="92"/>
  <c r="O638" i="92" s="1"/>
  <c r="N639" i="92"/>
  <c r="O639" i="92" s="1"/>
  <c r="N640" i="92"/>
  <c r="O640" i="92" s="1"/>
  <c r="N641" i="92"/>
  <c r="O641" i="92" s="1"/>
  <c r="N642" i="92"/>
  <c r="O642" i="92" s="1"/>
  <c r="N643" i="92"/>
  <c r="O643" i="92" s="1"/>
  <c r="N644" i="92"/>
  <c r="O644" i="92" s="1"/>
  <c r="N645" i="92"/>
  <c r="O645" i="92" s="1"/>
  <c r="N646" i="92"/>
  <c r="O646" i="92" s="1"/>
  <c r="N647" i="92"/>
  <c r="O647" i="92" s="1"/>
  <c r="N648" i="92"/>
  <c r="O648" i="92" s="1"/>
  <c r="N649" i="92"/>
  <c r="O649" i="92" s="1"/>
  <c r="N650" i="92"/>
  <c r="O650" i="92" s="1"/>
  <c r="N651" i="92"/>
  <c r="O651" i="92" s="1"/>
  <c r="N652" i="92"/>
  <c r="O652" i="92" s="1"/>
  <c r="N653" i="92"/>
  <c r="O653" i="92" s="1"/>
  <c r="N654" i="92"/>
  <c r="O654" i="92" s="1"/>
  <c r="N655" i="92"/>
  <c r="O655" i="92" s="1"/>
  <c r="N656" i="92"/>
  <c r="O656" i="92" s="1"/>
  <c r="N657" i="92"/>
  <c r="O657" i="92" s="1"/>
  <c r="N658" i="92"/>
  <c r="O658" i="92" s="1"/>
  <c r="N659" i="92"/>
  <c r="O659" i="92" s="1"/>
  <c r="N660" i="92"/>
  <c r="O660" i="92" s="1"/>
  <c r="N661" i="92"/>
  <c r="O661" i="92" s="1"/>
  <c r="N662" i="92"/>
  <c r="O662" i="92" s="1"/>
  <c r="N663" i="92"/>
  <c r="O663" i="92" s="1"/>
  <c r="N664" i="92"/>
  <c r="O664" i="92" s="1"/>
  <c r="N665" i="92"/>
  <c r="O665" i="92" s="1"/>
  <c r="N666" i="92"/>
  <c r="O666" i="92" s="1"/>
  <c r="N667" i="92"/>
  <c r="O667" i="92" s="1"/>
  <c r="N668" i="92"/>
  <c r="O668" i="92" s="1"/>
  <c r="N669" i="92"/>
  <c r="O669" i="92" s="1"/>
  <c r="N670" i="92"/>
  <c r="O670" i="92" s="1"/>
  <c r="N671" i="92"/>
  <c r="O671" i="92" s="1"/>
  <c r="N672" i="92"/>
  <c r="O672" i="92" s="1"/>
  <c r="N673" i="92"/>
  <c r="O673" i="92" s="1"/>
  <c r="N674" i="92"/>
  <c r="O674" i="92" s="1"/>
  <c r="N675" i="92"/>
  <c r="O675" i="92" s="1"/>
  <c r="N676" i="92"/>
  <c r="O676" i="92" s="1"/>
  <c r="N677" i="92"/>
  <c r="O677" i="92" s="1"/>
  <c r="N678" i="92"/>
  <c r="O678" i="92" s="1"/>
  <c r="N679" i="92"/>
  <c r="O679" i="92" s="1"/>
  <c r="N680" i="92"/>
  <c r="O680" i="92" s="1"/>
  <c r="N681" i="92"/>
  <c r="O681" i="92" s="1"/>
  <c r="N682" i="92"/>
  <c r="O682" i="92" s="1"/>
  <c r="N683" i="92"/>
  <c r="O683" i="92" s="1"/>
  <c r="N684" i="92"/>
  <c r="O684" i="92" s="1"/>
  <c r="N685" i="92"/>
  <c r="O685" i="92" s="1"/>
  <c r="N686" i="92"/>
  <c r="O686" i="92" s="1"/>
  <c r="N687" i="92"/>
  <c r="O687" i="92" s="1"/>
  <c r="N688" i="92"/>
  <c r="O688" i="92" s="1"/>
  <c r="N689" i="92"/>
  <c r="O689" i="92" s="1"/>
  <c r="N690" i="92"/>
  <c r="O690" i="92" s="1"/>
  <c r="N691" i="92"/>
  <c r="O691" i="92" s="1"/>
  <c r="N692" i="92"/>
  <c r="O692" i="92" s="1"/>
  <c r="N693" i="92"/>
  <c r="O693" i="92" s="1"/>
  <c r="N694" i="92"/>
  <c r="O694" i="92" s="1"/>
  <c r="N695" i="92"/>
  <c r="O695" i="92" s="1"/>
  <c r="N696" i="92"/>
  <c r="O696" i="92" s="1"/>
  <c r="N697" i="92"/>
  <c r="O697" i="92" s="1"/>
  <c r="N698" i="92"/>
  <c r="O698" i="92" s="1"/>
  <c r="N699" i="92"/>
  <c r="O699" i="92" s="1"/>
  <c r="N700" i="92"/>
  <c r="O700" i="92" s="1"/>
  <c r="N701" i="92"/>
  <c r="O701" i="92" s="1"/>
  <c r="N702" i="92"/>
  <c r="O702" i="92" s="1"/>
  <c r="N703" i="92"/>
  <c r="O703" i="92" s="1"/>
  <c r="N704" i="92"/>
  <c r="O704" i="92" s="1"/>
  <c r="N705" i="92"/>
  <c r="O705" i="92" s="1"/>
  <c r="N706" i="92"/>
  <c r="O706" i="92" s="1"/>
  <c r="N707" i="92"/>
  <c r="O707" i="92" s="1"/>
  <c r="N708" i="92"/>
  <c r="O708" i="92" s="1"/>
  <c r="N709" i="92"/>
  <c r="O709" i="92" s="1"/>
  <c r="N710" i="92"/>
  <c r="O710" i="92" s="1"/>
  <c r="N711" i="92"/>
  <c r="O711" i="92" s="1"/>
  <c r="N712" i="92"/>
  <c r="O712" i="92" s="1"/>
  <c r="N713" i="92"/>
  <c r="O713" i="92" s="1"/>
  <c r="N714" i="92"/>
  <c r="O714" i="92" s="1"/>
  <c r="N715" i="92"/>
  <c r="O715" i="92" s="1"/>
  <c r="N716" i="92"/>
  <c r="O716" i="92" s="1"/>
  <c r="N717" i="92"/>
  <c r="O717" i="92" s="1"/>
  <c r="N718" i="92"/>
  <c r="O718" i="92" s="1"/>
  <c r="N719" i="92"/>
  <c r="O719" i="92" s="1"/>
  <c r="N720" i="92"/>
  <c r="O720" i="92" s="1"/>
  <c r="N721" i="92"/>
  <c r="O721" i="92" s="1"/>
  <c r="N722" i="92"/>
  <c r="O722" i="92" s="1"/>
  <c r="N723" i="92"/>
  <c r="O723" i="92" s="1"/>
  <c r="N724" i="92"/>
  <c r="O724" i="92" s="1"/>
  <c r="N725" i="92"/>
  <c r="O725" i="92" s="1"/>
  <c r="N726" i="92"/>
  <c r="O726" i="92" s="1"/>
  <c r="N727" i="92"/>
  <c r="O727" i="92" s="1"/>
  <c r="N728" i="92"/>
  <c r="O728" i="92" s="1"/>
  <c r="N729" i="92"/>
  <c r="O729" i="92" s="1"/>
  <c r="N730" i="92"/>
  <c r="O730" i="92" s="1"/>
  <c r="N731" i="92"/>
  <c r="O731" i="92" s="1"/>
  <c r="N732" i="92"/>
  <c r="O732" i="92" s="1"/>
  <c r="N733" i="92"/>
  <c r="O733" i="92" s="1"/>
  <c r="N734" i="92"/>
  <c r="O734" i="92" s="1"/>
  <c r="N735" i="92"/>
  <c r="O735" i="92" s="1"/>
  <c r="N736" i="92"/>
  <c r="O736" i="92" s="1"/>
  <c r="N737" i="92"/>
  <c r="O737" i="92" s="1"/>
  <c r="N738" i="92"/>
  <c r="O738" i="92" s="1"/>
  <c r="N739" i="92"/>
  <c r="O739" i="92" s="1"/>
  <c r="N740" i="92"/>
  <c r="O740" i="92" s="1"/>
  <c r="N741" i="92"/>
  <c r="O741" i="92" s="1"/>
  <c r="N742" i="92"/>
  <c r="O742" i="92" s="1"/>
  <c r="N743" i="92"/>
  <c r="O743" i="92" s="1"/>
  <c r="N744" i="92"/>
  <c r="O744" i="92" s="1"/>
  <c r="N745" i="92"/>
  <c r="O745" i="92" s="1"/>
  <c r="N746" i="92"/>
  <c r="O746" i="92" s="1"/>
  <c r="N747" i="92"/>
  <c r="O747" i="92" s="1"/>
  <c r="N748" i="92"/>
  <c r="O748" i="92" s="1"/>
  <c r="N749" i="92"/>
  <c r="O749" i="92" s="1"/>
  <c r="N750" i="92"/>
  <c r="O750" i="92" s="1"/>
  <c r="N751" i="92"/>
  <c r="O751" i="92" s="1"/>
  <c r="N752" i="92"/>
  <c r="O752" i="92" s="1"/>
  <c r="N753" i="92"/>
  <c r="O753" i="92" s="1"/>
  <c r="N754" i="92"/>
  <c r="O754" i="92" s="1"/>
  <c r="N755" i="92"/>
  <c r="O755" i="92" s="1"/>
  <c r="N756" i="92"/>
  <c r="O756" i="92" s="1"/>
  <c r="N757" i="92"/>
  <c r="O757" i="92" s="1"/>
  <c r="N758" i="92"/>
  <c r="O758" i="92" s="1"/>
  <c r="N759" i="92"/>
  <c r="O759" i="92" s="1"/>
  <c r="N760" i="92"/>
  <c r="O760" i="92" s="1"/>
  <c r="N761" i="92"/>
  <c r="O761" i="92" s="1"/>
  <c r="N762" i="92"/>
  <c r="O762" i="92" s="1"/>
  <c r="N763" i="92"/>
  <c r="O763" i="92" s="1"/>
  <c r="N764" i="92"/>
  <c r="O764" i="92" s="1"/>
  <c r="N765" i="92"/>
  <c r="O765" i="92" s="1"/>
  <c r="N766" i="92"/>
  <c r="O766" i="92" s="1"/>
  <c r="N767" i="92"/>
  <c r="O767" i="92" s="1"/>
  <c r="N768" i="92"/>
  <c r="O768" i="92" s="1"/>
  <c r="N769" i="92"/>
  <c r="O769" i="92" s="1"/>
  <c r="N770" i="92"/>
  <c r="O770" i="92" s="1"/>
  <c r="N771" i="92"/>
  <c r="O771" i="92" s="1"/>
  <c r="N772" i="92"/>
  <c r="O772" i="92" s="1"/>
  <c r="N773" i="92"/>
  <c r="O773" i="92" s="1"/>
  <c r="N774" i="92"/>
  <c r="O774" i="92" s="1"/>
  <c r="N775" i="92"/>
  <c r="O775" i="92" s="1"/>
  <c r="N776" i="92"/>
  <c r="O776" i="92" s="1"/>
  <c r="N777" i="92"/>
  <c r="O777" i="92" s="1"/>
  <c r="N778" i="92"/>
  <c r="O778" i="92" s="1"/>
  <c r="N779" i="92"/>
  <c r="O779" i="92" s="1"/>
  <c r="N780" i="92"/>
  <c r="O780" i="92" s="1"/>
  <c r="N781" i="92"/>
  <c r="O781" i="92" s="1"/>
  <c r="N782" i="92"/>
  <c r="O782" i="92" s="1"/>
  <c r="N783" i="92"/>
  <c r="O783" i="92" s="1"/>
  <c r="N784" i="92"/>
  <c r="O784" i="92" s="1"/>
  <c r="N785" i="92"/>
  <c r="O785" i="92" s="1"/>
  <c r="N786" i="92"/>
  <c r="O786" i="92" s="1"/>
  <c r="N787" i="92"/>
  <c r="O787" i="92" s="1"/>
  <c r="N788" i="92"/>
  <c r="O788" i="92" s="1"/>
  <c r="N789" i="92"/>
  <c r="O789" i="92" s="1"/>
  <c r="N790" i="92"/>
  <c r="O790" i="92" s="1"/>
  <c r="N791" i="92"/>
  <c r="O791" i="92" s="1"/>
  <c r="N792" i="92"/>
  <c r="O792" i="92" s="1"/>
  <c r="N793" i="92"/>
  <c r="O793" i="92" s="1"/>
  <c r="N794" i="92"/>
  <c r="O794" i="92" s="1"/>
  <c r="N795" i="92"/>
  <c r="O795" i="92" s="1"/>
  <c r="N796" i="92"/>
  <c r="O796" i="92" s="1"/>
  <c r="N797" i="92"/>
  <c r="O797" i="92" s="1"/>
  <c r="N798" i="92"/>
  <c r="O798" i="92" s="1"/>
  <c r="N799" i="92"/>
  <c r="O799" i="92" s="1"/>
  <c r="N800" i="92"/>
  <c r="O800" i="92" s="1"/>
  <c r="N801" i="92"/>
  <c r="O801" i="92" s="1"/>
  <c r="N802" i="92"/>
  <c r="O802" i="92" s="1"/>
  <c r="N803" i="92"/>
  <c r="O803" i="92" s="1"/>
  <c r="N804" i="92"/>
  <c r="O804" i="92" s="1"/>
  <c r="N805" i="92"/>
  <c r="O805" i="92" s="1"/>
  <c r="N806" i="92"/>
  <c r="O806" i="92" s="1"/>
  <c r="N807" i="92"/>
  <c r="O807" i="92" s="1"/>
  <c r="N808" i="92"/>
  <c r="O808" i="92" s="1"/>
  <c r="N809" i="92"/>
  <c r="O809" i="92" s="1"/>
  <c r="N810" i="92"/>
  <c r="O810" i="92" s="1"/>
  <c r="N811" i="92"/>
  <c r="O811" i="92" s="1"/>
  <c r="N812" i="92"/>
  <c r="O812" i="92" s="1"/>
  <c r="N813" i="92"/>
  <c r="O813" i="92" s="1"/>
  <c r="N814" i="92"/>
  <c r="O814" i="92" s="1"/>
  <c r="N815" i="92"/>
  <c r="O815" i="92" s="1"/>
  <c r="N816" i="92"/>
  <c r="O816" i="92" s="1"/>
  <c r="N817" i="92"/>
  <c r="O817" i="92" s="1"/>
  <c r="N818" i="92"/>
  <c r="O818" i="92" s="1"/>
  <c r="N819" i="92"/>
  <c r="O819" i="92" s="1"/>
  <c r="N820" i="92"/>
  <c r="O820" i="92" s="1"/>
  <c r="N821" i="92"/>
  <c r="O821" i="92" s="1"/>
  <c r="N822" i="92"/>
  <c r="O822" i="92" s="1"/>
  <c r="N823" i="92"/>
  <c r="O823" i="92" s="1"/>
  <c r="N824" i="92"/>
  <c r="O824" i="92" s="1"/>
  <c r="N825" i="92"/>
  <c r="O825" i="92" s="1"/>
  <c r="N826" i="92"/>
  <c r="O826" i="92" s="1"/>
  <c r="N827" i="92"/>
  <c r="O827" i="92" s="1"/>
  <c r="N828" i="92"/>
  <c r="O828" i="92" s="1"/>
  <c r="N829" i="92"/>
  <c r="O829" i="92" s="1"/>
  <c r="N830" i="92"/>
  <c r="O830" i="92" s="1"/>
  <c r="N831" i="92"/>
  <c r="O831" i="92" s="1"/>
  <c r="N832" i="92"/>
  <c r="O832" i="92" s="1"/>
  <c r="N833" i="92"/>
  <c r="O833" i="92" s="1"/>
  <c r="N834" i="92"/>
  <c r="O834" i="92" s="1"/>
  <c r="N835" i="92"/>
  <c r="O835" i="92" s="1"/>
  <c r="N836" i="92"/>
  <c r="O836" i="92" s="1"/>
  <c r="N837" i="92"/>
  <c r="O837" i="92" s="1"/>
  <c r="N838" i="92"/>
  <c r="O838" i="92" s="1"/>
  <c r="N839" i="92"/>
  <c r="O839" i="92" s="1"/>
  <c r="N840" i="92"/>
  <c r="O840" i="92" s="1"/>
  <c r="N841" i="92"/>
  <c r="O841" i="92" s="1"/>
  <c r="N842" i="92"/>
  <c r="O842" i="92" s="1"/>
  <c r="N843" i="92"/>
  <c r="O843" i="92" s="1"/>
  <c r="N844" i="92"/>
  <c r="O844" i="92" s="1"/>
  <c r="N845" i="92"/>
  <c r="O845" i="92" s="1"/>
  <c r="N846" i="92"/>
  <c r="O846" i="92" s="1"/>
  <c r="N847" i="92"/>
  <c r="O847" i="92" s="1"/>
  <c r="N848" i="92"/>
  <c r="O848" i="92" s="1"/>
  <c r="N849" i="92"/>
  <c r="O849" i="92" s="1"/>
  <c r="N850" i="92"/>
  <c r="O850" i="92" s="1"/>
  <c r="N851" i="92"/>
  <c r="O851" i="92" s="1"/>
  <c r="N852" i="92"/>
  <c r="O852" i="92" s="1"/>
  <c r="N853" i="92"/>
  <c r="O853" i="92" s="1"/>
  <c r="N854" i="92"/>
  <c r="O854" i="92" s="1"/>
  <c r="N855" i="92"/>
  <c r="O855" i="92" s="1"/>
  <c r="N856" i="92"/>
  <c r="O856" i="92" s="1"/>
  <c r="N857" i="92"/>
  <c r="O857" i="92" s="1"/>
  <c r="N858" i="92"/>
  <c r="O858" i="92" s="1"/>
  <c r="N859" i="92"/>
  <c r="O859" i="92" s="1"/>
  <c r="N860" i="92"/>
  <c r="O860" i="92" s="1"/>
  <c r="N861" i="92"/>
  <c r="O861" i="92" s="1"/>
  <c r="N862" i="92"/>
  <c r="O862" i="92" s="1"/>
  <c r="N863" i="92"/>
  <c r="O863" i="92" s="1"/>
  <c r="N864" i="92"/>
  <c r="O864" i="92" s="1"/>
  <c r="N865" i="92"/>
  <c r="O865" i="92" s="1"/>
  <c r="N866" i="92"/>
  <c r="O866" i="92" s="1"/>
  <c r="N867" i="92"/>
  <c r="O867" i="92" s="1"/>
  <c r="N868" i="92"/>
  <c r="O868" i="92" s="1"/>
  <c r="N869" i="92"/>
  <c r="O869" i="92" s="1"/>
  <c r="N870" i="92"/>
  <c r="O870" i="92" s="1"/>
  <c r="N871" i="92"/>
  <c r="O871" i="92" s="1"/>
  <c r="N872" i="92"/>
  <c r="O872" i="92" s="1"/>
  <c r="N873" i="92"/>
  <c r="O873" i="92" s="1"/>
  <c r="N874" i="92"/>
  <c r="O874" i="92" s="1"/>
  <c r="N875" i="92"/>
  <c r="O875" i="92" s="1"/>
  <c r="N876" i="92"/>
  <c r="O876" i="92" s="1"/>
  <c r="N877" i="92"/>
  <c r="O877" i="92" s="1"/>
  <c r="N878" i="92"/>
  <c r="O878" i="92" s="1"/>
  <c r="N879" i="92"/>
  <c r="O879" i="92" s="1"/>
  <c r="N880" i="92"/>
  <c r="O880" i="92" s="1"/>
  <c r="N881" i="92"/>
  <c r="O881" i="92" s="1"/>
  <c r="N882" i="92"/>
  <c r="O882" i="92" s="1"/>
  <c r="N883" i="92"/>
  <c r="O883" i="92" s="1"/>
  <c r="N884" i="92"/>
  <c r="O884" i="92" s="1"/>
  <c r="N885" i="92"/>
  <c r="O885" i="92" s="1"/>
  <c r="N886" i="92"/>
  <c r="O886" i="92" s="1"/>
  <c r="N887" i="92"/>
  <c r="O887" i="92" s="1"/>
  <c r="N888" i="92"/>
  <c r="O888" i="92" s="1"/>
  <c r="N889" i="92"/>
  <c r="O889" i="92" s="1"/>
  <c r="N890" i="92"/>
  <c r="O890" i="92" s="1"/>
  <c r="N891" i="92"/>
  <c r="O891" i="92" s="1"/>
  <c r="N892" i="92"/>
  <c r="O892" i="92" s="1"/>
  <c r="N893" i="92"/>
  <c r="O893" i="92" s="1"/>
  <c r="N894" i="92"/>
  <c r="O894" i="92" s="1"/>
  <c r="N895" i="92"/>
  <c r="O895" i="92" s="1"/>
  <c r="N896" i="92"/>
  <c r="O896" i="92" s="1"/>
  <c r="N897" i="92"/>
  <c r="O897" i="92" s="1"/>
  <c r="N898" i="92"/>
  <c r="O898" i="92" s="1"/>
  <c r="N899" i="92"/>
  <c r="O899" i="92" s="1"/>
  <c r="N900" i="92"/>
  <c r="O900" i="92" s="1"/>
  <c r="N901" i="92"/>
  <c r="O901" i="92" s="1"/>
  <c r="N902" i="92"/>
  <c r="O902" i="92" s="1"/>
  <c r="N903" i="92"/>
  <c r="O903" i="92" s="1"/>
  <c r="N904" i="92"/>
  <c r="O904" i="92" s="1"/>
  <c r="N905" i="92"/>
  <c r="O905" i="92" s="1"/>
  <c r="N906" i="92"/>
  <c r="O906" i="92" s="1"/>
  <c r="N907" i="92"/>
  <c r="O907" i="92" s="1"/>
  <c r="N908" i="92"/>
  <c r="O908" i="92" s="1"/>
  <c r="N909" i="92"/>
  <c r="O909" i="92" s="1"/>
  <c r="N910" i="92"/>
  <c r="O910" i="92" s="1"/>
  <c r="N911" i="92"/>
  <c r="O911" i="92" s="1"/>
  <c r="N912" i="92"/>
  <c r="O912" i="92" s="1"/>
  <c r="N913" i="92"/>
  <c r="O913" i="92" s="1"/>
  <c r="N914" i="92"/>
  <c r="O914" i="92" s="1"/>
  <c r="N915" i="92"/>
  <c r="O915" i="92" s="1"/>
  <c r="N916" i="92"/>
  <c r="O916" i="92" s="1"/>
  <c r="N917" i="92"/>
  <c r="O917" i="92" s="1"/>
  <c r="N918" i="92"/>
  <c r="O918" i="92" s="1"/>
  <c r="N919" i="92"/>
  <c r="O919" i="92" s="1"/>
  <c r="N920" i="92"/>
  <c r="O920" i="92" s="1"/>
  <c r="N921" i="92"/>
  <c r="O921" i="92" s="1"/>
  <c r="N922" i="92"/>
  <c r="O922" i="92" s="1"/>
  <c r="N923" i="92"/>
  <c r="O923" i="92" s="1"/>
  <c r="N924" i="92"/>
  <c r="O924" i="92" s="1"/>
  <c r="N925" i="92"/>
  <c r="O925" i="92" s="1"/>
  <c r="N926" i="92"/>
  <c r="O926" i="92" s="1"/>
  <c r="N927" i="92"/>
  <c r="O927" i="92" s="1"/>
  <c r="N928" i="92"/>
  <c r="O928" i="92" s="1"/>
  <c r="N929" i="92"/>
  <c r="O929" i="92" s="1"/>
  <c r="N930" i="92"/>
  <c r="O930" i="92" s="1"/>
  <c r="N931" i="92"/>
  <c r="O931" i="92" s="1"/>
  <c r="N932" i="92"/>
  <c r="O932" i="92" s="1"/>
  <c r="N933" i="92"/>
  <c r="O933" i="92" s="1"/>
  <c r="N934" i="92"/>
  <c r="O934" i="92" s="1"/>
  <c r="N935" i="92"/>
  <c r="O935" i="92" s="1"/>
  <c r="N936" i="92"/>
  <c r="O936" i="92" s="1"/>
  <c r="N937" i="92"/>
  <c r="O937" i="92" s="1"/>
  <c r="N938" i="92"/>
  <c r="O938" i="92" s="1"/>
  <c r="N939" i="92"/>
  <c r="O939" i="92" s="1"/>
  <c r="N940" i="92"/>
  <c r="O940" i="92" s="1"/>
  <c r="N941" i="92"/>
  <c r="O941" i="92" s="1"/>
  <c r="N942" i="92"/>
  <c r="O942" i="92" s="1"/>
  <c r="N943" i="92"/>
  <c r="O943" i="92" s="1"/>
  <c r="N944" i="92"/>
  <c r="O944" i="92" s="1"/>
  <c r="N945" i="92"/>
  <c r="O945" i="92" s="1"/>
  <c r="N946" i="92"/>
  <c r="O946" i="92" s="1"/>
  <c r="N947" i="92"/>
  <c r="O947" i="92" s="1"/>
  <c r="N948" i="92"/>
  <c r="O948" i="92" s="1"/>
  <c r="N949" i="92"/>
  <c r="O949" i="92" s="1"/>
  <c r="N950" i="92"/>
  <c r="O950" i="92" s="1"/>
  <c r="N951" i="92"/>
  <c r="O951" i="92" s="1"/>
  <c r="N952" i="92"/>
  <c r="O952" i="92" s="1"/>
  <c r="N953" i="92"/>
  <c r="O953" i="92" s="1"/>
  <c r="N954" i="92"/>
  <c r="O954" i="92" s="1"/>
  <c r="N955" i="92"/>
  <c r="O955" i="92" s="1"/>
  <c r="N956" i="92"/>
  <c r="O956" i="92" s="1"/>
  <c r="N957" i="92"/>
  <c r="O957" i="92" s="1"/>
  <c r="N958" i="92"/>
  <c r="O958" i="92" s="1"/>
  <c r="N959" i="92"/>
  <c r="O959" i="92" s="1"/>
  <c r="N960" i="92"/>
  <c r="O960" i="92" s="1"/>
  <c r="N961" i="92"/>
  <c r="O961" i="92" s="1"/>
  <c r="N962" i="92"/>
  <c r="O962" i="92" s="1"/>
  <c r="N963" i="92"/>
  <c r="O963" i="92" s="1"/>
  <c r="N964" i="92"/>
  <c r="O964" i="92" s="1"/>
  <c r="N965" i="92"/>
  <c r="O965" i="92" s="1"/>
  <c r="N966" i="92"/>
  <c r="O966" i="92" s="1"/>
  <c r="N967" i="92"/>
  <c r="O967" i="92" s="1"/>
  <c r="N968" i="92"/>
  <c r="O968" i="92" s="1"/>
  <c r="N969" i="92"/>
  <c r="O969" i="92" s="1"/>
  <c r="N970" i="92"/>
  <c r="O970" i="92" s="1"/>
  <c r="N971" i="92"/>
  <c r="O971" i="92" s="1"/>
  <c r="N972" i="92"/>
  <c r="O972" i="92" s="1"/>
  <c r="N973" i="92"/>
  <c r="O973" i="92" s="1"/>
  <c r="N974" i="92"/>
  <c r="O974" i="92" s="1"/>
  <c r="N975" i="92"/>
  <c r="O975" i="92" s="1"/>
  <c r="N976" i="92"/>
  <c r="O976" i="92" s="1"/>
  <c r="N977" i="92"/>
  <c r="O977" i="92" s="1"/>
  <c r="N978" i="92"/>
  <c r="O978" i="92" s="1"/>
  <c r="N979" i="92"/>
  <c r="O979" i="92" s="1"/>
  <c r="N980" i="92"/>
  <c r="O980" i="92" s="1"/>
  <c r="N981" i="92"/>
  <c r="O981" i="92" s="1"/>
  <c r="N982" i="92"/>
  <c r="O982" i="92" s="1"/>
  <c r="N983" i="92"/>
  <c r="O983" i="92" s="1"/>
  <c r="N984" i="92"/>
  <c r="O984" i="92" s="1"/>
  <c r="N985" i="92"/>
  <c r="O985" i="92" s="1"/>
  <c r="N986" i="92"/>
  <c r="O986" i="92" s="1"/>
  <c r="N987" i="92"/>
  <c r="O987" i="92" s="1"/>
  <c r="N988" i="92"/>
  <c r="O988" i="92" s="1"/>
  <c r="N989" i="92"/>
  <c r="O989" i="92" s="1"/>
  <c r="N990" i="92"/>
  <c r="O990" i="92" s="1"/>
  <c r="N991" i="92"/>
  <c r="O991" i="92" s="1"/>
  <c r="N992" i="92"/>
  <c r="O992" i="92" s="1"/>
  <c r="N993" i="92"/>
  <c r="O993" i="92" s="1"/>
  <c r="N994" i="92"/>
  <c r="O994" i="92" s="1"/>
  <c r="N995" i="92"/>
  <c r="O995" i="92" s="1"/>
  <c r="N996" i="92"/>
  <c r="O996" i="92" s="1"/>
  <c r="N997" i="92"/>
  <c r="O997" i="92" s="1"/>
  <c r="N998" i="92"/>
  <c r="O998" i="92" s="1"/>
  <c r="N999" i="92"/>
  <c r="O999" i="92" s="1"/>
  <c r="N1000" i="92"/>
  <c r="O1000" i="92" s="1"/>
  <c r="N1001" i="92"/>
  <c r="O1001" i="92" s="1"/>
  <c r="N1002" i="92"/>
  <c r="O1002" i="92" s="1"/>
  <c r="N1003" i="92"/>
  <c r="O1003" i="92" s="1"/>
  <c r="N1004" i="92"/>
  <c r="O1004" i="92" s="1"/>
  <c r="N1005" i="92"/>
  <c r="O1005" i="92" s="1"/>
  <c r="N1006" i="92"/>
  <c r="O1006" i="92" s="1"/>
  <c r="N1007" i="92"/>
  <c r="O1007" i="92" s="1"/>
  <c r="N1008" i="92"/>
  <c r="O1008" i="92" s="1"/>
  <c r="N1009" i="92"/>
  <c r="O1009" i="92" s="1"/>
  <c r="N1010" i="92"/>
  <c r="O1010" i="92" s="1"/>
  <c r="N1011" i="92"/>
  <c r="O1011" i="92" s="1"/>
  <c r="N1012" i="92"/>
  <c r="O1012" i="92" s="1"/>
  <c r="N1013" i="92"/>
  <c r="O1013" i="92" s="1"/>
  <c r="N1014" i="92"/>
  <c r="O1014" i="92" s="1"/>
  <c r="N1015" i="92"/>
  <c r="O1015" i="92" s="1"/>
  <c r="N1016" i="92"/>
  <c r="O1016" i="92" s="1"/>
  <c r="N1017" i="92"/>
  <c r="O1017" i="92" s="1"/>
  <c r="N1018" i="92"/>
  <c r="O1018" i="92" s="1"/>
  <c r="N1019" i="92"/>
  <c r="O1019" i="92" s="1"/>
  <c r="N1020" i="92"/>
  <c r="O1020" i="92" s="1"/>
  <c r="N1021" i="92"/>
  <c r="O1021" i="92" s="1"/>
  <c r="N1022" i="92"/>
  <c r="O1022" i="92" s="1"/>
  <c r="N1023" i="92"/>
  <c r="O1023" i="92" s="1"/>
  <c r="N1024" i="92"/>
  <c r="O1024" i="92" s="1"/>
  <c r="N1025" i="92"/>
  <c r="O1025" i="92" s="1"/>
  <c r="N1026" i="92"/>
  <c r="O1026" i="92" s="1"/>
  <c r="N1027" i="92"/>
  <c r="O1027" i="92" s="1"/>
  <c r="N1028" i="92"/>
  <c r="O1028" i="92" s="1"/>
  <c r="N1029" i="92"/>
  <c r="O1029" i="92" s="1"/>
  <c r="N1030" i="92"/>
  <c r="O1030" i="92" s="1"/>
  <c r="N1031" i="92"/>
  <c r="O1031" i="92" s="1"/>
  <c r="N1032" i="92"/>
  <c r="O1032" i="92" s="1"/>
  <c r="N1033" i="92"/>
  <c r="O1033" i="92" s="1"/>
  <c r="N1034" i="92"/>
  <c r="O1034" i="92" s="1"/>
  <c r="N1035" i="92"/>
  <c r="O1035" i="92" s="1"/>
  <c r="N1036" i="92"/>
  <c r="O1036" i="92" s="1"/>
  <c r="N1037" i="92"/>
  <c r="O1037" i="92" s="1"/>
  <c r="N1038" i="92"/>
  <c r="O1038" i="92" s="1"/>
  <c r="N1039" i="92"/>
  <c r="O1039" i="92" s="1"/>
  <c r="N1040" i="92"/>
  <c r="O1040" i="92" s="1"/>
  <c r="N1041" i="92"/>
  <c r="O1041" i="92" s="1"/>
  <c r="N1042" i="92"/>
  <c r="O1042" i="92" s="1"/>
  <c r="N1043" i="92"/>
  <c r="O1043" i="92" s="1"/>
  <c r="N1044" i="92"/>
  <c r="O1044" i="92" s="1"/>
  <c r="N1045" i="92"/>
  <c r="O1045" i="92" s="1"/>
  <c r="N1046" i="92"/>
  <c r="O1046" i="92" s="1"/>
  <c r="N1047" i="92"/>
  <c r="O1047" i="92" s="1"/>
  <c r="N1048" i="92"/>
  <c r="O1048" i="92" s="1"/>
  <c r="N1049" i="92"/>
  <c r="O1049" i="92" s="1"/>
  <c r="N1050" i="92"/>
  <c r="O1050" i="92" s="1"/>
  <c r="N1051" i="92"/>
  <c r="O1051" i="92" s="1"/>
  <c r="N1052" i="92"/>
  <c r="O1052" i="92" s="1"/>
  <c r="N1053" i="92"/>
  <c r="O1053" i="92" s="1"/>
  <c r="N1054" i="92"/>
  <c r="O1054" i="92" s="1"/>
  <c r="N1055" i="92"/>
  <c r="O1055" i="92" s="1"/>
  <c r="N1056" i="92"/>
  <c r="O1056" i="92" s="1"/>
  <c r="N1057" i="92"/>
  <c r="O1057" i="92" s="1"/>
  <c r="N1058" i="92"/>
  <c r="O1058" i="92" s="1"/>
  <c r="N1059" i="92"/>
  <c r="O1059" i="92" s="1"/>
  <c r="N1060" i="92"/>
  <c r="O1060" i="92" s="1"/>
  <c r="N1061" i="92"/>
  <c r="O1061" i="92" s="1"/>
  <c r="N1062" i="92"/>
  <c r="O1062" i="92" s="1"/>
  <c r="N1063" i="92"/>
  <c r="O1063" i="92" s="1"/>
  <c r="N1064" i="92"/>
  <c r="O1064" i="92" s="1"/>
  <c r="N1065" i="92"/>
  <c r="O1065" i="92" s="1"/>
  <c r="N1066" i="92"/>
  <c r="O1066" i="92" s="1"/>
  <c r="N1067" i="92"/>
  <c r="O1067" i="92" s="1"/>
  <c r="N1068" i="92"/>
  <c r="O1068" i="92" s="1"/>
  <c r="N1069" i="92"/>
  <c r="O1069" i="92" s="1"/>
  <c r="N1070" i="92"/>
  <c r="O1070" i="92" s="1"/>
  <c r="N1071" i="92"/>
  <c r="O1071" i="92" s="1"/>
  <c r="N1072" i="92"/>
  <c r="O1072" i="92" s="1"/>
  <c r="N1073" i="92"/>
  <c r="O1073" i="92" s="1"/>
  <c r="N1074" i="92"/>
  <c r="O1074" i="92" s="1"/>
  <c r="N1075" i="92"/>
  <c r="O1075" i="92" s="1"/>
  <c r="N1076" i="92"/>
  <c r="O1076" i="92" s="1"/>
  <c r="N1077" i="92"/>
  <c r="O1077" i="92" s="1"/>
  <c r="N1078" i="92"/>
  <c r="O1078" i="92" s="1"/>
  <c r="N1079" i="92"/>
  <c r="O1079" i="92" s="1"/>
  <c r="N80" i="92"/>
  <c r="O80" i="92" s="1"/>
  <c r="Q81" i="92"/>
  <c r="Q82" i="92"/>
  <c r="Q83" i="92"/>
  <c r="Q84" i="92"/>
  <c r="Q85" i="92"/>
  <c r="Q86" i="92"/>
  <c r="Q87" i="92"/>
  <c r="Q88" i="92"/>
  <c r="Q89" i="92"/>
  <c r="Q90" i="92"/>
  <c r="Q91" i="92"/>
  <c r="Q92" i="92"/>
  <c r="Q93" i="92"/>
  <c r="Q94" i="92"/>
  <c r="Q95" i="92"/>
  <c r="Q96" i="92"/>
  <c r="Q97" i="92"/>
  <c r="Q98" i="92"/>
  <c r="Q99" i="92"/>
  <c r="Q100" i="92"/>
  <c r="Q101" i="92"/>
  <c r="Q102" i="92"/>
  <c r="Q103" i="92"/>
  <c r="Q104" i="92"/>
  <c r="Y104" i="92" s="1"/>
  <c r="Q105" i="92"/>
  <c r="Q106" i="92"/>
  <c r="Q107" i="92"/>
  <c r="Q108" i="92"/>
  <c r="Q109" i="92"/>
  <c r="Q110" i="92"/>
  <c r="Q111" i="92"/>
  <c r="Q112" i="92"/>
  <c r="Q113" i="92"/>
  <c r="Q114" i="92"/>
  <c r="Q115" i="92"/>
  <c r="Q116" i="92"/>
  <c r="Q117" i="92"/>
  <c r="Q118" i="92"/>
  <c r="Q119" i="92"/>
  <c r="Q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37" i="92"/>
  <c r="Q138" i="92"/>
  <c r="Q139" i="92"/>
  <c r="Q140" i="92"/>
  <c r="Q141" i="92"/>
  <c r="Q142" i="92"/>
  <c r="Q143" i="92"/>
  <c r="Q144" i="92"/>
  <c r="Q145" i="92"/>
  <c r="Q146" i="92"/>
  <c r="Q147" i="92"/>
  <c r="Q148" i="92"/>
  <c r="Q149" i="92"/>
  <c r="Q150" i="92"/>
  <c r="Q151" i="92"/>
  <c r="Q152" i="92"/>
  <c r="Y152" i="92" s="1"/>
  <c r="Q153" i="92"/>
  <c r="Q154" i="92"/>
  <c r="Q155" i="92"/>
  <c r="Q156" i="92"/>
  <c r="Q157" i="92"/>
  <c r="Q158" i="92"/>
  <c r="Q159" i="92"/>
  <c r="Q160" i="92"/>
  <c r="Q161" i="92"/>
  <c r="Q162" i="92"/>
  <c r="Q163" i="92"/>
  <c r="Q164" i="92"/>
  <c r="Q165" i="92"/>
  <c r="Q166" i="92"/>
  <c r="Q167" i="92"/>
  <c r="Q168" i="92"/>
  <c r="Q169" i="92"/>
  <c r="Q170" i="92"/>
  <c r="Q171" i="92"/>
  <c r="Q172" i="92"/>
  <c r="Q173" i="92"/>
  <c r="Q174" i="92"/>
  <c r="Q175" i="92"/>
  <c r="Q176" i="92"/>
  <c r="Q177" i="92"/>
  <c r="Q178" i="92"/>
  <c r="Q179" i="92"/>
  <c r="Q180" i="92"/>
  <c r="Q181" i="92"/>
  <c r="Q182" i="92"/>
  <c r="Q183" i="92"/>
  <c r="Q184" i="92"/>
  <c r="Q185" i="92"/>
  <c r="Q186" i="92"/>
  <c r="Q187" i="92"/>
  <c r="Q188" i="92"/>
  <c r="Q189" i="92"/>
  <c r="Q190" i="92"/>
  <c r="Q191" i="92"/>
  <c r="Q192" i="92"/>
  <c r="Q193" i="92"/>
  <c r="Q194" i="92"/>
  <c r="Q195" i="92"/>
  <c r="Q196" i="92"/>
  <c r="Q197" i="92"/>
  <c r="Q198" i="92"/>
  <c r="Q199" i="92"/>
  <c r="Q200" i="92"/>
  <c r="Y200" i="92" s="1"/>
  <c r="Q201" i="92"/>
  <c r="Q202" i="92"/>
  <c r="Q203" i="92"/>
  <c r="Q204" i="92"/>
  <c r="Q205" i="92"/>
  <c r="Q206" i="92"/>
  <c r="Q207" i="92"/>
  <c r="Q208" i="92"/>
  <c r="Q209" i="92"/>
  <c r="Q210" i="92"/>
  <c r="Q211" i="92"/>
  <c r="Q212" i="92"/>
  <c r="Q213" i="92"/>
  <c r="Q214" i="92"/>
  <c r="Q215" i="92"/>
  <c r="Q216" i="92"/>
  <c r="Q217" i="92"/>
  <c r="Q218" i="92"/>
  <c r="Q219" i="92"/>
  <c r="Q220" i="92"/>
  <c r="Q221" i="92"/>
  <c r="Q222" i="92"/>
  <c r="Q223" i="92"/>
  <c r="Q224" i="92"/>
  <c r="Q225" i="92"/>
  <c r="Q226" i="92"/>
  <c r="Q227" i="92"/>
  <c r="Q228" i="92"/>
  <c r="Q229" i="92"/>
  <c r="Q230" i="92"/>
  <c r="Q231" i="92"/>
  <c r="Q232" i="92"/>
  <c r="Q233" i="92"/>
  <c r="Q234" i="92"/>
  <c r="Q235" i="92"/>
  <c r="Q236" i="92"/>
  <c r="Q237" i="92"/>
  <c r="Q238" i="92"/>
  <c r="Q239" i="92"/>
  <c r="Q240" i="92"/>
  <c r="Q241" i="92"/>
  <c r="Q242" i="92"/>
  <c r="Q243" i="92"/>
  <c r="Q244" i="92"/>
  <c r="Q245" i="92"/>
  <c r="Q246" i="92"/>
  <c r="Q247" i="92"/>
  <c r="Q248" i="92"/>
  <c r="Y248" i="92" s="1"/>
  <c r="Q249" i="92"/>
  <c r="Q250" i="92"/>
  <c r="Q251" i="92"/>
  <c r="Q252" i="92"/>
  <c r="Q253" i="92"/>
  <c r="Q254" i="92"/>
  <c r="Q255" i="92"/>
  <c r="Q256" i="92"/>
  <c r="Q257" i="92"/>
  <c r="Q258" i="92"/>
  <c r="Q259" i="92"/>
  <c r="Q260" i="92"/>
  <c r="Q261" i="92"/>
  <c r="Q262" i="92"/>
  <c r="Q263" i="92"/>
  <c r="Q264" i="92"/>
  <c r="Q265" i="92"/>
  <c r="Q266" i="92"/>
  <c r="Q267" i="92"/>
  <c r="Q268" i="92"/>
  <c r="Q269" i="92"/>
  <c r="Q270" i="92"/>
  <c r="Q271" i="92"/>
  <c r="Q272" i="92"/>
  <c r="Q273" i="92"/>
  <c r="Q274" i="92"/>
  <c r="Q275" i="92"/>
  <c r="Q276" i="92"/>
  <c r="Q277" i="92"/>
  <c r="Q278" i="92"/>
  <c r="Q279" i="92"/>
  <c r="Q280" i="92"/>
  <c r="Q281" i="92"/>
  <c r="Q282" i="92"/>
  <c r="Q283" i="92"/>
  <c r="Q284" i="92"/>
  <c r="Q285" i="92"/>
  <c r="Q286" i="92"/>
  <c r="Q287" i="92"/>
  <c r="Q288" i="92"/>
  <c r="Q289" i="92"/>
  <c r="Q290" i="92"/>
  <c r="Q291" i="92"/>
  <c r="Q292" i="92"/>
  <c r="Q293" i="92"/>
  <c r="Q294" i="92"/>
  <c r="Q295" i="92"/>
  <c r="Q296" i="92"/>
  <c r="Y296" i="92" s="1"/>
  <c r="Q297" i="92"/>
  <c r="Q298" i="92"/>
  <c r="Q299" i="92"/>
  <c r="Q300" i="92"/>
  <c r="Q301" i="92"/>
  <c r="Q302" i="92"/>
  <c r="Q303" i="92"/>
  <c r="Q304" i="92"/>
  <c r="Q305" i="92"/>
  <c r="Q306" i="92"/>
  <c r="Q307" i="92"/>
  <c r="Q308" i="92"/>
  <c r="Q309" i="92"/>
  <c r="Q310" i="92"/>
  <c r="Q311" i="92"/>
  <c r="Q312" i="92"/>
  <c r="Q313" i="92"/>
  <c r="Q314" i="92"/>
  <c r="Q315" i="92"/>
  <c r="Q316" i="92"/>
  <c r="Q317" i="92"/>
  <c r="Q318" i="92"/>
  <c r="Q319" i="92"/>
  <c r="Q320" i="92"/>
  <c r="Q321" i="92"/>
  <c r="Q322" i="92"/>
  <c r="Q323" i="92"/>
  <c r="Q324" i="92"/>
  <c r="Q325" i="92"/>
  <c r="Q326" i="92"/>
  <c r="Q327" i="92"/>
  <c r="Q328" i="92"/>
  <c r="Q329" i="92"/>
  <c r="Q330" i="92"/>
  <c r="Q331" i="92"/>
  <c r="Q332" i="92"/>
  <c r="Q333" i="92"/>
  <c r="Q334" i="92"/>
  <c r="Q335" i="92"/>
  <c r="Q336" i="92"/>
  <c r="Q337" i="92"/>
  <c r="Q338" i="92"/>
  <c r="Q339" i="92"/>
  <c r="Q340" i="92"/>
  <c r="Q341" i="92"/>
  <c r="Q342" i="92"/>
  <c r="Q343" i="92"/>
  <c r="Q344" i="92"/>
  <c r="Y344" i="92" s="1"/>
  <c r="Q345" i="92"/>
  <c r="Q346" i="92"/>
  <c r="Q347" i="92"/>
  <c r="Q348" i="92"/>
  <c r="Q349" i="92"/>
  <c r="Q350" i="92"/>
  <c r="Q351" i="92"/>
  <c r="Q352" i="92"/>
  <c r="Q353" i="92"/>
  <c r="Q354" i="92"/>
  <c r="Q355" i="92"/>
  <c r="Q356" i="92"/>
  <c r="Q357" i="92"/>
  <c r="Q358" i="92"/>
  <c r="Q359" i="92"/>
  <c r="Q360" i="92"/>
  <c r="Q361" i="92"/>
  <c r="Q362" i="92"/>
  <c r="Q363" i="92"/>
  <c r="Q364" i="92"/>
  <c r="Q365" i="92"/>
  <c r="Q366" i="92"/>
  <c r="Q367" i="92"/>
  <c r="Q368" i="92"/>
  <c r="Q369" i="92"/>
  <c r="Q370" i="92"/>
  <c r="Q371" i="92"/>
  <c r="Q372" i="92"/>
  <c r="Q373" i="92"/>
  <c r="Q374" i="92"/>
  <c r="Q375" i="92"/>
  <c r="Q376" i="92"/>
  <c r="Q377" i="92"/>
  <c r="Q378" i="92"/>
  <c r="Q379" i="92"/>
  <c r="Q380" i="92"/>
  <c r="Q381" i="92"/>
  <c r="Q382" i="92"/>
  <c r="Q383" i="92"/>
  <c r="Q384" i="92"/>
  <c r="Q385" i="92"/>
  <c r="Q386" i="92"/>
  <c r="Q387" i="92"/>
  <c r="Q388" i="92"/>
  <c r="Q389" i="92"/>
  <c r="Q390" i="92"/>
  <c r="Q391" i="92"/>
  <c r="Q392" i="92"/>
  <c r="Y392" i="92" s="1"/>
  <c r="Q393" i="92"/>
  <c r="Q394" i="92"/>
  <c r="Q395" i="92"/>
  <c r="Q396" i="92"/>
  <c r="Q397" i="92"/>
  <c r="Q398" i="92"/>
  <c r="Q399" i="92"/>
  <c r="Q400" i="92"/>
  <c r="Q401" i="92"/>
  <c r="Q402" i="92"/>
  <c r="Q403" i="92"/>
  <c r="Q404" i="92"/>
  <c r="Q405" i="92"/>
  <c r="Q406" i="92"/>
  <c r="Q407" i="92"/>
  <c r="Q408" i="92"/>
  <c r="Q409" i="92"/>
  <c r="Q410" i="92"/>
  <c r="Q411" i="92"/>
  <c r="Q412" i="92"/>
  <c r="Q413" i="92"/>
  <c r="Q414" i="92"/>
  <c r="Q415" i="92"/>
  <c r="Q416" i="92"/>
  <c r="Q417" i="92"/>
  <c r="Q418" i="92"/>
  <c r="Q419" i="92"/>
  <c r="Q420" i="92"/>
  <c r="Q421" i="92"/>
  <c r="Q422" i="92"/>
  <c r="Q423" i="92"/>
  <c r="Q424" i="92"/>
  <c r="Q425" i="92"/>
  <c r="Q426" i="92"/>
  <c r="Q427" i="92"/>
  <c r="Q428" i="92"/>
  <c r="Q429" i="92"/>
  <c r="Q430" i="92"/>
  <c r="Q431" i="92"/>
  <c r="Q432" i="92"/>
  <c r="Q433" i="92"/>
  <c r="Q434" i="92"/>
  <c r="Q435" i="92"/>
  <c r="Q436" i="92"/>
  <c r="Q437" i="92"/>
  <c r="Q438" i="92"/>
  <c r="Q439" i="92"/>
  <c r="Q440" i="92"/>
  <c r="Y440" i="92" s="1"/>
  <c r="Q441" i="92"/>
  <c r="Q442" i="92"/>
  <c r="Q443" i="92"/>
  <c r="Q444" i="92"/>
  <c r="Q445" i="92"/>
  <c r="Q446" i="92"/>
  <c r="Q447" i="92"/>
  <c r="Q448" i="92"/>
  <c r="Q449" i="92"/>
  <c r="Q450" i="92"/>
  <c r="Q451" i="92"/>
  <c r="Q452" i="92"/>
  <c r="Q453" i="92"/>
  <c r="Q454" i="92"/>
  <c r="Q455" i="92"/>
  <c r="Q456" i="92"/>
  <c r="Q457" i="92"/>
  <c r="Q458" i="92"/>
  <c r="Q459" i="92"/>
  <c r="Q460" i="92"/>
  <c r="Q461" i="92"/>
  <c r="Q462" i="92"/>
  <c r="Q463" i="92"/>
  <c r="Q464" i="92"/>
  <c r="Q465" i="92"/>
  <c r="Q466" i="92"/>
  <c r="Q467" i="92"/>
  <c r="Q468" i="92"/>
  <c r="Q469" i="92"/>
  <c r="Q470" i="92"/>
  <c r="Q471" i="92"/>
  <c r="Q472" i="92"/>
  <c r="Q473" i="92"/>
  <c r="Q474" i="92"/>
  <c r="Q475" i="92"/>
  <c r="Q476" i="92"/>
  <c r="Q477" i="92"/>
  <c r="Q478" i="92"/>
  <c r="Q479" i="92"/>
  <c r="Q480" i="92"/>
  <c r="Q481" i="92"/>
  <c r="Q482" i="92"/>
  <c r="Q483" i="92"/>
  <c r="Q484" i="92"/>
  <c r="Q485" i="92"/>
  <c r="Q486" i="92"/>
  <c r="Q487" i="92"/>
  <c r="Q488" i="92"/>
  <c r="Y488" i="92" s="1"/>
  <c r="Q489" i="92"/>
  <c r="Q490" i="92"/>
  <c r="Q491" i="92"/>
  <c r="Q492" i="92"/>
  <c r="Q493" i="92"/>
  <c r="Q494" i="92"/>
  <c r="Q495" i="92"/>
  <c r="Q496" i="92"/>
  <c r="Q497" i="92"/>
  <c r="Q498" i="92"/>
  <c r="Q499" i="92"/>
  <c r="Q500" i="92"/>
  <c r="Q501" i="92"/>
  <c r="Q502" i="92"/>
  <c r="Q503" i="92"/>
  <c r="Q504" i="92"/>
  <c r="Q505" i="92"/>
  <c r="Q506" i="92"/>
  <c r="Q507" i="92"/>
  <c r="Q508" i="92"/>
  <c r="Q509" i="92"/>
  <c r="Q510" i="92"/>
  <c r="Q511" i="92"/>
  <c r="Q512" i="92"/>
  <c r="Q513" i="92"/>
  <c r="Q514" i="92"/>
  <c r="Q515" i="92"/>
  <c r="Q516" i="92"/>
  <c r="Q517" i="92"/>
  <c r="Q518" i="92"/>
  <c r="Q519" i="92"/>
  <c r="Q520" i="92"/>
  <c r="Q521" i="92"/>
  <c r="Q522" i="92"/>
  <c r="Q523" i="92"/>
  <c r="Q524" i="92"/>
  <c r="Q525" i="92"/>
  <c r="Q526" i="92"/>
  <c r="Q527" i="92"/>
  <c r="Q528" i="92"/>
  <c r="Q529" i="92"/>
  <c r="Q530" i="92"/>
  <c r="Q531" i="92"/>
  <c r="Q532" i="92"/>
  <c r="Q533" i="92"/>
  <c r="Q534" i="92"/>
  <c r="Q535" i="92"/>
  <c r="Q536" i="92"/>
  <c r="Y536" i="92" s="1"/>
  <c r="Q537" i="92"/>
  <c r="Q538" i="92"/>
  <c r="Q539" i="92"/>
  <c r="Q540" i="92"/>
  <c r="Q541" i="92"/>
  <c r="Q542" i="92"/>
  <c r="Q543" i="92"/>
  <c r="Q544" i="92"/>
  <c r="Q545" i="92"/>
  <c r="Q546" i="92"/>
  <c r="Q547" i="92"/>
  <c r="Q548" i="92"/>
  <c r="Q549" i="92"/>
  <c r="Q550" i="92"/>
  <c r="Q551" i="92"/>
  <c r="Q552" i="92"/>
  <c r="Q553" i="92"/>
  <c r="Q554" i="92"/>
  <c r="Q555" i="92"/>
  <c r="Q556" i="92"/>
  <c r="Q557" i="92"/>
  <c r="Q558" i="92"/>
  <c r="Q559" i="92"/>
  <c r="Q560" i="92"/>
  <c r="Q561" i="92"/>
  <c r="Q562" i="92"/>
  <c r="Q563" i="92"/>
  <c r="Q564" i="92"/>
  <c r="Q565" i="92"/>
  <c r="Q566" i="92"/>
  <c r="Q567" i="92"/>
  <c r="Q568" i="92"/>
  <c r="Q569" i="92"/>
  <c r="Q570" i="92"/>
  <c r="Q571" i="92"/>
  <c r="Q572" i="92"/>
  <c r="Q573" i="92"/>
  <c r="Q574" i="92"/>
  <c r="Q575" i="92"/>
  <c r="Q576" i="92"/>
  <c r="Q577" i="92"/>
  <c r="Q578" i="92"/>
  <c r="Q579" i="92"/>
  <c r="Q580" i="92"/>
  <c r="Q581" i="92"/>
  <c r="Q582" i="92"/>
  <c r="Q583" i="92"/>
  <c r="Q584" i="92"/>
  <c r="Y584" i="92" s="1"/>
  <c r="Q585" i="92"/>
  <c r="Q586" i="92"/>
  <c r="Q587" i="92"/>
  <c r="Q588" i="92"/>
  <c r="Q589" i="92"/>
  <c r="Q590" i="92"/>
  <c r="Q591" i="92"/>
  <c r="Q592" i="92"/>
  <c r="Q593" i="92"/>
  <c r="Q594" i="92"/>
  <c r="Q595" i="92"/>
  <c r="Q596" i="92"/>
  <c r="Q597" i="92"/>
  <c r="Q598" i="92"/>
  <c r="Q599" i="92"/>
  <c r="Q600" i="92"/>
  <c r="Q601" i="92"/>
  <c r="Q602" i="92"/>
  <c r="Q603" i="92"/>
  <c r="Q604" i="92"/>
  <c r="Q605" i="92"/>
  <c r="Q606" i="92"/>
  <c r="Q607" i="92"/>
  <c r="Q608" i="92"/>
  <c r="Q609" i="92"/>
  <c r="Q610" i="92"/>
  <c r="Q611" i="92"/>
  <c r="Q612" i="92"/>
  <c r="Q613" i="92"/>
  <c r="Q614" i="92"/>
  <c r="Q615" i="92"/>
  <c r="Q616" i="92"/>
  <c r="Q617" i="92"/>
  <c r="Q618" i="92"/>
  <c r="Q619" i="92"/>
  <c r="Q620" i="92"/>
  <c r="Q621" i="92"/>
  <c r="Q622" i="92"/>
  <c r="Q623" i="92"/>
  <c r="Q624" i="92"/>
  <c r="Q625" i="92"/>
  <c r="Q626" i="92"/>
  <c r="Q627" i="92"/>
  <c r="Q628" i="92"/>
  <c r="Q629" i="92"/>
  <c r="Q630" i="92"/>
  <c r="Q631" i="92"/>
  <c r="Q632" i="92"/>
  <c r="Y632" i="92" s="1"/>
  <c r="Q633" i="92"/>
  <c r="Q634" i="92"/>
  <c r="Q635" i="92"/>
  <c r="Q636" i="92"/>
  <c r="Q637" i="92"/>
  <c r="Q638" i="92"/>
  <c r="Q639" i="92"/>
  <c r="Q640" i="92"/>
  <c r="Q641" i="92"/>
  <c r="Q642" i="92"/>
  <c r="Q643" i="92"/>
  <c r="Q644" i="92"/>
  <c r="Q645" i="92"/>
  <c r="Q646" i="92"/>
  <c r="Q647" i="92"/>
  <c r="Q648" i="92"/>
  <c r="Q649" i="92"/>
  <c r="Q650" i="92"/>
  <c r="Q651" i="92"/>
  <c r="Q652" i="92"/>
  <c r="Q653" i="92"/>
  <c r="Q654" i="92"/>
  <c r="Q655" i="92"/>
  <c r="Q656" i="92"/>
  <c r="Q657" i="92"/>
  <c r="Q658" i="92"/>
  <c r="Q659" i="92"/>
  <c r="Q660" i="92"/>
  <c r="Q661" i="92"/>
  <c r="Q662" i="92"/>
  <c r="Q663" i="92"/>
  <c r="Q664" i="92"/>
  <c r="Q665" i="92"/>
  <c r="Q666" i="92"/>
  <c r="Q667" i="92"/>
  <c r="Q668" i="92"/>
  <c r="Q669" i="92"/>
  <c r="Q670" i="92"/>
  <c r="Q671" i="92"/>
  <c r="Q672" i="92"/>
  <c r="Q673" i="92"/>
  <c r="Q674" i="92"/>
  <c r="Q675" i="92"/>
  <c r="Q676" i="92"/>
  <c r="Q677" i="92"/>
  <c r="Q678" i="92"/>
  <c r="Q679" i="92"/>
  <c r="Q680" i="92"/>
  <c r="Y680" i="92" s="1"/>
  <c r="Q681" i="92"/>
  <c r="Q682" i="92"/>
  <c r="Q683" i="92"/>
  <c r="Q684" i="92"/>
  <c r="Q685" i="92"/>
  <c r="Q686" i="92"/>
  <c r="Q687" i="92"/>
  <c r="Q688" i="92"/>
  <c r="Q689" i="92"/>
  <c r="Q690" i="92"/>
  <c r="Q691" i="92"/>
  <c r="Q692" i="92"/>
  <c r="Q693" i="92"/>
  <c r="Q694" i="92"/>
  <c r="Q695" i="92"/>
  <c r="Q696" i="92"/>
  <c r="Q697" i="92"/>
  <c r="Q698" i="92"/>
  <c r="Q699" i="92"/>
  <c r="Q700" i="92"/>
  <c r="Q701" i="92"/>
  <c r="Q702" i="92"/>
  <c r="Q703" i="92"/>
  <c r="Q704" i="92"/>
  <c r="Q705" i="92"/>
  <c r="Q706" i="92"/>
  <c r="Q707" i="92"/>
  <c r="Q708" i="92"/>
  <c r="Q709" i="92"/>
  <c r="Q710" i="92"/>
  <c r="Q711" i="92"/>
  <c r="Q712" i="92"/>
  <c r="Q713" i="92"/>
  <c r="Q714" i="92"/>
  <c r="Q715" i="92"/>
  <c r="Q716" i="92"/>
  <c r="Q717" i="92"/>
  <c r="Q718" i="92"/>
  <c r="Q719" i="92"/>
  <c r="Q720" i="92"/>
  <c r="Q721" i="92"/>
  <c r="Q722" i="92"/>
  <c r="Q723" i="92"/>
  <c r="Q724" i="92"/>
  <c r="Q725" i="92"/>
  <c r="Q726" i="92"/>
  <c r="Q727" i="92"/>
  <c r="Q728" i="92"/>
  <c r="Y728" i="92" s="1"/>
  <c r="Q729" i="92"/>
  <c r="Q730" i="92"/>
  <c r="Q731" i="92"/>
  <c r="Q732" i="92"/>
  <c r="Q733" i="92"/>
  <c r="Q734" i="92"/>
  <c r="Q735" i="92"/>
  <c r="Q736" i="92"/>
  <c r="Q737" i="92"/>
  <c r="Q738" i="92"/>
  <c r="Q739" i="92"/>
  <c r="Q740" i="92"/>
  <c r="Q741" i="92"/>
  <c r="Q742" i="92"/>
  <c r="Q743" i="92"/>
  <c r="Q744" i="92"/>
  <c r="Q745" i="92"/>
  <c r="Q746" i="92"/>
  <c r="Z746" i="92" s="1"/>
  <c r="Q747" i="92"/>
  <c r="Q748" i="92"/>
  <c r="Q749" i="92"/>
  <c r="Q750" i="92"/>
  <c r="Z750" i="92" s="1"/>
  <c r="Q751" i="92"/>
  <c r="Q752" i="92"/>
  <c r="Z752" i="92" s="1"/>
  <c r="Q753" i="92"/>
  <c r="Q754" i="92"/>
  <c r="Z754" i="92" s="1"/>
  <c r="Q755" i="92"/>
  <c r="Q756" i="92"/>
  <c r="Q757" i="92"/>
  <c r="Q758" i="92"/>
  <c r="Q759" i="92"/>
  <c r="Q760" i="92"/>
  <c r="Q761" i="92"/>
  <c r="Q762" i="92"/>
  <c r="Z762" i="92" s="1"/>
  <c r="Q763" i="92"/>
  <c r="Q764" i="92"/>
  <c r="Q765" i="92"/>
  <c r="Q766" i="92"/>
  <c r="Z766" i="92" s="1"/>
  <c r="Q767" i="92"/>
  <c r="Q768" i="92"/>
  <c r="Q769" i="92"/>
  <c r="Q770" i="92"/>
  <c r="Z770" i="92" s="1"/>
  <c r="Q771" i="92"/>
  <c r="Q772" i="92"/>
  <c r="Q773" i="92"/>
  <c r="Q774" i="92"/>
  <c r="Z774" i="92" s="1"/>
  <c r="Q775" i="92"/>
  <c r="Q776" i="92"/>
  <c r="Y776" i="92" s="1"/>
  <c r="Q777" i="92"/>
  <c r="Q778" i="92"/>
  <c r="Z778" i="92" s="1"/>
  <c r="Q779" i="92"/>
  <c r="Q780" i="92"/>
  <c r="Q781" i="92"/>
  <c r="Q782" i="92"/>
  <c r="Z782" i="92" s="1"/>
  <c r="Q783" i="92"/>
  <c r="Q784" i="92"/>
  <c r="Q785" i="92"/>
  <c r="Q786" i="92"/>
  <c r="Z786" i="92" s="1"/>
  <c r="Q787" i="92"/>
  <c r="Q788" i="92"/>
  <c r="Q789" i="92"/>
  <c r="Q790" i="92"/>
  <c r="Z790" i="92" s="1"/>
  <c r="Q791" i="92"/>
  <c r="Q792" i="92"/>
  <c r="Q793" i="92"/>
  <c r="Q794" i="92"/>
  <c r="Z794" i="92" s="1"/>
  <c r="Q795" i="92"/>
  <c r="Q796" i="92"/>
  <c r="Q797" i="92"/>
  <c r="Q798" i="92"/>
  <c r="Z798" i="92" s="1"/>
  <c r="Q799" i="92"/>
  <c r="Q800" i="92"/>
  <c r="Q801" i="92"/>
  <c r="Q802" i="92"/>
  <c r="Z802" i="92" s="1"/>
  <c r="Q803" i="92"/>
  <c r="Q804" i="92"/>
  <c r="Q805" i="92"/>
  <c r="Q806" i="92"/>
  <c r="Z806" i="92" s="1"/>
  <c r="Q807" i="92"/>
  <c r="Q808" i="92"/>
  <c r="Q809" i="92"/>
  <c r="Q810" i="92"/>
  <c r="Z810" i="92" s="1"/>
  <c r="Q811" i="92"/>
  <c r="Q812" i="92"/>
  <c r="Q813" i="92"/>
  <c r="Q814" i="92"/>
  <c r="Z814" i="92" s="1"/>
  <c r="Q815" i="92"/>
  <c r="Q816" i="92"/>
  <c r="Q817" i="92"/>
  <c r="Q818" i="92"/>
  <c r="Z818" i="92" s="1"/>
  <c r="Q819" i="92"/>
  <c r="Q820" i="92"/>
  <c r="Q821" i="92"/>
  <c r="Q822" i="92"/>
  <c r="Z822" i="92" s="1"/>
  <c r="Q823" i="92"/>
  <c r="Q824" i="92"/>
  <c r="Y824" i="92" s="1"/>
  <c r="Q825" i="92"/>
  <c r="Q826" i="92"/>
  <c r="Z826" i="92" s="1"/>
  <c r="Q827" i="92"/>
  <c r="Q828" i="92"/>
  <c r="Q829" i="92"/>
  <c r="Q830" i="92"/>
  <c r="Z830" i="92" s="1"/>
  <c r="Q831" i="92"/>
  <c r="Q832" i="92"/>
  <c r="Q833" i="92"/>
  <c r="Q834" i="92"/>
  <c r="Z834" i="92" s="1"/>
  <c r="Q835" i="92"/>
  <c r="Q836" i="92"/>
  <c r="Q837" i="92"/>
  <c r="Q838" i="92"/>
  <c r="Z838" i="92" s="1"/>
  <c r="Q839" i="92"/>
  <c r="Q840" i="92"/>
  <c r="Q841" i="92"/>
  <c r="Q842" i="92"/>
  <c r="Z842" i="92" s="1"/>
  <c r="Q843" i="92"/>
  <c r="Q844" i="92"/>
  <c r="Q845" i="92"/>
  <c r="Q846" i="92"/>
  <c r="Z846" i="92" s="1"/>
  <c r="Q847" i="92"/>
  <c r="Q848" i="92"/>
  <c r="Q849" i="92"/>
  <c r="Q850" i="92"/>
  <c r="Z850" i="92" s="1"/>
  <c r="Q851" i="92"/>
  <c r="Q852" i="92"/>
  <c r="Q853" i="92"/>
  <c r="Q854" i="92"/>
  <c r="Z854" i="92" s="1"/>
  <c r="Q855" i="92"/>
  <c r="Q856" i="92"/>
  <c r="Q857" i="92"/>
  <c r="Q858" i="92"/>
  <c r="Z858" i="92" s="1"/>
  <c r="Q859" i="92"/>
  <c r="Q860" i="92"/>
  <c r="Q861" i="92"/>
  <c r="Q862" i="92"/>
  <c r="Z862" i="92" s="1"/>
  <c r="Q863" i="92"/>
  <c r="Q864" i="92"/>
  <c r="Q865" i="92"/>
  <c r="Q866" i="92"/>
  <c r="Z866" i="92" s="1"/>
  <c r="Q867" i="92"/>
  <c r="Q868" i="92"/>
  <c r="Q869" i="92"/>
  <c r="Q870" i="92"/>
  <c r="Z870" i="92" s="1"/>
  <c r="Q871" i="92"/>
  <c r="Q872" i="92"/>
  <c r="Y872" i="92" s="1"/>
  <c r="Q873" i="92"/>
  <c r="Q874" i="92"/>
  <c r="Z874" i="92" s="1"/>
  <c r="Q875" i="92"/>
  <c r="Q876" i="92"/>
  <c r="Q877" i="92"/>
  <c r="Q878" i="92"/>
  <c r="Z878" i="92" s="1"/>
  <c r="Q879" i="92"/>
  <c r="Q880" i="92"/>
  <c r="Q881" i="92"/>
  <c r="Q882" i="92"/>
  <c r="Z882" i="92" s="1"/>
  <c r="Q883" i="92"/>
  <c r="Q884" i="92"/>
  <c r="Q885" i="92"/>
  <c r="Q886" i="92"/>
  <c r="Z886" i="92" s="1"/>
  <c r="Q887" i="92"/>
  <c r="Q888" i="92"/>
  <c r="Q889" i="92"/>
  <c r="Q890" i="92"/>
  <c r="Z890" i="92" s="1"/>
  <c r="Q891" i="92"/>
  <c r="Q892" i="92"/>
  <c r="Q893" i="92"/>
  <c r="Q894" i="92"/>
  <c r="Z894" i="92" s="1"/>
  <c r="Q895" i="92"/>
  <c r="Q896" i="92"/>
  <c r="Q897" i="92"/>
  <c r="Q898" i="92"/>
  <c r="Z898" i="92" s="1"/>
  <c r="Q899" i="92"/>
  <c r="Q900" i="92"/>
  <c r="Q901" i="92"/>
  <c r="Q902" i="92"/>
  <c r="Z902" i="92" s="1"/>
  <c r="Q903" i="92"/>
  <c r="Q904" i="92"/>
  <c r="Q905" i="92"/>
  <c r="Q906" i="92"/>
  <c r="Z906" i="92" s="1"/>
  <c r="Q907" i="92"/>
  <c r="Q908" i="92"/>
  <c r="Q909" i="92"/>
  <c r="Q910" i="92"/>
  <c r="Z910" i="92" s="1"/>
  <c r="Q911" i="92"/>
  <c r="Q912" i="92"/>
  <c r="Q913" i="92"/>
  <c r="Q914" i="92"/>
  <c r="Z914" i="92" s="1"/>
  <c r="Q915" i="92"/>
  <c r="Q916" i="92"/>
  <c r="Q917" i="92"/>
  <c r="Q918" i="92"/>
  <c r="Z918" i="92" s="1"/>
  <c r="Q919" i="92"/>
  <c r="Q920" i="92"/>
  <c r="Q921" i="92"/>
  <c r="Q922" i="92"/>
  <c r="Z922" i="92" s="1"/>
  <c r="Q923" i="92"/>
  <c r="Q924" i="92"/>
  <c r="Q925" i="92"/>
  <c r="Q926" i="92"/>
  <c r="Z926" i="92" s="1"/>
  <c r="Q927" i="92"/>
  <c r="Q928" i="92"/>
  <c r="Q929" i="92"/>
  <c r="Q930" i="92"/>
  <c r="Z930" i="92" s="1"/>
  <c r="Q931" i="92"/>
  <c r="Q932" i="92"/>
  <c r="Q933" i="92"/>
  <c r="Q934" i="92"/>
  <c r="Z934" i="92" s="1"/>
  <c r="Q935" i="92"/>
  <c r="Q936" i="92"/>
  <c r="Q937" i="92"/>
  <c r="Q938" i="92"/>
  <c r="Z938" i="92" s="1"/>
  <c r="Q939" i="92"/>
  <c r="Q940" i="92"/>
  <c r="Q941" i="92"/>
  <c r="Q942" i="92"/>
  <c r="Z942" i="92" s="1"/>
  <c r="Q943" i="92"/>
  <c r="Q944" i="92"/>
  <c r="Q945" i="92"/>
  <c r="Q946" i="92"/>
  <c r="Z946" i="92" s="1"/>
  <c r="Q947" i="92"/>
  <c r="Q948" i="92"/>
  <c r="Q949" i="92"/>
  <c r="Q950" i="92"/>
  <c r="Z950" i="92" s="1"/>
  <c r="Q951" i="92"/>
  <c r="Q952" i="92"/>
  <c r="Q953" i="92"/>
  <c r="Q954" i="92"/>
  <c r="Z954" i="92" s="1"/>
  <c r="Q955" i="92"/>
  <c r="Q956" i="92"/>
  <c r="Q957" i="92"/>
  <c r="Q958" i="92"/>
  <c r="Z958" i="92" s="1"/>
  <c r="Q959" i="92"/>
  <c r="Q960" i="92"/>
  <c r="Q961" i="92"/>
  <c r="Q962" i="92"/>
  <c r="Z962" i="92" s="1"/>
  <c r="Q963" i="92"/>
  <c r="Q964" i="92"/>
  <c r="Q965" i="92"/>
  <c r="Q966" i="92"/>
  <c r="Z966" i="92" s="1"/>
  <c r="Q967" i="92"/>
  <c r="Q968" i="92"/>
  <c r="Q969" i="92"/>
  <c r="Q970" i="92"/>
  <c r="Z970" i="92" s="1"/>
  <c r="Q971" i="92"/>
  <c r="Q972" i="92"/>
  <c r="Q973" i="92"/>
  <c r="Q974" i="92"/>
  <c r="Z974" i="92" s="1"/>
  <c r="Q975" i="92"/>
  <c r="Q976" i="92"/>
  <c r="Q977" i="92"/>
  <c r="Q978" i="92"/>
  <c r="Z978" i="92" s="1"/>
  <c r="Q979" i="92"/>
  <c r="Q980" i="92"/>
  <c r="Q981" i="92"/>
  <c r="Q982" i="92"/>
  <c r="Z982" i="92" s="1"/>
  <c r="Q983" i="92"/>
  <c r="Q984" i="92"/>
  <c r="Q985" i="92"/>
  <c r="Q986" i="92"/>
  <c r="Z986" i="92" s="1"/>
  <c r="Q987" i="92"/>
  <c r="Q988" i="92"/>
  <c r="Q989" i="92"/>
  <c r="Q990" i="92"/>
  <c r="Z990" i="92" s="1"/>
  <c r="Q991" i="92"/>
  <c r="Q992" i="92"/>
  <c r="Q993" i="92"/>
  <c r="Q994" i="92"/>
  <c r="Z994" i="92" s="1"/>
  <c r="Q995" i="92"/>
  <c r="Q996" i="92"/>
  <c r="Q997" i="92"/>
  <c r="Q998" i="92"/>
  <c r="Z998" i="92" s="1"/>
  <c r="Q999" i="92"/>
  <c r="Q1000" i="92"/>
  <c r="Q1001" i="92"/>
  <c r="Q1002" i="92"/>
  <c r="Z1002" i="92" s="1"/>
  <c r="Q1003" i="92"/>
  <c r="Q1004" i="92"/>
  <c r="Q1005" i="92"/>
  <c r="Q1006" i="92"/>
  <c r="Z1006" i="92" s="1"/>
  <c r="Q1007" i="92"/>
  <c r="Q1008" i="92"/>
  <c r="Q1009" i="92"/>
  <c r="Q1010" i="92"/>
  <c r="Z1010" i="92" s="1"/>
  <c r="Q1011" i="92"/>
  <c r="Q1012" i="92"/>
  <c r="Q1013" i="92"/>
  <c r="Q1014" i="92"/>
  <c r="Z1014" i="92" s="1"/>
  <c r="Q1015" i="92"/>
  <c r="Q1016" i="92"/>
  <c r="Q1017" i="92"/>
  <c r="Q1018" i="92"/>
  <c r="Z1018" i="92" s="1"/>
  <c r="Q1019" i="92"/>
  <c r="Q1020" i="92"/>
  <c r="Q1021" i="92"/>
  <c r="Q1022" i="92"/>
  <c r="Z1022" i="92" s="1"/>
  <c r="Q1023" i="92"/>
  <c r="Q1024" i="92"/>
  <c r="Q1025" i="92"/>
  <c r="Q1026" i="92"/>
  <c r="Z1026" i="92" s="1"/>
  <c r="Q1027" i="92"/>
  <c r="Q1028" i="92"/>
  <c r="Q1029" i="92"/>
  <c r="Q1030" i="92"/>
  <c r="Z1030" i="92" s="1"/>
  <c r="Q1031" i="92"/>
  <c r="Q1032" i="92"/>
  <c r="Q1033" i="92"/>
  <c r="Q1034" i="92"/>
  <c r="Z1034" i="92" s="1"/>
  <c r="Q1035" i="92"/>
  <c r="Q1036" i="92"/>
  <c r="Q1037" i="92"/>
  <c r="Q1038" i="92"/>
  <c r="Z1038" i="92" s="1"/>
  <c r="Q1039" i="92"/>
  <c r="Q1040" i="92"/>
  <c r="Q1041" i="92"/>
  <c r="Q1042" i="92"/>
  <c r="Z1042" i="92" s="1"/>
  <c r="Q1043" i="92"/>
  <c r="Q1044" i="92"/>
  <c r="Q1045" i="92"/>
  <c r="Q1046" i="92"/>
  <c r="Z1046" i="92" s="1"/>
  <c r="Q1047" i="92"/>
  <c r="Q1048" i="92"/>
  <c r="Q1049" i="92"/>
  <c r="Q1050" i="92"/>
  <c r="Z1050" i="92" s="1"/>
  <c r="Q1051" i="92"/>
  <c r="Q1052" i="92"/>
  <c r="Q1053" i="92"/>
  <c r="Q1054" i="92"/>
  <c r="Z1054" i="92" s="1"/>
  <c r="Q1055" i="92"/>
  <c r="Q1056" i="92"/>
  <c r="Q1057" i="92"/>
  <c r="Q1058" i="92"/>
  <c r="Z1058" i="92" s="1"/>
  <c r="Q1059" i="92"/>
  <c r="Q1060" i="92"/>
  <c r="Q1061" i="92"/>
  <c r="Q1062" i="92"/>
  <c r="Z1062" i="92" s="1"/>
  <c r="Q1063" i="92"/>
  <c r="Q1064" i="92"/>
  <c r="Q1065" i="92"/>
  <c r="Q1066" i="92"/>
  <c r="Z1066" i="92" s="1"/>
  <c r="Q1067" i="92"/>
  <c r="Q1068" i="92"/>
  <c r="Q1069" i="92"/>
  <c r="Q1070" i="92"/>
  <c r="Z1070" i="92" s="1"/>
  <c r="Q1071" i="92"/>
  <c r="Q1072" i="92"/>
  <c r="Q1073" i="92"/>
  <c r="Q1074" i="92"/>
  <c r="Z1074" i="92" s="1"/>
  <c r="Q1075" i="92"/>
  <c r="Q1076" i="92"/>
  <c r="Q1077" i="92"/>
  <c r="Q1078" i="92"/>
  <c r="Z1078" i="92" s="1"/>
  <c r="Q1079" i="92"/>
  <c r="W118" i="92"/>
  <c r="W81" i="92"/>
  <c r="W82" i="92"/>
  <c r="W83" i="92"/>
  <c r="W85" i="92"/>
  <c r="W86" i="92"/>
  <c r="W88" i="92"/>
  <c r="W89" i="92"/>
  <c r="W90" i="92"/>
  <c r="W91" i="92"/>
  <c r="W93" i="92"/>
  <c r="W94" i="92"/>
  <c r="W95" i="92"/>
  <c r="W97" i="92"/>
  <c r="W98" i="92"/>
  <c r="W99" i="92"/>
  <c r="W100" i="92"/>
  <c r="W101" i="92"/>
  <c r="W102" i="92"/>
  <c r="W103" i="92"/>
  <c r="W105" i="92"/>
  <c r="W106" i="92"/>
  <c r="W107" i="92"/>
  <c r="W109" i="92"/>
  <c r="W110" i="92"/>
  <c r="W112" i="92"/>
  <c r="W113" i="92"/>
  <c r="W114" i="92"/>
  <c r="W115" i="92"/>
  <c r="W117" i="92"/>
  <c r="W119" i="92"/>
  <c r="W121" i="92"/>
  <c r="W122" i="92"/>
  <c r="W124" i="92"/>
  <c r="W125" i="92"/>
  <c r="W126" i="92"/>
  <c r="W127" i="92"/>
  <c r="W129" i="92"/>
  <c r="W130" i="92"/>
  <c r="W131" i="92"/>
  <c r="W133" i="92"/>
  <c r="W134" i="92"/>
  <c r="W136" i="92"/>
  <c r="W137" i="92"/>
  <c r="W138" i="92"/>
  <c r="W139" i="92"/>
  <c r="W141" i="92"/>
  <c r="W142" i="92"/>
  <c r="W143" i="92"/>
  <c r="W145" i="92"/>
  <c r="W146" i="92"/>
  <c r="W147" i="92"/>
  <c r="W148" i="92"/>
  <c r="W149" i="92"/>
  <c r="W150" i="92"/>
  <c r="W151" i="92"/>
  <c r="W153" i="92"/>
  <c r="W154" i="92"/>
  <c r="W155" i="92"/>
  <c r="W157" i="92"/>
  <c r="W158" i="92"/>
  <c r="W160" i="92"/>
  <c r="W161" i="92"/>
  <c r="W162" i="92"/>
  <c r="W163" i="92"/>
  <c r="W165" i="92"/>
  <c r="W166" i="92"/>
  <c r="W167" i="92"/>
  <c r="W169" i="92"/>
  <c r="W170" i="92"/>
  <c r="W172" i="92"/>
  <c r="W173" i="92"/>
  <c r="W174" i="92"/>
  <c r="W175" i="92"/>
  <c r="W177" i="92"/>
  <c r="W178" i="92"/>
  <c r="W179" i="92"/>
  <c r="W180" i="92"/>
  <c r="W181" i="92"/>
  <c r="W182" i="92"/>
  <c r="W184" i="92"/>
  <c r="W185" i="92"/>
  <c r="W186" i="92"/>
  <c r="W187" i="92"/>
  <c r="W189" i="92"/>
  <c r="W190" i="92"/>
  <c r="W191" i="92"/>
  <c r="W192" i="92"/>
  <c r="W193" i="92"/>
  <c r="W194" i="92"/>
  <c r="W196" i="92"/>
  <c r="W197" i="92"/>
  <c r="W198" i="92"/>
  <c r="W199" i="92"/>
  <c r="W201" i="92"/>
  <c r="W202" i="92"/>
  <c r="W203" i="92"/>
  <c r="W205" i="92"/>
  <c r="W206" i="92"/>
  <c r="W208" i="92"/>
  <c r="W209" i="92"/>
  <c r="W210" i="92"/>
  <c r="W211" i="92"/>
  <c r="W213" i="92"/>
  <c r="W214" i="92"/>
  <c r="W215" i="92"/>
  <c r="W216" i="92"/>
  <c r="W217" i="92"/>
  <c r="W218" i="92"/>
  <c r="W220" i="92"/>
  <c r="W221" i="92"/>
  <c r="W222" i="92"/>
  <c r="W223" i="92"/>
  <c r="W225" i="92"/>
  <c r="W226" i="92"/>
  <c r="W227" i="92"/>
  <c r="W229" i="92"/>
  <c r="W230" i="92"/>
  <c r="W231" i="92"/>
  <c r="W232" i="92"/>
  <c r="W233" i="92"/>
  <c r="W234" i="92"/>
  <c r="W235" i="92"/>
  <c r="W237" i="92"/>
  <c r="W238" i="92"/>
  <c r="W239" i="92"/>
  <c r="W241" i="92"/>
  <c r="W242" i="92"/>
  <c r="W244" i="92"/>
  <c r="W245" i="92"/>
  <c r="W246" i="92"/>
  <c r="W247" i="92"/>
  <c r="W249" i="92"/>
  <c r="W250" i="92"/>
  <c r="W251" i="92"/>
  <c r="W252" i="92"/>
  <c r="W253" i="92"/>
  <c r="W254" i="92"/>
  <c r="W255" i="92"/>
  <c r="W256" i="92"/>
  <c r="W257" i="92"/>
  <c r="W258" i="92"/>
  <c r="W259" i="92"/>
  <c r="W261" i="92"/>
  <c r="W262" i="92"/>
  <c r="W263" i="92"/>
  <c r="W265" i="92"/>
  <c r="W266" i="92"/>
  <c r="W268" i="92"/>
  <c r="W269" i="92"/>
  <c r="W270" i="92"/>
  <c r="W271" i="92"/>
  <c r="W273" i="92"/>
  <c r="W274" i="92"/>
  <c r="W275" i="92"/>
  <c r="W277" i="92"/>
  <c r="W278" i="92"/>
  <c r="W280" i="92"/>
  <c r="W281" i="92"/>
  <c r="W282" i="92"/>
  <c r="W283" i="92"/>
  <c r="W285" i="92"/>
  <c r="W286" i="92"/>
  <c r="W287" i="92"/>
  <c r="W289" i="92"/>
  <c r="W290" i="92"/>
  <c r="W291" i="92"/>
  <c r="W292" i="92"/>
  <c r="W293" i="92"/>
  <c r="W294" i="92"/>
  <c r="W295" i="92"/>
  <c r="W297" i="92"/>
  <c r="W298" i="92"/>
  <c r="W299" i="92"/>
  <c r="W301" i="92"/>
  <c r="W302" i="92"/>
  <c r="W304" i="92"/>
  <c r="W305" i="92"/>
  <c r="W306" i="92"/>
  <c r="W307" i="92"/>
  <c r="W309" i="92"/>
  <c r="W310" i="92"/>
  <c r="W311" i="92"/>
  <c r="W313" i="92"/>
  <c r="W314" i="92"/>
  <c r="W316" i="92"/>
  <c r="W317" i="92"/>
  <c r="W318" i="92"/>
  <c r="W319" i="92"/>
  <c r="W321" i="92"/>
  <c r="W322" i="92"/>
  <c r="W323" i="92"/>
  <c r="W324" i="92"/>
  <c r="W325" i="92"/>
  <c r="W326" i="92"/>
  <c r="W328" i="92"/>
  <c r="W329" i="92"/>
  <c r="W330" i="92"/>
  <c r="W331" i="92"/>
  <c r="W333" i="92"/>
  <c r="W334" i="92"/>
  <c r="W335" i="92"/>
  <c r="W336" i="92"/>
  <c r="W337" i="92"/>
  <c r="W338" i="92"/>
  <c r="W340" i="92"/>
  <c r="W342" i="92"/>
  <c r="W343" i="92"/>
  <c r="W345" i="92"/>
  <c r="W346" i="92"/>
  <c r="W347" i="92"/>
  <c r="W349" i="92"/>
  <c r="W350" i="92"/>
  <c r="W352" i="92"/>
  <c r="W354" i="92"/>
  <c r="W355" i="92"/>
  <c r="W357" i="92"/>
  <c r="W358" i="92"/>
  <c r="W359" i="92"/>
  <c r="W360" i="92"/>
  <c r="W361" i="92"/>
  <c r="W362" i="92"/>
  <c r="W364" i="92"/>
  <c r="W366" i="92"/>
  <c r="W367" i="92"/>
  <c r="W369" i="92"/>
  <c r="W370" i="92"/>
  <c r="W371" i="92"/>
  <c r="W373" i="92"/>
  <c r="W374" i="92"/>
  <c r="W375" i="92"/>
  <c r="W376" i="92"/>
  <c r="W378" i="92"/>
  <c r="W379" i="92"/>
  <c r="W381" i="92"/>
  <c r="W382" i="92"/>
  <c r="W383" i="92"/>
  <c r="W385" i="92"/>
  <c r="W386" i="92"/>
  <c r="W388" i="92"/>
  <c r="W390" i="92"/>
  <c r="W391" i="92"/>
  <c r="W393" i="92"/>
  <c r="W394" i="92"/>
  <c r="W395" i="92"/>
  <c r="W396" i="92"/>
  <c r="W397" i="92"/>
  <c r="W398" i="92"/>
  <c r="W399" i="92"/>
  <c r="W400" i="92"/>
  <c r="W401" i="92"/>
  <c r="W402" i="92"/>
  <c r="W403" i="92"/>
  <c r="W405" i="92"/>
  <c r="W406" i="92"/>
  <c r="W407" i="92"/>
  <c r="W409" i="92"/>
  <c r="W410" i="92"/>
  <c r="W412" i="92"/>
  <c r="W414" i="92"/>
  <c r="W415" i="92"/>
  <c r="W417" i="92"/>
  <c r="W418" i="92"/>
  <c r="W419" i="92"/>
  <c r="W421" i="92"/>
  <c r="W422" i="92"/>
  <c r="W424" i="92"/>
  <c r="W426" i="92"/>
  <c r="W427" i="92"/>
  <c r="W429" i="92"/>
  <c r="W430" i="92"/>
  <c r="W431" i="92"/>
  <c r="W432" i="92"/>
  <c r="W433" i="92"/>
  <c r="W434" i="92"/>
  <c r="W435" i="92"/>
  <c r="W436" i="92"/>
  <c r="W438" i="92"/>
  <c r="W439" i="92"/>
  <c r="W441" i="92"/>
  <c r="W442" i="92"/>
  <c r="W443" i="92"/>
  <c r="W445" i="92"/>
  <c r="W446" i="92"/>
  <c r="W448" i="92"/>
  <c r="W450" i="92"/>
  <c r="W451" i="92"/>
  <c r="W453" i="92"/>
  <c r="W454" i="92"/>
  <c r="W455" i="92"/>
  <c r="W457" i="92"/>
  <c r="W458" i="92"/>
  <c r="W460" i="92"/>
  <c r="W462" i="92"/>
  <c r="W463" i="92"/>
  <c r="W465" i="92"/>
  <c r="W466" i="92"/>
  <c r="W467" i="92"/>
  <c r="W468" i="92"/>
  <c r="W469" i="92"/>
  <c r="W470" i="92"/>
  <c r="W472" i="92"/>
  <c r="W474" i="92"/>
  <c r="W475" i="92"/>
  <c r="W477" i="92"/>
  <c r="W478" i="92"/>
  <c r="W479" i="92"/>
  <c r="W480" i="92"/>
  <c r="W481" i="92"/>
  <c r="W482" i="92"/>
  <c r="W484" i="92"/>
  <c r="W486" i="92"/>
  <c r="W487" i="92"/>
  <c r="W489" i="92"/>
  <c r="W490" i="92"/>
  <c r="W491" i="92"/>
  <c r="W493" i="92"/>
  <c r="W494" i="92"/>
  <c r="W496" i="92"/>
  <c r="W498" i="92"/>
  <c r="W499" i="92"/>
  <c r="W501" i="92"/>
  <c r="W502" i="92"/>
  <c r="W503" i="92"/>
  <c r="W504" i="92"/>
  <c r="W505" i="92"/>
  <c r="W506" i="92"/>
  <c r="W508" i="92"/>
  <c r="W510" i="92"/>
  <c r="W511" i="92"/>
  <c r="W513" i="92"/>
  <c r="W514" i="92"/>
  <c r="W515" i="92"/>
  <c r="W517" i="92"/>
  <c r="W518" i="92"/>
  <c r="W519" i="92"/>
  <c r="W520" i="92"/>
  <c r="W522" i="92"/>
  <c r="W523" i="92"/>
  <c r="W525" i="92"/>
  <c r="W526" i="92"/>
  <c r="W527" i="92"/>
  <c r="W529" i="92"/>
  <c r="W530" i="92"/>
  <c r="W532" i="92"/>
  <c r="W534" i="92"/>
  <c r="W535" i="92"/>
  <c r="W537" i="92"/>
  <c r="W538" i="92"/>
  <c r="W539" i="92"/>
  <c r="W540" i="92"/>
  <c r="W541" i="92"/>
  <c r="W542" i="92"/>
  <c r="W543" i="92"/>
  <c r="W544" i="92"/>
  <c r="W545" i="92"/>
  <c r="W546" i="92"/>
  <c r="W547" i="92"/>
  <c r="W549" i="92"/>
  <c r="W550" i="92"/>
  <c r="W551" i="92"/>
  <c r="W553" i="92"/>
  <c r="W554" i="92"/>
  <c r="W556" i="92"/>
  <c r="W558" i="92"/>
  <c r="W559" i="92"/>
  <c r="W561" i="92"/>
  <c r="W562" i="92"/>
  <c r="W563" i="92"/>
  <c r="W565" i="92"/>
  <c r="W566" i="92"/>
  <c r="W568" i="92"/>
  <c r="W570" i="92"/>
  <c r="W571" i="92"/>
  <c r="W573" i="92"/>
  <c r="W574" i="92"/>
  <c r="W575" i="92"/>
  <c r="W576" i="92"/>
  <c r="W577" i="92"/>
  <c r="W578" i="92"/>
  <c r="W579" i="92"/>
  <c r="W580" i="92"/>
  <c r="W582" i="92"/>
  <c r="W583" i="92"/>
  <c r="W585" i="92"/>
  <c r="W586" i="92"/>
  <c r="W587" i="92"/>
  <c r="W589" i="92"/>
  <c r="W590" i="92"/>
  <c r="W592" i="92"/>
  <c r="W594" i="92"/>
  <c r="W595" i="92"/>
  <c r="W597" i="92"/>
  <c r="W598" i="92"/>
  <c r="W599" i="92"/>
  <c r="W601" i="92"/>
  <c r="W602" i="92"/>
  <c r="W604" i="92"/>
  <c r="W606" i="92"/>
  <c r="W607" i="92"/>
  <c r="W609" i="92"/>
  <c r="W610" i="92"/>
  <c r="W611" i="92"/>
  <c r="W612" i="92"/>
  <c r="W613" i="92"/>
  <c r="W614" i="92"/>
  <c r="W616" i="92"/>
  <c r="W618" i="92"/>
  <c r="W619" i="92"/>
  <c r="W621" i="92"/>
  <c r="W622" i="92"/>
  <c r="W623" i="92"/>
  <c r="W624" i="92"/>
  <c r="W625" i="92"/>
  <c r="W626" i="92"/>
  <c r="W628" i="92"/>
  <c r="W630" i="92"/>
  <c r="W631" i="92"/>
  <c r="W633" i="92"/>
  <c r="W634" i="92"/>
  <c r="W635" i="92"/>
  <c r="W637" i="92"/>
  <c r="W638" i="92"/>
  <c r="W640" i="92"/>
  <c r="W642" i="92"/>
  <c r="W643" i="92"/>
  <c r="W645" i="92"/>
  <c r="W646" i="92"/>
  <c r="W647" i="92"/>
  <c r="W648" i="92"/>
  <c r="W649" i="92"/>
  <c r="W650" i="92"/>
  <c r="W652" i="92"/>
  <c r="W654" i="92"/>
  <c r="W655" i="92"/>
  <c r="W657" i="92"/>
  <c r="W658" i="92"/>
  <c r="W659" i="92"/>
  <c r="W661" i="92"/>
  <c r="W662" i="92"/>
  <c r="W663" i="92"/>
  <c r="W664" i="92"/>
  <c r="W666" i="92"/>
  <c r="W667" i="92"/>
  <c r="W669" i="92"/>
  <c r="W670" i="92"/>
  <c r="W671" i="92"/>
  <c r="W673" i="92"/>
  <c r="W674" i="92"/>
  <c r="W676" i="92"/>
  <c r="W678" i="92"/>
  <c r="W679" i="92"/>
  <c r="W681" i="92"/>
  <c r="W682" i="92"/>
  <c r="W683" i="92"/>
  <c r="W684" i="92"/>
  <c r="W685" i="92"/>
  <c r="W686" i="92"/>
  <c r="W687" i="92"/>
  <c r="W688" i="92"/>
  <c r="W689" i="92"/>
  <c r="W690" i="92"/>
  <c r="W691" i="92"/>
  <c r="W693" i="92"/>
  <c r="W694" i="92"/>
  <c r="W695" i="92"/>
  <c r="W697" i="92"/>
  <c r="W698" i="92"/>
  <c r="W700" i="92"/>
  <c r="W702" i="92"/>
  <c r="W703" i="92"/>
  <c r="W705" i="92"/>
  <c r="W706" i="92"/>
  <c r="W707" i="92"/>
  <c r="W709" i="92"/>
  <c r="W710" i="92"/>
  <c r="W712" i="92"/>
  <c r="W714" i="92"/>
  <c r="W715" i="92"/>
  <c r="W717" i="92"/>
  <c r="W718" i="92"/>
  <c r="W719" i="92"/>
  <c r="W720" i="92"/>
  <c r="W721" i="92"/>
  <c r="W722" i="92"/>
  <c r="W723" i="92"/>
  <c r="W724" i="92"/>
  <c r="W726" i="92"/>
  <c r="W727" i="92"/>
  <c r="W729" i="92"/>
  <c r="W730" i="92"/>
  <c r="W731" i="92"/>
  <c r="W733" i="92"/>
  <c r="W734" i="92"/>
  <c r="W736" i="92"/>
  <c r="W738" i="92"/>
  <c r="W739" i="92"/>
  <c r="W741" i="92"/>
  <c r="W742" i="92"/>
  <c r="W743" i="92"/>
  <c r="W745" i="92"/>
  <c r="W746" i="92"/>
  <c r="W748" i="92"/>
  <c r="W750" i="92"/>
  <c r="W751" i="92"/>
  <c r="W753" i="92"/>
  <c r="W754" i="92"/>
  <c r="W755" i="92"/>
  <c r="W756" i="92"/>
  <c r="W757" i="92"/>
  <c r="W758" i="92"/>
  <c r="W760" i="92"/>
  <c r="W762" i="92"/>
  <c r="W763" i="92"/>
  <c r="W765" i="92"/>
  <c r="W766" i="92"/>
  <c r="W767" i="92"/>
  <c r="W768" i="92"/>
  <c r="W769" i="92"/>
  <c r="W770" i="92"/>
  <c r="W772" i="92"/>
  <c r="W774" i="92"/>
  <c r="W775" i="92"/>
  <c r="W777" i="92"/>
  <c r="W778" i="92"/>
  <c r="W779" i="92"/>
  <c r="W781" i="92"/>
  <c r="W782" i="92"/>
  <c r="W784" i="92"/>
  <c r="W786" i="92"/>
  <c r="W787" i="92"/>
  <c r="W789" i="92"/>
  <c r="W790" i="92"/>
  <c r="W791" i="92"/>
  <c r="W792" i="92"/>
  <c r="W793" i="92"/>
  <c r="W794" i="92"/>
  <c r="W796" i="92"/>
  <c r="W798" i="92"/>
  <c r="W799" i="92"/>
  <c r="W801" i="92"/>
  <c r="W802" i="92"/>
  <c r="W803" i="92"/>
  <c r="W805" i="92"/>
  <c r="W806" i="92"/>
  <c r="W807" i="92"/>
  <c r="W808" i="92"/>
  <c r="W810" i="92"/>
  <c r="W811" i="92"/>
  <c r="W813" i="92"/>
  <c r="W814" i="92"/>
  <c r="W815" i="92"/>
  <c r="W817" i="92"/>
  <c r="W818" i="92"/>
  <c r="W820" i="92"/>
  <c r="W822" i="92"/>
  <c r="W823" i="92"/>
  <c r="W825" i="92"/>
  <c r="W826" i="92"/>
  <c r="W827" i="92"/>
  <c r="W828" i="92"/>
  <c r="W829" i="92"/>
  <c r="W830" i="92"/>
  <c r="W831" i="92"/>
  <c r="W832" i="92"/>
  <c r="W833" i="92"/>
  <c r="W834" i="92"/>
  <c r="W835" i="92"/>
  <c r="W837" i="92"/>
  <c r="W838" i="92"/>
  <c r="W839" i="92"/>
  <c r="W841" i="92"/>
  <c r="W842" i="92"/>
  <c r="W844" i="92"/>
  <c r="W846" i="92"/>
  <c r="W847" i="92"/>
  <c r="W849" i="92"/>
  <c r="W850" i="92"/>
  <c r="W851" i="92"/>
  <c r="W853" i="92"/>
  <c r="W854" i="92"/>
  <c r="W856" i="92"/>
  <c r="W858" i="92"/>
  <c r="W859" i="92"/>
  <c r="W861" i="92"/>
  <c r="W862" i="92"/>
  <c r="W863" i="92"/>
  <c r="W864" i="92"/>
  <c r="W865" i="92"/>
  <c r="W866" i="92"/>
  <c r="W867" i="92"/>
  <c r="W868" i="92"/>
  <c r="W870" i="92"/>
  <c r="W871" i="92"/>
  <c r="W873" i="92"/>
  <c r="W874" i="92"/>
  <c r="W875" i="92"/>
  <c r="W877" i="92"/>
  <c r="W878" i="92"/>
  <c r="W880" i="92"/>
  <c r="W882" i="92"/>
  <c r="W883" i="92"/>
  <c r="W885" i="92"/>
  <c r="W886" i="92"/>
  <c r="W887" i="92"/>
  <c r="W889" i="92"/>
  <c r="W890" i="92"/>
  <c r="W892" i="92"/>
  <c r="W894" i="92"/>
  <c r="W895" i="92"/>
  <c r="W897" i="92"/>
  <c r="W898" i="92"/>
  <c r="W899" i="92"/>
  <c r="W900" i="92"/>
  <c r="W901" i="92"/>
  <c r="W902" i="92"/>
  <c r="W904" i="92"/>
  <c r="W906" i="92"/>
  <c r="W907" i="92"/>
  <c r="W909" i="92"/>
  <c r="W910" i="92"/>
  <c r="W911" i="92"/>
  <c r="W912" i="92"/>
  <c r="W913" i="92"/>
  <c r="W914" i="92"/>
  <c r="W916" i="92"/>
  <c r="W918" i="92"/>
  <c r="W919" i="92"/>
  <c r="W921" i="92"/>
  <c r="W922" i="92"/>
  <c r="W923" i="92"/>
  <c r="W925" i="92"/>
  <c r="W926" i="92"/>
  <c r="W928" i="92"/>
  <c r="W930" i="92"/>
  <c r="W931" i="92"/>
  <c r="W933" i="92"/>
  <c r="W934" i="92"/>
  <c r="W935" i="92"/>
  <c r="W936" i="92"/>
  <c r="W937" i="92"/>
  <c r="W938" i="92"/>
  <c r="W940" i="92"/>
  <c r="W942" i="92"/>
  <c r="W943" i="92"/>
  <c r="W945" i="92"/>
  <c r="W946" i="92"/>
  <c r="W947" i="92"/>
  <c r="W949" i="92"/>
  <c r="W950" i="92"/>
  <c r="W951" i="92"/>
  <c r="W952" i="92"/>
  <c r="W954" i="92"/>
  <c r="W955" i="92"/>
  <c r="W957" i="92"/>
  <c r="W958" i="92"/>
  <c r="W959" i="92"/>
  <c r="W961" i="92"/>
  <c r="W962" i="92"/>
  <c r="W964" i="92"/>
  <c r="W966" i="92"/>
  <c r="W967" i="92"/>
  <c r="W969" i="92"/>
  <c r="W970" i="92"/>
  <c r="W971" i="92"/>
  <c r="W972" i="92"/>
  <c r="W973" i="92"/>
  <c r="W974" i="92"/>
  <c r="W975" i="92"/>
  <c r="W976" i="92"/>
  <c r="W977" i="92"/>
  <c r="W978" i="92"/>
  <c r="W979" i="92"/>
  <c r="W981" i="92"/>
  <c r="W982" i="92"/>
  <c r="W983" i="92"/>
  <c r="W985" i="92"/>
  <c r="W986" i="92"/>
  <c r="W988" i="92"/>
  <c r="W990" i="92"/>
  <c r="W991" i="92"/>
  <c r="W993" i="92"/>
  <c r="W994" i="92"/>
  <c r="W995" i="92"/>
  <c r="W997" i="92"/>
  <c r="W998" i="92"/>
  <c r="W1000" i="92"/>
  <c r="W1002" i="92"/>
  <c r="W1003" i="92"/>
  <c r="W1005" i="92"/>
  <c r="W1006" i="92"/>
  <c r="W1007" i="92"/>
  <c r="W1008" i="92"/>
  <c r="W1009" i="92"/>
  <c r="W1010" i="92"/>
  <c r="W1011" i="92"/>
  <c r="W1012" i="92"/>
  <c r="W1014" i="92"/>
  <c r="W1015" i="92"/>
  <c r="W1017" i="92"/>
  <c r="W1018" i="92"/>
  <c r="W1019" i="92"/>
  <c r="W1021" i="92"/>
  <c r="W1022" i="92"/>
  <c r="W1024" i="92"/>
  <c r="W1026" i="92"/>
  <c r="W1027" i="92"/>
  <c r="W1029" i="92"/>
  <c r="W1030" i="92"/>
  <c r="W1031" i="92"/>
  <c r="W1033" i="92"/>
  <c r="W1034" i="92"/>
  <c r="W1036" i="92"/>
  <c r="W1039" i="92"/>
  <c r="W1041" i="92"/>
  <c r="W1042" i="92"/>
  <c r="W1043" i="92"/>
  <c r="W1044" i="92"/>
  <c r="W1045" i="92"/>
  <c r="W1046" i="92"/>
  <c r="W1048" i="92"/>
  <c r="W1050" i="92"/>
  <c r="W1051" i="92"/>
  <c r="W1053" i="92"/>
  <c r="W1054" i="92"/>
  <c r="W1055" i="92"/>
  <c r="W1056" i="92"/>
  <c r="W1057" i="92"/>
  <c r="W1058" i="92"/>
  <c r="W1060" i="92"/>
  <c r="W1062" i="92"/>
  <c r="W1063" i="92"/>
  <c r="W1065" i="92"/>
  <c r="W1066" i="92"/>
  <c r="W1067" i="92"/>
  <c r="W1069" i="92"/>
  <c r="W1070" i="92"/>
  <c r="W1072" i="92"/>
  <c r="W1074" i="92"/>
  <c r="W1075" i="92"/>
  <c r="W1077" i="92"/>
  <c r="W1078" i="92"/>
  <c r="W1079" i="92"/>
  <c r="X81" i="92"/>
  <c r="X82" i="92"/>
  <c r="X83" i="92"/>
  <c r="X85" i="92"/>
  <c r="X86" i="92"/>
  <c r="X87" i="92"/>
  <c r="X88" i="92"/>
  <c r="X89" i="92"/>
  <c r="X90" i="92"/>
  <c r="X91" i="92"/>
  <c r="X93" i="92"/>
  <c r="X94" i="92"/>
  <c r="X95" i="92"/>
  <c r="X96" i="92"/>
  <c r="X97" i="92"/>
  <c r="X98" i="92"/>
  <c r="X99" i="92"/>
  <c r="X100" i="92"/>
  <c r="X101" i="92"/>
  <c r="X102" i="92"/>
  <c r="X103" i="92"/>
  <c r="X105" i="92"/>
  <c r="X106" i="92"/>
  <c r="X107" i="92"/>
  <c r="X108" i="92"/>
  <c r="X109" i="92"/>
  <c r="X110" i="92"/>
  <c r="X111" i="92"/>
  <c r="X112" i="92"/>
  <c r="X113" i="92"/>
  <c r="X114" i="92"/>
  <c r="X115" i="92"/>
  <c r="X117" i="92"/>
  <c r="X118" i="92"/>
  <c r="X119" i="92"/>
  <c r="X121" i="92"/>
  <c r="X122" i="92"/>
  <c r="X124" i="92"/>
  <c r="X125" i="92"/>
  <c r="X126" i="92"/>
  <c r="X127" i="92"/>
  <c r="X129" i="92"/>
  <c r="X130" i="92"/>
  <c r="X131" i="92"/>
  <c r="X132" i="92"/>
  <c r="X133" i="92"/>
  <c r="X134" i="92"/>
  <c r="X135" i="92"/>
  <c r="X136" i="92"/>
  <c r="X137" i="92"/>
  <c r="X138" i="92"/>
  <c r="X139" i="92"/>
  <c r="X141" i="92"/>
  <c r="X142" i="92"/>
  <c r="X143" i="92"/>
  <c r="X145" i="92"/>
  <c r="X146" i="92"/>
  <c r="X147" i="92"/>
  <c r="X148" i="92"/>
  <c r="X149" i="92"/>
  <c r="X150" i="92"/>
  <c r="X151" i="92"/>
  <c r="X153" i="92"/>
  <c r="X154" i="92"/>
  <c r="X155" i="92"/>
  <c r="X157" i="92"/>
  <c r="X158" i="92"/>
  <c r="X160" i="92"/>
  <c r="X161" i="92"/>
  <c r="X162" i="92"/>
  <c r="X163" i="92"/>
  <c r="X165" i="92"/>
  <c r="X166" i="92"/>
  <c r="X167" i="92"/>
  <c r="X168" i="92"/>
  <c r="X169" i="92"/>
  <c r="X170" i="92"/>
  <c r="X171" i="92"/>
  <c r="X172" i="92"/>
  <c r="X173" i="92"/>
  <c r="X174" i="92"/>
  <c r="X175" i="92"/>
  <c r="X177" i="92"/>
  <c r="X178" i="92"/>
  <c r="X179" i="92"/>
  <c r="X181" i="92"/>
  <c r="X182" i="92"/>
  <c r="X184" i="92"/>
  <c r="X185" i="92"/>
  <c r="X186" i="92"/>
  <c r="X187" i="92"/>
  <c r="X189" i="92"/>
  <c r="X190" i="92"/>
  <c r="X191" i="92"/>
  <c r="X192" i="92"/>
  <c r="X193" i="92"/>
  <c r="X194" i="92"/>
  <c r="X196" i="92"/>
  <c r="X197" i="92"/>
  <c r="X198" i="92"/>
  <c r="X199" i="92"/>
  <c r="X201" i="92"/>
  <c r="X202" i="92"/>
  <c r="X203" i="92"/>
  <c r="X204" i="92"/>
  <c r="X205" i="92"/>
  <c r="X206" i="92"/>
  <c r="X207" i="92"/>
  <c r="X208" i="92"/>
  <c r="X209" i="92"/>
  <c r="X210" i="92"/>
  <c r="X211" i="92"/>
  <c r="X213" i="92"/>
  <c r="X214" i="92"/>
  <c r="X215" i="92"/>
  <c r="X216" i="92"/>
  <c r="X217" i="92"/>
  <c r="X218" i="92"/>
  <c r="X220" i="92"/>
  <c r="X221" i="92"/>
  <c r="X222" i="92"/>
  <c r="X223" i="92"/>
  <c r="X225" i="92"/>
  <c r="X226" i="92"/>
  <c r="X227" i="92"/>
  <c r="X229" i="92"/>
  <c r="X230" i="92"/>
  <c r="X231" i="92"/>
  <c r="X232" i="92"/>
  <c r="X233" i="92"/>
  <c r="X234" i="92"/>
  <c r="X235" i="92"/>
  <c r="X237" i="92"/>
  <c r="X238" i="92"/>
  <c r="X239" i="92"/>
  <c r="X240" i="92"/>
  <c r="X241" i="92"/>
  <c r="X242" i="92"/>
  <c r="X243" i="92"/>
  <c r="X244" i="92"/>
  <c r="X245" i="92"/>
  <c r="X246" i="92"/>
  <c r="X247" i="92"/>
  <c r="X249" i="92"/>
  <c r="X250" i="92"/>
  <c r="X251" i="92"/>
  <c r="X252" i="92"/>
  <c r="X253" i="92"/>
  <c r="X254" i="92"/>
  <c r="X255" i="92"/>
  <c r="X256" i="92"/>
  <c r="X257" i="92"/>
  <c r="X258" i="92"/>
  <c r="X259" i="92"/>
  <c r="X261" i="92"/>
  <c r="X262" i="92"/>
  <c r="X263" i="92"/>
  <c r="X265" i="92"/>
  <c r="X266" i="92"/>
  <c r="X268" i="92"/>
  <c r="X269" i="92"/>
  <c r="X270" i="92"/>
  <c r="X271" i="92"/>
  <c r="X273" i="92"/>
  <c r="X274" i="92"/>
  <c r="X275" i="92"/>
  <c r="X276" i="92"/>
  <c r="X277" i="92"/>
  <c r="X278" i="92"/>
  <c r="X279" i="92"/>
  <c r="X280" i="92"/>
  <c r="X281" i="92"/>
  <c r="X282" i="92"/>
  <c r="X283" i="92"/>
  <c r="X285" i="92"/>
  <c r="X286" i="92"/>
  <c r="X287" i="92"/>
  <c r="X289" i="92"/>
  <c r="X290" i="92"/>
  <c r="X291" i="92"/>
  <c r="X292" i="92"/>
  <c r="X293" i="92"/>
  <c r="X294" i="92"/>
  <c r="X295" i="92"/>
  <c r="X297" i="92"/>
  <c r="X298" i="92"/>
  <c r="X299" i="92"/>
  <c r="X301" i="92"/>
  <c r="X302" i="92"/>
  <c r="X304" i="92"/>
  <c r="X305" i="92"/>
  <c r="X306" i="92"/>
  <c r="X307" i="92"/>
  <c r="X309" i="92"/>
  <c r="X310" i="92"/>
  <c r="X311" i="92"/>
  <c r="X312" i="92"/>
  <c r="X313" i="92"/>
  <c r="X314" i="92"/>
  <c r="X315" i="92"/>
  <c r="X316" i="92"/>
  <c r="X317" i="92"/>
  <c r="X318" i="92"/>
  <c r="X319" i="92"/>
  <c r="X321" i="92"/>
  <c r="X322" i="92"/>
  <c r="X323" i="92"/>
  <c r="X325" i="92"/>
  <c r="X326" i="92"/>
  <c r="X328" i="92"/>
  <c r="X329" i="92"/>
  <c r="X330" i="92"/>
  <c r="X331" i="92"/>
  <c r="X333" i="92"/>
  <c r="X334" i="92"/>
  <c r="X335" i="92"/>
  <c r="X336" i="92"/>
  <c r="X337" i="92"/>
  <c r="X338" i="92"/>
  <c r="X340" i="92"/>
  <c r="X342" i="92"/>
  <c r="X343" i="92"/>
  <c r="X345" i="92"/>
  <c r="X346" i="92"/>
  <c r="X347" i="92"/>
  <c r="X348" i="92"/>
  <c r="X349" i="92"/>
  <c r="X350" i="92"/>
  <c r="X351" i="92"/>
  <c r="X352" i="92"/>
  <c r="X354" i="92"/>
  <c r="X355" i="92"/>
  <c r="X357" i="92"/>
  <c r="X358" i="92"/>
  <c r="X359" i="92"/>
  <c r="X360" i="92"/>
  <c r="X361" i="92"/>
  <c r="X362" i="92"/>
  <c r="X364" i="92"/>
  <c r="X366" i="92"/>
  <c r="X367" i="92"/>
  <c r="X369" i="92"/>
  <c r="X370" i="92"/>
  <c r="X371" i="92"/>
  <c r="X373" i="92"/>
  <c r="X374" i="92"/>
  <c r="X375" i="92"/>
  <c r="X376" i="92"/>
  <c r="X378" i="92"/>
  <c r="X379" i="92"/>
  <c r="X381" i="92"/>
  <c r="X382" i="92"/>
  <c r="X383" i="92"/>
  <c r="X384" i="92"/>
  <c r="X385" i="92"/>
  <c r="X386" i="92"/>
  <c r="X387" i="92"/>
  <c r="X388" i="92"/>
  <c r="X390" i="92"/>
  <c r="X391" i="92"/>
  <c r="X393" i="92"/>
  <c r="X394" i="92"/>
  <c r="X395" i="92"/>
  <c r="X396" i="92"/>
  <c r="X397" i="92"/>
  <c r="X398" i="92"/>
  <c r="X399" i="92"/>
  <c r="X400" i="92"/>
  <c r="X402" i="92"/>
  <c r="X403" i="92"/>
  <c r="X405" i="92"/>
  <c r="X406" i="92"/>
  <c r="X407" i="92"/>
  <c r="X409" i="92"/>
  <c r="X410" i="92"/>
  <c r="X412" i="92"/>
  <c r="X414" i="92"/>
  <c r="X415" i="92"/>
  <c r="X417" i="92"/>
  <c r="X418" i="92"/>
  <c r="X419" i="92"/>
  <c r="X420" i="92"/>
  <c r="X421" i="92"/>
  <c r="X422" i="92"/>
  <c r="X423" i="92"/>
  <c r="X424" i="92"/>
  <c r="X426" i="92"/>
  <c r="X427" i="92"/>
  <c r="X429" i="92"/>
  <c r="X430" i="92"/>
  <c r="X431" i="92"/>
  <c r="X433" i="92"/>
  <c r="X434" i="92"/>
  <c r="X435" i="92"/>
  <c r="X436" i="92"/>
  <c r="X438" i="92"/>
  <c r="X439" i="92"/>
  <c r="X441" i="92"/>
  <c r="X442" i="92"/>
  <c r="X443" i="92"/>
  <c r="X445" i="92"/>
  <c r="X446" i="92"/>
  <c r="X448" i="92"/>
  <c r="X450" i="92"/>
  <c r="X451" i="92"/>
  <c r="X453" i="92"/>
  <c r="X454" i="92"/>
  <c r="X455" i="92"/>
  <c r="X456" i="92"/>
  <c r="X457" i="92"/>
  <c r="X458" i="92"/>
  <c r="X459" i="92"/>
  <c r="X460" i="92"/>
  <c r="X461" i="92"/>
  <c r="X462" i="92"/>
  <c r="X463" i="92"/>
  <c r="X465" i="92"/>
  <c r="X466" i="92"/>
  <c r="X467" i="92"/>
  <c r="X469" i="92"/>
  <c r="X470" i="92"/>
  <c r="X472" i="92"/>
  <c r="X474" i="92"/>
  <c r="X475" i="92"/>
  <c r="X477" i="92"/>
  <c r="X478" i="92"/>
  <c r="X479" i="92"/>
  <c r="X480" i="92"/>
  <c r="X481" i="92"/>
  <c r="X482" i="92"/>
  <c r="X484" i="92"/>
  <c r="X486" i="92"/>
  <c r="X487" i="92"/>
  <c r="X489" i="92"/>
  <c r="X490" i="92"/>
  <c r="X491" i="92"/>
  <c r="X492" i="92"/>
  <c r="X493" i="92"/>
  <c r="X494" i="92"/>
  <c r="X495" i="92"/>
  <c r="X496" i="92"/>
  <c r="X498" i="92"/>
  <c r="X499" i="92"/>
  <c r="X501" i="92"/>
  <c r="X502" i="92"/>
  <c r="X503" i="92"/>
  <c r="X504" i="92"/>
  <c r="X505" i="92"/>
  <c r="X506" i="92"/>
  <c r="X508" i="92"/>
  <c r="X510" i="92"/>
  <c r="X511" i="92"/>
  <c r="X513" i="92"/>
  <c r="X514" i="92"/>
  <c r="X515" i="92"/>
  <c r="X517" i="92"/>
  <c r="X518" i="92"/>
  <c r="X519" i="92"/>
  <c r="X520" i="92"/>
  <c r="X522" i="92"/>
  <c r="X523" i="92"/>
  <c r="X525" i="92"/>
  <c r="X526" i="92"/>
  <c r="X527" i="92"/>
  <c r="X528" i="92"/>
  <c r="X529" i="92"/>
  <c r="X530" i="92"/>
  <c r="X531" i="92"/>
  <c r="X532" i="92"/>
  <c r="X534" i="92"/>
  <c r="X535" i="92"/>
  <c r="X537" i="92"/>
  <c r="X538" i="92"/>
  <c r="X539" i="92"/>
  <c r="X540" i="92"/>
  <c r="X541" i="92"/>
  <c r="X542" i="92"/>
  <c r="X543" i="92"/>
  <c r="X544" i="92"/>
  <c r="X546" i="92"/>
  <c r="X547" i="92"/>
  <c r="X549" i="92"/>
  <c r="X550" i="92"/>
  <c r="X551" i="92"/>
  <c r="X553" i="92"/>
  <c r="X554" i="92"/>
  <c r="X556" i="92"/>
  <c r="X558" i="92"/>
  <c r="X559" i="92"/>
  <c r="X561" i="92"/>
  <c r="X562" i="92"/>
  <c r="X563" i="92"/>
  <c r="X564" i="92"/>
  <c r="X565" i="92"/>
  <c r="X566" i="92"/>
  <c r="X567" i="92"/>
  <c r="X568" i="92"/>
  <c r="X570" i="92"/>
  <c r="X571" i="92"/>
  <c r="X573" i="92"/>
  <c r="X574" i="92"/>
  <c r="X575" i="92"/>
  <c r="X577" i="92"/>
  <c r="X578" i="92"/>
  <c r="X579" i="92"/>
  <c r="X580" i="92"/>
  <c r="X582" i="92"/>
  <c r="X583" i="92"/>
  <c r="X585" i="92"/>
  <c r="X586" i="92"/>
  <c r="X587" i="92"/>
  <c r="X589" i="92"/>
  <c r="X590" i="92"/>
  <c r="X592" i="92"/>
  <c r="X594" i="92"/>
  <c r="X595" i="92"/>
  <c r="X597" i="92"/>
  <c r="X598" i="92"/>
  <c r="X599" i="92"/>
  <c r="X600" i="92"/>
  <c r="X601" i="92"/>
  <c r="X602" i="92"/>
  <c r="X603" i="92"/>
  <c r="X604" i="92"/>
  <c r="X605" i="92"/>
  <c r="X606" i="92"/>
  <c r="X607" i="92"/>
  <c r="X609" i="92"/>
  <c r="X610" i="92"/>
  <c r="X611" i="92"/>
  <c r="X613" i="92"/>
  <c r="X614" i="92"/>
  <c r="X616" i="92"/>
  <c r="X618" i="92"/>
  <c r="X619" i="92"/>
  <c r="X621" i="92"/>
  <c r="X622" i="92"/>
  <c r="X623" i="92"/>
  <c r="X624" i="92"/>
  <c r="X625" i="92"/>
  <c r="X626" i="92"/>
  <c r="X628" i="92"/>
  <c r="X630" i="92"/>
  <c r="X631" i="92"/>
  <c r="X633" i="92"/>
  <c r="X634" i="92"/>
  <c r="X635" i="92"/>
  <c r="X636" i="92"/>
  <c r="X637" i="92"/>
  <c r="X638" i="92"/>
  <c r="X639" i="92"/>
  <c r="X640" i="92"/>
  <c r="X642" i="92"/>
  <c r="X643" i="92"/>
  <c r="X645" i="92"/>
  <c r="X646" i="92"/>
  <c r="X647" i="92"/>
  <c r="X648" i="92"/>
  <c r="X649" i="92"/>
  <c r="X650" i="92"/>
  <c r="X652" i="92"/>
  <c r="X654" i="92"/>
  <c r="X655" i="92"/>
  <c r="X657" i="92"/>
  <c r="X658" i="92"/>
  <c r="X659" i="92"/>
  <c r="X661" i="92"/>
  <c r="X662" i="92"/>
  <c r="X663" i="92"/>
  <c r="X664" i="92"/>
  <c r="X666" i="92"/>
  <c r="X667" i="92"/>
  <c r="X669" i="92"/>
  <c r="X670" i="92"/>
  <c r="X671" i="92"/>
  <c r="X672" i="92"/>
  <c r="X673" i="92"/>
  <c r="X674" i="92"/>
  <c r="X675" i="92"/>
  <c r="X676" i="92"/>
  <c r="X678" i="92"/>
  <c r="X679" i="92"/>
  <c r="X681" i="92"/>
  <c r="X682" i="92"/>
  <c r="X683" i="92"/>
  <c r="X684" i="92"/>
  <c r="X685" i="92"/>
  <c r="X686" i="92"/>
  <c r="X687" i="92"/>
  <c r="X688" i="92"/>
  <c r="X690" i="92"/>
  <c r="X691" i="92"/>
  <c r="X693" i="92"/>
  <c r="X694" i="92"/>
  <c r="X695" i="92"/>
  <c r="X697" i="92"/>
  <c r="X698" i="92"/>
  <c r="X700" i="92"/>
  <c r="X702" i="92"/>
  <c r="X703" i="92"/>
  <c r="X705" i="92"/>
  <c r="X706" i="92"/>
  <c r="X707" i="92"/>
  <c r="X708" i="92"/>
  <c r="X709" i="92"/>
  <c r="X710" i="92"/>
  <c r="X711" i="92"/>
  <c r="X712" i="92"/>
  <c r="X714" i="92"/>
  <c r="X715" i="92"/>
  <c r="X717" i="92"/>
  <c r="X718" i="92"/>
  <c r="X719" i="92"/>
  <c r="X721" i="92"/>
  <c r="X722" i="92"/>
  <c r="X723" i="92"/>
  <c r="X724" i="92"/>
  <c r="X726" i="92"/>
  <c r="X727" i="92"/>
  <c r="X729" i="92"/>
  <c r="X730" i="92"/>
  <c r="X731" i="92"/>
  <c r="X733" i="92"/>
  <c r="X734" i="92"/>
  <c r="X736" i="92"/>
  <c r="X738" i="92"/>
  <c r="X739" i="92"/>
  <c r="X741" i="92"/>
  <c r="X742" i="92"/>
  <c r="X743" i="92"/>
  <c r="X744" i="92"/>
  <c r="X745" i="92"/>
  <c r="X746" i="92"/>
  <c r="X747" i="92"/>
  <c r="X748" i="92"/>
  <c r="X749" i="92"/>
  <c r="X750" i="92"/>
  <c r="X751" i="92"/>
  <c r="X753" i="92"/>
  <c r="X754" i="92"/>
  <c r="X755" i="92"/>
  <c r="X757" i="92"/>
  <c r="X758" i="92"/>
  <c r="X760" i="92"/>
  <c r="X762" i="92"/>
  <c r="X763" i="92"/>
  <c r="X765" i="92"/>
  <c r="X766" i="92"/>
  <c r="X767" i="92"/>
  <c r="X768" i="92"/>
  <c r="X769" i="92"/>
  <c r="X770" i="92"/>
  <c r="X772" i="92"/>
  <c r="X774" i="92"/>
  <c r="X775" i="92"/>
  <c r="X777" i="92"/>
  <c r="X778" i="92"/>
  <c r="X779" i="92"/>
  <c r="X780" i="92"/>
  <c r="X781" i="92"/>
  <c r="X782" i="92"/>
  <c r="X783" i="92"/>
  <c r="X784" i="92"/>
  <c r="X786" i="92"/>
  <c r="X787" i="92"/>
  <c r="X789" i="92"/>
  <c r="X790" i="92"/>
  <c r="X791" i="92"/>
  <c r="X792" i="92"/>
  <c r="X793" i="92"/>
  <c r="X794" i="92"/>
  <c r="X796" i="92"/>
  <c r="X798" i="92"/>
  <c r="X799" i="92"/>
  <c r="X801" i="92"/>
  <c r="X802" i="92"/>
  <c r="X803" i="92"/>
  <c r="X805" i="92"/>
  <c r="X806" i="92"/>
  <c r="X807" i="92"/>
  <c r="X808" i="92"/>
  <c r="X810" i="92"/>
  <c r="X811" i="92"/>
  <c r="X813" i="92"/>
  <c r="X814" i="92"/>
  <c r="X815" i="92"/>
  <c r="X816" i="92"/>
  <c r="X817" i="92"/>
  <c r="X818" i="92"/>
  <c r="X819" i="92"/>
  <c r="X820" i="92"/>
  <c r="X822" i="92"/>
  <c r="X823" i="92"/>
  <c r="X825" i="92"/>
  <c r="X826" i="92"/>
  <c r="X827" i="92"/>
  <c r="X828" i="92"/>
  <c r="X829" i="92"/>
  <c r="X830" i="92"/>
  <c r="X831" i="92"/>
  <c r="X832" i="92"/>
  <c r="X834" i="92"/>
  <c r="X835" i="92"/>
  <c r="X837" i="92"/>
  <c r="X838" i="92"/>
  <c r="X839" i="92"/>
  <c r="X841" i="92"/>
  <c r="X842" i="92"/>
  <c r="X844" i="92"/>
  <c r="X846" i="92"/>
  <c r="X847" i="92"/>
  <c r="X849" i="92"/>
  <c r="X850" i="92"/>
  <c r="X851" i="92"/>
  <c r="X852" i="92"/>
  <c r="X853" i="92"/>
  <c r="X854" i="92"/>
  <c r="X855" i="92"/>
  <c r="X856" i="92"/>
  <c r="X858" i="92"/>
  <c r="X859" i="92"/>
  <c r="X861" i="92"/>
  <c r="X862" i="92"/>
  <c r="X863" i="92"/>
  <c r="X865" i="92"/>
  <c r="X866" i="92"/>
  <c r="X867" i="92"/>
  <c r="X868" i="92"/>
  <c r="X870" i="92"/>
  <c r="X871" i="92"/>
  <c r="X873" i="92"/>
  <c r="X874" i="92"/>
  <c r="X875" i="92"/>
  <c r="X877" i="92"/>
  <c r="X878" i="92"/>
  <c r="X880" i="92"/>
  <c r="X882" i="92"/>
  <c r="X883" i="92"/>
  <c r="X885" i="92"/>
  <c r="X886" i="92"/>
  <c r="X887" i="92"/>
  <c r="X888" i="92"/>
  <c r="X889" i="92"/>
  <c r="X890" i="92"/>
  <c r="X891" i="92"/>
  <c r="X892" i="92"/>
  <c r="X893" i="92"/>
  <c r="X894" i="92"/>
  <c r="X895" i="92"/>
  <c r="X897" i="92"/>
  <c r="X898" i="92"/>
  <c r="X899" i="92"/>
  <c r="X901" i="92"/>
  <c r="X902" i="92"/>
  <c r="X904" i="92"/>
  <c r="X906" i="92"/>
  <c r="X907" i="92"/>
  <c r="X909" i="92"/>
  <c r="X910" i="92"/>
  <c r="X911" i="92"/>
  <c r="X912" i="92"/>
  <c r="X913" i="92"/>
  <c r="X914" i="92"/>
  <c r="X916" i="92"/>
  <c r="X918" i="92"/>
  <c r="X919" i="92"/>
  <c r="X921" i="92"/>
  <c r="X922" i="92"/>
  <c r="X923" i="92"/>
  <c r="X924" i="92"/>
  <c r="X925" i="92"/>
  <c r="X926" i="92"/>
  <c r="X927" i="92"/>
  <c r="X928" i="92"/>
  <c r="X930" i="92"/>
  <c r="X931" i="92"/>
  <c r="X933" i="92"/>
  <c r="X934" i="92"/>
  <c r="X935" i="92"/>
  <c r="X936" i="92"/>
  <c r="X937" i="92"/>
  <c r="X938" i="92"/>
  <c r="X940" i="92"/>
  <c r="X942" i="92"/>
  <c r="X943" i="92"/>
  <c r="X945" i="92"/>
  <c r="X946" i="92"/>
  <c r="X947" i="92"/>
  <c r="X949" i="92"/>
  <c r="X950" i="92"/>
  <c r="X951" i="92"/>
  <c r="X952" i="92"/>
  <c r="X954" i="92"/>
  <c r="X955" i="92"/>
  <c r="X957" i="92"/>
  <c r="X958" i="92"/>
  <c r="X959" i="92"/>
  <c r="X960" i="92"/>
  <c r="X961" i="92"/>
  <c r="X962" i="92"/>
  <c r="X963" i="92"/>
  <c r="X964" i="92"/>
  <c r="X966" i="92"/>
  <c r="X967" i="92"/>
  <c r="X969" i="92"/>
  <c r="X970" i="92"/>
  <c r="X971" i="92"/>
  <c r="X972" i="92"/>
  <c r="X973" i="92"/>
  <c r="X974" i="92"/>
  <c r="X975" i="92"/>
  <c r="X976" i="92"/>
  <c r="X978" i="92"/>
  <c r="X979" i="92"/>
  <c r="X981" i="92"/>
  <c r="X982" i="92"/>
  <c r="X983" i="92"/>
  <c r="X985" i="92"/>
  <c r="X986" i="92"/>
  <c r="X988" i="92"/>
  <c r="X990" i="92"/>
  <c r="X991" i="92"/>
  <c r="X993" i="92"/>
  <c r="X994" i="92"/>
  <c r="X995" i="92"/>
  <c r="X996" i="92"/>
  <c r="X997" i="92"/>
  <c r="X998" i="92"/>
  <c r="X999" i="92"/>
  <c r="X1000" i="92"/>
  <c r="X1002" i="92"/>
  <c r="X1003" i="92"/>
  <c r="X1005" i="92"/>
  <c r="X1006" i="92"/>
  <c r="X1007" i="92"/>
  <c r="X1009" i="92"/>
  <c r="X1010" i="92"/>
  <c r="X1011" i="92"/>
  <c r="X1012" i="92"/>
  <c r="X1014" i="92"/>
  <c r="X1015" i="92"/>
  <c r="X1017" i="92"/>
  <c r="X1018" i="92"/>
  <c r="X1019" i="92"/>
  <c r="X1021" i="92"/>
  <c r="X1022" i="92"/>
  <c r="X1024" i="92"/>
  <c r="X1026" i="92"/>
  <c r="X1027" i="92"/>
  <c r="X1029" i="92"/>
  <c r="X1030" i="92"/>
  <c r="X1031" i="92"/>
  <c r="X1032" i="92"/>
  <c r="X1033" i="92"/>
  <c r="X1034" i="92"/>
  <c r="X1035" i="92"/>
  <c r="X1036" i="92"/>
  <c r="X1037" i="92"/>
  <c r="X1038" i="92"/>
  <c r="X1039" i="92"/>
  <c r="X1041" i="92"/>
  <c r="X1042" i="92"/>
  <c r="X1043" i="92"/>
  <c r="X1045" i="92"/>
  <c r="X1046" i="92"/>
  <c r="X1048" i="92"/>
  <c r="X1050" i="92"/>
  <c r="X1051" i="92"/>
  <c r="X1053" i="92"/>
  <c r="X1054" i="92"/>
  <c r="X1055" i="92"/>
  <c r="X1056" i="92"/>
  <c r="X1057" i="92"/>
  <c r="X1058" i="92"/>
  <c r="X1060" i="92"/>
  <c r="X1062" i="92"/>
  <c r="X1063" i="92"/>
  <c r="X1065" i="92"/>
  <c r="X1066" i="92"/>
  <c r="X1067" i="92"/>
  <c r="X1068" i="92"/>
  <c r="X1069" i="92"/>
  <c r="X1070" i="92"/>
  <c r="X1071" i="92"/>
  <c r="X1072" i="92"/>
  <c r="X1074" i="92"/>
  <c r="X1075" i="92"/>
  <c r="X1077" i="92"/>
  <c r="X1078" i="92"/>
  <c r="X1079" i="92"/>
  <c r="U81" i="92"/>
  <c r="U82" i="92"/>
  <c r="U83" i="92"/>
  <c r="U84" i="92"/>
  <c r="U85" i="92"/>
  <c r="U86" i="92"/>
  <c r="U87" i="92"/>
  <c r="U88" i="92"/>
  <c r="U89" i="92"/>
  <c r="U90" i="92"/>
  <c r="U91" i="92"/>
  <c r="U93" i="92"/>
  <c r="U94" i="92"/>
  <c r="U95" i="92"/>
  <c r="U96" i="92"/>
  <c r="U97" i="92"/>
  <c r="U98" i="92"/>
  <c r="U99" i="92"/>
  <c r="U100" i="92"/>
  <c r="U101" i="92"/>
  <c r="U102" i="92"/>
  <c r="U103" i="92"/>
  <c r="U105" i="92"/>
  <c r="U106" i="92"/>
  <c r="U107" i="92"/>
  <c r="U108" i="92"/>
  <c r="U109" i="92"/>
  <c r="U110" i="92"/>
  <c r="U111" i="92"/>
  <c r="U112" i="92"/>
  <c r="U113" i="92"/>
  <c r="U114" i="92"/>
  <c r="U115" i="92"/>
  <c r="U117" i="92"/>
  <c r="U118" i="92"/>
  <c r="U119" i="92"/>
  <c r="U120" i="92"/>
  <c r="U121" i="92"/>
  <c r="U122" i="92"/>
  <c r="U123" i="92"/>
  <c r="U124" i="92"/>
  <c r="U125" i="92"/>
  <c r="U126" i="92"/>
  <c r="U127" i="92"/>
  <c r="U129" i="92"/>
  <c r="U130" i="92"/>
  <c r="U131" i="92"/>
  <c r="U132" i="92"/>
  <c r="U133" i="92"/>
  <c r="U134" i="92"/>
  <c r="U135" i="92"/>
  <c r="U136" i="92"/>
  <c r="U137" i="92"/>
  <c r="U138" i="92"/>
  <c r="U139" i="92"/>
  <c r="U141" i="92"/>
  <c r="U142" i="92"/>
  <c r="U143" i="92"/>
  <c r="U144" i="92"/>
  <c r="U145" i="92"/>
  <c r="U146" i="92"/>
  <c r="U147" i="92"/>
  <c r="U148" i="92"/>
  <c r="U149" i="92"/>
  <c r="U150" i="92"/>
  <c r="U151" i="92"/>
  <c r="U153" i="92"/>
  <c r="U154" i="92"/>
  <c r="U155" i="92"/>
  <c r="U156" i="92"/>
  <c r="U157" i="92"/>
  <c r="U158" i="92"/>
  <c r="U159" i="92"/>
  <c r="U160" i="92"/>
  <c r="U161" i="92"/>
  <c r="U162" i="92"/>
  <c r="U163" i="92"/>
  <c r="U165" i="92"/>
  <c r="U166" i="92"/>
  <c r="U167" i="92"/>
  <c r="U168" i="92"/>
  <c r="U169" i="92"/>
  <c r="U170" i="92"/>
  <c r="U171" i="92"/>
  <c r="U172" i="92"/>
  <c r="U173" i="92"/>
  <c r="U174" i="92"/>
  <c r="U175" i="92"/>
  <c r="U177" i="92"/>
  <c r="U178" i="92"/>
  <c r="U179" i="92"/>
  <c r="U180" i="92"/>
  <c r="U181" i="92"/>
  <c r="U182" i="92"/>
  <c r="U183" i="92"/>
  <c r="U184" i="92"/>
  <c r="U185" i="92"/>
  <c r="U186" i="92"/>
  <c r="U187" i="92"/>
  <c r="U189" i="92"/>
  <c r="U190" i="92"/>
  <c r="U191" i="92"/>
  <c r="U192" i="92"/>
  <c r="U193" i="92"/>
  <c r="U194" i="92"/>
  <c r="U195" i="92"/>
  <c r="U196" i="92"/>
  <c r="U197" i="92"/>
  <c r="U198" i="92"/>
  <c r="U199" i="92"/>
  <c r="U201" i="92"/>
  <c r="U202" i="92"/>
  <c r="U203" i="92"/>
  <c r="U204" i="92"/>
  <c r="U205" i="92"/>
  <c r="U206" i="92"/>
  <c r="U207" i="92"/>
  <c r="U208" i="92"/>
  <c r="U209" i="92"/>
  <c r="U210" i="92"/>
  <c r="U211" i="92"/>
  <c r="U213" i="92"/>
  <c r="U214" i="92"/>
  <c r="U215" i="92"/>
  <c r="U216" i="92"/>
  <c r="U217" i="92"/>
  <c r="U218" i="92"/>
  <c r="U219" i="92"/>
  <c r="U220" i="92"/>
  <c r="U221" i="92"/>
  <c r="U222" i="92"/>
  <c r="U223" i="92"/>
  <c r="U225" i="92"/>
  <c r="U226" i="92"/>
  <c r="U227" i="92"/>
  <c r="U228" i="92"/>
  <c r="U229" i="92"/>
  <c r="U230" i="92"/>
  <c r="U231" i="92"/>
  <c r="U232" i="92"/>
  <c r="U233" i="92"/>
  <c r="U234" i="92"/>
  <c r="U235" i="92"/>
  <c r="U237" i="92"/>
  <c r="U238" i="92"/>
  <c r="U239" i="92"/>
  <c r="U240" i="92"/>
  <c r="U241" i="92"/>
  <c r="U242" i="92"/>
  <c r="U243" i="92"/>
  <c r="U244" i="92"/>
  <c r="U245" i="92"/>
  <c r="U246" i="92"/>
  <c r="U247" i="92"/>
  <c r="U249" i="92"/>
  <c r="U250" i="92"/>
  <c r="U251" i="92"/>
  <c r="U252" i="92"/>
  <c r="U253" i="92"/>
  <c r="U254" i="92"/>
  <c r="U255" i="92"/>
  <c r="U256" i="92"/>
  <c r="U257" i="92"/>
  <c r="U258" i="92"/>
  <c r="U259" i="92"/>
  <c r="U261" i="92"/>
  <c r="U262" i="92"/>
  <c r="U263" i="92"/>
  <c r="U264" i="92"/>
  <c r="U265" i="92"/>
  <c r="U266" i="92"/>
  <c r="U267" i="92"/>
  <c r="U268" i="92"/>
  <c r="U269" i="92"/>
  <c r="U270" i="92"/>
  <c r="U271" i="92"/>
  <c r="U273" i="92"/>
  <c r="U274" i="92"/>
  <c r="U275" i="92"/>
  <c r="U276" i="92"/>
  <c r="U277" i="92"/>
  <c r="U278" i="92"/>
  <c r="U279" i="92"/>
  <c r="U280" i="92"/>
  <c r="U281" i="92"/>
  <c r="U282" i="92"/>
  <c r="U283" i="92"/>
  <c r="U285" i="92"/>
  <c r="U286" i="92"/>
  <c r="U287" i="92"/>
  <c r="U288" i="92"/>
  <c r="U289" i="92"/>
  <c r="U290" i="92"/>
  <c r="U291" i="92"/>
  <c r="U292" i="92"/>
  <c r="U293" i="92"/>
  <c r="U294" i="92"/>
  <c r="U295" i="92"/>
  <c r="U297" i="92"/>
  <c r="U298" i="92"/>
  <c r="U299" i="92"/>
  <c r="U300" i="92"/>
  <c r="U301" i="92"/>
  <c r="U302" i="92"/>
  <c r="U303" i="92"/>
  <c r="U304" i="92"/>
  <c r="U305" i="92"/>
  <c r="U306" i="92"/>
  <c r="U307" i="92"/>
  <c r="U309" i="92"/>
  <c r="U310" i="92"/>
  <c r="U311" i="92"/>
  <c r="U312" i="92"/>
  <c r="U313" i="92"/>
  <c r="U314" i="92"/>
  <c r="U315" i="92"/>
  <c r="U316" i="92"/>
  <c r="U317" i="92"/>
  <c r="U318" i="92"/>
  <c r="U319" i="92"/>
  <c r="U321" i="92"/>
  <c r="U322" i="92"/>
  <c r="U323" i="92"/>
  <c r="U324" i="92"/>
  <c r="U325" i="92"/>
  <c r="U326" i="92"/>
  <c r="U327" i="92"/>
  <c r="U328" i="92"/>
  <c r="U329" i="92"/>
  <c r="U330" i="92"/>
  <c r="U331" i="92"/>
  <c r="U333" i="92"/>
  <c r="U334" i="92"/>
  <c r="U335" i="92"/>
  <c r="U336" i="92"/>
  <c r="U337" i="92"/>
  <c r="U338" i="92"/>
  <c r="U339" i="92"/>
  <c r="U340" i="92"/>
  <c r="U342" i="92"/>
  <c r="U343" i="92"/>
  <c r="U345" i="92"/>
  <c r="U346" i="92"/>
  <c r="U347" i="92"/>
  <c r="U348" i="92"/>
  <c r="U349" i="92"/>
  <c r="U350" i="92"/>
  <c r="U351" i="92"/>
  <c r="U352" i="92"/>
  <c r="U354" i="92"/>
  <c r="U355" i="92"/>
  <c r="U357" i="92"/>
  <c r="U358" i="92"/>
  <c r="U359" i="92"/>
  <c r="U360" i="92"/>
  <c r="U361" i="92"/>
  <c r="U362" i="92"/>
  <c r="U363" i="92"/>
  <c r="U364" i="92"/>
  <c r="U366" i="92"/>
  <c r="U367" i="92"/>
  <c r="U369" i="92"/>
  <c r="U370" i="92"/>
  <c r="U371" i="92"/>
  <c r="U372" i="92"/>
  <c r="U373" i="92"/>
  <c r="U374" i="92"/>
  <c r="U375" i="92"/>
  <c r="U376" i="92"/>
  <c r="U378" i="92"/>
  <c r="U379" i="92"/>
  <c r="U381" i="92"/>
  <c r="U382" i="92"/>
  <c r="U383" i="92"/>
  <c r="U384" i="92"/>
  <c r="U385" i="92"/>
  <c r="U386" i="92"/>
  <c r="U387" i="92"/>
  <c r="U388" i="92"/>
  <c r="U390" i="92"/>
  <c r="U391" i="92"/>
  <c r="U393" i="92"/>
  <c r="U394" i="92"/>
  <c r="U395" i="92"/>
  <c r="U396" i="92"/>
  <c r="U397" i="92"/>
  <c r="U398" i="92"/>
  <c r="U399" i="92"/>
  <c r="U400" i="92"/>
  <c r="U402" i="92"/>
  <c r="U403" i="92"/>
  <c r="U405" i="92"/>
  <c r="U406" i="92"/>
  <c r="U407" i="92"/>
  <c r="U408" i="92"/>
  <c r="U409" i="92"/>
  <c r="U410" i="92"/>
  <c r="U411" i="92"/>
  <c r="U412" i="92"/>
  <c r="U414" i="92"/>
  <c r="U415" i="92"/>
  <c r="U417" i="92"/>
  <c r="U418" i="92"/>
  <c r="U419" i="92"/>
  <c r="U420" i="92"/>
  <c r="U421" i="92"/>
  <c r="U422" i="92"/>
  <c r="U423" i="92"/>
  <c r="U424" i="92"/>
  <c r="U426" i="92"/>
  <c r="U427" i="92"/>
  <c r="U429" i="92"/>
  <c r="U430" i="92"/>
  <c r="U431" i="92"/>
  <c r="U432" i="92"/>
  <c r="U433" i="92"/>
  <c r="U434" i="92"/>
  <c r="U435" i="92"/>
  <c r="U436" i="92"/>
  <c r="U437" i="92"/>
  <c r="U438" i="92"/>
  <c r="U439" i="92"/>
  <c r="U441" i="92"/>
  <c r="U442" i="92"/>
  <c r="U443" i="92"/>
  <c r="U444" i="92"/>
  <c r="U445" i="92"/>
  <c r="U446" i="92"/>
  <c r="U447" i="92"/>
  <c r="U448" i="92"/>
  <c r="U450" i="92"/>
  <c r="U451" i="92"/>
  <c r="U453" i="92"/>
  <c r="U454" i="92"/>
  <c r="U455" i="92"/>
  <c r="U456" i="92"/>
  <c r="U457" i="92"/>
  <c r="U458" i="92"/>
  <c r="U459" i="92"/>
  <c r="U460" i="92"/>
  <c r="U462" i="92"/>
  <c r="U463" i="92"/>
  <c r="U465" i="92"/>
  <c r="U466" i="92"/>
  <c r="U467" i="92"/>
  <c r="U468" i="92"/>
  <c r="U469" i="92"/>
  <c r="U470" i="92"/>
  <c r="U471" i="92"/>
  <c r="U472" i="92"/>
  <c r="U474" i="92"/>
  <c r="U475" i="92"/>
  <c r="U477" i="92"/>
  <c r="U478" i="92"/>
  <c r="U479" i="92"/>
  <c r="U480" i="92"/>
  <c r="U481" i="92"/>
  <c r="U482" i="92"/>
  <c r="U483" i="92"/>
  <c r="U484" i="92"/>
  <c r="U486" i="92"/>
  <c r="U487" i="92"/>
  <c r="U489" i="92"/>
  <c r="U490" i="92"/>
  <c r="U491" i="92"/>
  <c r="U492" i="92"/>
  <c r="U493" i="92"/>
  <c r="U494" i="92"/>
  <c r="U495" i="92"/>
  <c r="U496" i="92"/>
  <c r="U498" i="92"/>
  <c r="U499" i="92"/>
  <c r="U501" i="92"/>
  <c r="U502" i="92"/>
  <c r="U503" i="92"/>
  <c r="U504" i="92"/>
  <c r="U505" i="92"/>
  <c r="U506" i="92"/>
  <c r="U507" i="92"/>
  <c r="U508" i="92"/>
  <c r="U510" i="92"/>
  <c r="U511" i="92"/>
  <c r="U513" i="92"/>
  <c r="U514" i="92"/>
  <c r="U515" i="92"/>
  <c r="U516" i="92"/>
  <c r="U517" i="92"/>
  <c r="U518" i="92"/>
  <c r="U519" i="92"/>
  <c r="U520" i="92"/>
  <c r="U522" i="92"/>
  <c r="U523" i="92"/>
  <c r="U525" i="92"/>
  <c r="U526" i="92"/>
  <c r="U527" i="92"/>
  <c r="U528" i="92"/>
  <c r="U529" i="92"/>
  <c r="U530" i="92"/>
  <c r="U531" i="92"/>
  <c r="U532" i="92"/>
  <c r="U534" i="92"/>
  <c r="U535" i="92"/>
  <c r="U537" i="92"/>
  <c r="U538" i="92"/>
  <c r="U539" i="92"/>
  <c r="U540" i="92"/>
  <c r="U541" i="92"/>
  <c r="U542" i="92"/>
  <c r="U543" i="92"/>
  <c r="U544" i="92"/>
  <c r="U546" i="92"/>
  <c r="U547" i="92"/>
  <c r="U549" i="92"/>
  <c r="U550" i="92"/>
  <c r="U551" i="92"/>
  <c r="U552" i="92"/>
  <c r="U553" i="92"/>
  <c r="U554" i="92"/>
  <c r="U555" i="92"/>
  <c r="U556" i="92"/>
  <c r="U558" i="92"/>
  <c r="U559" i="92"/>
  <c r="U561" i="92"/>
  <c r="U562" i="92"/>
  <c r="U563" i="92"/>
  <c r="U564" i="92"/>
  <c r="U565" i="92"/>
  <c r="U566" i="92"/>
  <c r="U567" i="92"/>
  <c r="U568" i="92"/>
  <c r="U570" i="92"/>
  <c r="U571" i="92"/>
  <c r="U573" i="92"/>
  <c r="U574" i="92"/>
  <c r="U575" i="92"/>
  <c r="U576" i="92"/>
  <c r="U577" i="92"/>
  <c r="U578" i="92"/>
  <c r="U579" i="92"/>
  <c r="U580" i="92"/>
  <c r="U581" i="92"/>
  <c r="U582" i="92"/>
  <c r="U583" i="92"/>
  <c r="U585" i="92"/>
  <c r="U586" i="92"/>
  <c r="U587" i="92"/>
  <c r="U588" i="92"/>
  <c r="U589" i="92"/>
  <c r="U590" i="92"/>
  <c r="U591" i="92"/>
  <c r="U592" i="92"/>
  <c r="U594" i="92"/>
  <c r="U595" i="92"/>
  <c r="U597" i="92"/>
  <c r="U598" i="92"/>
  <c r="U599" i="92"/>
  <c r="U600" i="92"/>
  <c r="U601" i="92"/>
  <c r="U602" i="92"/>
  <c r="U603" i="92"/>
  <c r="U604" i="92"/>
  <c r="U606" i="92"/>
  <c r="U607" i="92"/>
  <c r="U609" i="92"/>
  <c r="U610" i="92"/>
  <c r="U611" i="92"/>
  <c r="U612" i="92"/>
  <c r="U613" i="92"/>
  <c r="U614" i="92"/>
  <c r="U615" i="92"/>
  <c r="U616" i="92"/>
  <c r="U618" i="92"/>
  <c r="U619" i="92"/>
  <c r="U621" i="92"/>
  <c r="U622" i="92"/>
  <c r="U623" i="92"/>
  <c r="U624" i="92"/>
  <c r="U625" i="92"/>
  <c r="U626" i="92"/>
  <c r="U627" i="92"/>
  <c r="U628" i="92"/>
  <c r="U630" i="92"/>
  <c r="U631" i="92"/>
  <c r="U633" i="92"/>
  <c r="U634" i="92"/>
  <c r="U635" i="92"/>
  <c r="U636" i="92"/>
  <c r="U637" i="92"/>
  <c r="U638" i="92"/>
  <c r="U639" i="92"/>
  <c r="U640" i="92"/>
  <c r="U642" i="92"/>
  <c r="U643" i="92"/>
  <c r="U645" i="92"/>
  <c r="U646" i="92"/>
  <c r="U647" i="92"/>
  <c r="U648" i="92"/>
  <c r="U649" i="92"/>
  <c r="U650" i="92"/>
  <c r="U651" i="92"/>
  <c r="U652" i="92"/>
  <c r="U654" i="92"/>
  <c r="U655" i="92"/>
  <c r="U657" i="92"/>
  <c r="U658" i="92"/>
  <c r="U659" i="92"/>
  <c r="U660" i="92"/>
  <c r="U661" i="92"/>
  <c r="U662" i="92"/>
  <c r="U663" i="92"/>
  <c r="U664" i="92"/>
  <c r="U666" i="92"/>
  <c r="U667" i="92"/>
  <c r="U669" i="92"/>
  <c r="U670" i="92"/>
  <c r="U671" i="92"/>
  <c r="U672" i="92"/>
  <c r="U673" i="92"/>
  <c r="U674" i="92"/>
  <c r="U675" i="92"/>
  <c r="U676" i="92"/>
  <c r="U678" i="92"/>
  <c r="U679" i="92"/>
  <c r="U681" i="92"/>
  <c r="U682" i="92"/>
  <c r="U683" i="92"/>
  <c r="U684" i="92"/>
  <c r="U685" i="92"/>
  <c r="U686" i="92"/>
  <c r="U687" i="92"/>
  <c r="U688" i="92"/>
  <c r="U690" i="92"/>
  <c r="U691" i="92"/>
  <c r="U693" i="92"/>
  <c r="U694" i="92"/>
  <c r="U695" i="92"/>
  <c r="U696" i="92"/>
  <c r="U697" i="92"/>
  <c r="U698" i="92"/>
  <c r="U699" i="92"/>
  <c r="U700" i="92"/>
  <c r="U702" i="92"/>
  <c r="U703" i="92"/>
  <c r="U705" i="92"/>
  <c r="U706" i="92"/>
  <c r="U707" i="92"/>
  <c r="U708" i="92"/>
  <c r="U709" i="92"/>
  <c r="U710" i="92"/>
  <c r="U711" i="92"/>
  <c r="U712" i="92"/>
  <c r="U714" i="92"/>
  <c r="U715" i="92"/>
  <c r="U717" i="92"/>
  <c r="U718" i="92"/>
  <c r="U719" i="92"/>
  <c r="U720" i="92"/>
  <c r="U721" i="92"/>
  <c r="U722" i="92"/>
  <c r="U723" i="92"/>
  <c r="U724" i="92"/>
  <c r="U725" i="92"/>
  <c r="U726" i="92"/>
  <c r="U727" i="92"/>
  <c r="U729" i="92"/>
  <c r="U730" i="92"/>
  <c r="U731" i="92"/>
  <c r="U732" i="92"/>
  <c r="U733" i="92"/>
  <c r="U734" i="92"/>
  <c r="U735" i="92"/>
  <c r="U736" i="92"/>
  <c r="U738" i="92"/>
  <c r="U739" i="92"/>
  <c r="U741" i="92"/>
  <c r="U742" i="92"/>
  <c r="U743" i="92"/>
  <c r="U744" i="92"/>
  <c r="U745" i="92"/>
  <c r="U746" i="92"/>
  <c r="U747" i="92"/>
  <c r="U748" i="92"/>
  <c r="U750" i="92"/>
  <c r="U751" i="92"/>
  <c r="U753" i="92"/>
  <c r="U754" i="92"/>
  <c r="U755" i="92"/>
  <c r="U756" i="92"/>
  <c r="U757" i="92"/>
  <c r="U758" i="92"/>
  <c r="U759" i="92"/>
  <c r="U760" i="92"/>
  <c r="U762" i="92"/>
  <c r="U763" i="92"/>
  <c r="U765" i="92"/>
  <c r="U766" i="92"/>
  <c r="U767" i="92"/>
  <c r="U768" i="92"/>
  <c r="U769" i="92"/>
  <c r="U770" i="92"/>
  <c r="U771" i="92"/>
  <c r="U772" i="92"/>
  <c r="U774" i="92"/>
  <c r="U775" i="92"/>
  <c r="U777" i="92"/>
  <c r="U778" i="92"/>
  <c r="U779" i="92"/>
  <c r="U780" i="92"/>
  <c r="U781" i="92"/>
  <c r="U782" i="92"/>
  <c r="U783" i="92"/>
  <c r="U784" i="92"/>
  <c r="U786" i="92"/>
  <c r="U787" i="92"/>
  <c r="U789" i="92"/>
  <c r="U790" i="92"/>
  <c r="U791" i="92"/>
  <c r="U792" i="92"/>
  <c r="U793" i="92"/>
  <c r="U794" i="92"/>
  <c r="U795" i="92"/>
  <c r="U796" i="92"/>
  <c r="U798" i="92"/>
  <c r="U799" i="92"/>
  <c r="U801" i="92"/>
  <c r="U802" i="92"/>
  <c r="U803" i="92"/>
  <c r="U804" i="92"/>
  <c r="U805" i="92"/>
  <c r="U806" i="92"/>
  <c r="U807" i="92"/>
  <c r="U808" i="92"/>
  <c r="U810" i="92"/>
  <c r="U811" i="92"/>
  <c r="U813" i="92"/>
  <c r="U814" i="92"/>
  <c r="U815" i="92"/>
  <c r="U816" i="92"/>
  <c r="U817" i="92"/>
  <c r="U818" i="92"/>
  <c r="U819" i="92"/>
  <c r="U820" i="92"/>
  <c r="U822" i="92"/>
  <c r="U823" i="92"/>
  <c r="U825" i="92"/>
  <c r="U826" i="92"/>
  <c r="U827" i="92"/>
  <c r="U828" i="92"/>
  <c r="U829" i="92"/>
  <c r="U830" i="92"/>
  <c r="U831" i="92"/>
  <c r="U832" i="92"/>
  <c r="U834" i="92"/>
  <c r="U835" i="92"/>
  <c r="U837" i="92"/>
  <c r="U838" i="92"/>
  <c r="U839" i="92"/>
  <c r="U840" i="92"/>
  <c r="U841" i="92"/>
  <c r="U842" i="92"/>
  <c r="U843" i="92"/>
  <c r="U844" i="92"/>
  <c r="U846" i="92"/>
  <c r="U847" i="92"/>
  <c r="U849" i="92"/>
  <c r="U850" i="92"/>
  <c r="U851" i="92"/>
  <c r="U852" i="92"/>
  <c r="U853" i="92"/>
  <c r="U854" i="92"/>
  <c r="U855" i="92"/>
  <c r="U856" i="92"/>
  <c r="U858" i="92"/>
  <c r="U859" i="92"/>
  <c r="U861" i="92"/>
  <c r="U862" i="92"/>
  <c r="U863" i="92"/>
  <c r="U864" i="92"/>
  <c r="U865" i="92"/>
  <c r="U866" i="92"/>
  <c r="U867" i="92"/>
  <c r="U868" i="92"/>
  <c r="U869" i="92"/>
  <c r="U870" i="92"/>
  <c r="U871" i="92"/>
  <c r="U873" i="92"/>
  <c r="U874" i="92"/>
  <c r="U875" i="92"/>
  <c r="U876" i="92"/>
  <c r="U877" i="92"/>
  <c r="U878" i="92"/>
  <c r="U879" i="92"/>
  <c r="U880" i="92"/>
  <c r="U882" i="92"/>
  <c r="U883" i="92"/>
  <c r="U885" i="92"/>
  <c r="U886" i="92"/>
  <c r="U887" i="92"/>
  <c r="U888" i="92"/>
  <c r="U889" i="92"/>
  <c r="U890" i="92"/>
  <c r="U891" i="92"/>
  <c r="U892" i="92"/>
  <c r="U894" i="92"/>
  <c r="U895" i="92"/>
  <c r="U897" i="92"/>
  <c r="U898" i="92"/>
  <c r="U899" i="92"/>
  <c r="U900" i="92"/>
  <c r="U901" i="92"/>
  <c r="U902" i="92"/>
  <c r="U903" i="92"/>
  <c r="U904" i="92"/>
  <c r="U906" i="92"/>
  <c r="U907" i="92"/>
  <c r="U909" i="92"/>
  <c r="U910" i="92"/>
  <c r="U911" i="92"/>
  <c r="U912" i="92"/>
  <c r="U913" i="92"/>
  <c r="U914" i="92"/>
  <c r="U915" i="92"/>
  <c r="U916" i="92"/>
  <c r="U918" i="92"/>
  <c r="U919" i="92"/>
  <c r="U921" i="92"/>
  <c r="U922" i="92"/>
  <c r="U923" i="92"/>
  <c r="U924" i="92"/>
  <c r="U925" i="92"/>
  <c r="U926" i="92"/>
  <c r="U927" i="92"/>
  <c r="U928" i="92"/>
  <c r="U930" i="92"/>
  <c r="U931" i="92"/>
  <c r="U933" i="92"/>
  <c r="U934" i="92"/>
  <c r="U935" i="92"/>
  <c r="U936" i="92"/>
  <c r="U937" i="92"/>
  <c r="U938" i="92"/>
  <c r="U939" i="92"/>
  <c r="U940" i="92"/>
  <c r="U942" i="92"/>
  <c r="U943" i="92"/>
  <c r="U945" i="92"/>
  <c r="U946" i="92"/>
  <c r="U947" i="92"/>
  <c r="U948" i="92"/>
  <c r="U949" i="92"/>
  <c r="U950" i="92"/>
  <c r="U951" i="92"/>
  <c r="U952" i="92"/>
  <c r="U954" i="92"/>
  <c r="U955" i="92"/>
  <c r="U957" i="92"/>
  <c r="U958" i="92"/>
  <c r="U959" i="92"/>
  <c r="U960" i="92"/>
  <c r="U961" i="92"/>
  <c r="U962" i="92"/>
  <c r="U963" i="92"/>
  <c r="U964" i="92"/>
  <c r="U966" i="92"/>
  <c r="U967" i="92"/>
  <c r="U969" i="92"/>
  <c r="U970" i="92"/>
  <c r="U971" i="92"/>
  <c r="U972" i="92"/>
  <c r="U973" i="92"/>
  <c r="U974" i="92"/>
  <c r="U975" i="92"/>
  <c r="U976" i="92"/>
  <c r="U978" i="92"/>
  <c r="U979" i="92"/>
  <c r="U981" i="92"/>
  <c r="U982" i="92"/>
  <c r="U983" i="92"/>
  <c r="U984" i="92"/>
  <c r="U985" i="92"/>
  <c r="U986" i="92"/>
  <c r="U987" i="92"/>
  <c r="U988" i="92"/>
  <c r="U990" i="92"/>
  <c r="U991" i="92"/>
  <c r="U993" i="92"/>
  <c r="U994" i="92"/>
  <c r="U995" i="92"/>
  <c r="U996" i="92"/>
  <c r="U997" i="92"/>
  <c r="U998" i="92"/>
  <c r="U999" i="92"/>
  <c r="U1000" i="92"/>
  <c r="U1002" i="92"/>
  <c r="U1003" i="92"/>
  <c r="U1005" i="92"/>
  <c r="U1006" i="92"/>
  <c r="U1007" i="92"/>
  <c r="U1008" i="92"/>
  <c r="U1009" i="92"/>
  <c r="U1010" i="92"/>
  <c r="U1011" i="92"/>
  <c r="U1012" i="92"/>
  <c r="U1013" i="92"/>
  <c r="U1014" i="92"/>
  <c r="U1015" i="92"/>
  <c r="U1017" i="92"/>
  <c r="U1018" i="92"/>
  <c r="U1019" i="92"/>
  <c r="U1020" i="92"/>
  <c r="U1021" i="92"/>
  <c r="U1022" i="92"/>
  <c r="U1023" i="92"/>
  <c r="U1024" i="92"/>
  <c r="U1026" i="92"/>
  <c r="U1027" i="92"/>
  <c r="U1029" i="92"/>
  <c r="U1030" i="92"/>
  <c r="U1031" i="92"/>
  <c r="U1032" i="92"/>
  <c r="U1033" i="92"/>
  <c r="U1034" i="92"/>
  <c r="U1035" i="92"/>
  <c r="U1036" i="92"/>
  <c r="U1038" i="92"/>
  <c r="U1039" i="92"/>
  <c r="U1041" i="92"/>
  <c r="U1042" i="92"/>
  <c r="U1043" i="92"/>
  <c r="U1044" i="92"/>
  <c r="U1045" i="92"/>
  <c r="U1046" i="92"/>
  <c r="U1047" i="92"/>
  <c r="U1048" i="92"/>
  <c r="U1050" i="92"/>
  <c r="U1051" i="92"/>
  <c r="U1053" i="92"/>
  <c r="U1054" i="92"/>
  <c r="U1055" i="92"/>
  <c r="U1056" i="92"/>
  <c r="U1057" i="92"/>
  <c r="U1058" i="92"/>
  <c r="U1059" i="92"/>
  <c r="U1060" i="92"/>
  <c r="U1062" i="92"/>
  <c r="U1063" i="92"/>
  <c r="U1065" i="92"/>
  <c r="U1066" i="92"/>
  <c r="U1067" i="92"/>
  <c r="U1068" i="92"/>
  <c r="U1069" i="92"/>
  <c r="U1070" i="92"/>
  <c r="U1071" i="92"/>
  <c r="U1072" i="92"/>
  <c r="U1074" i="92"/>
  <c r="U1075" i="92"/>
  <c r="U1077" i="92"/>
  <c r="U1078" i="92"/>
  <c r="U1079" i="92"/>
  <c r="T81" i="92"/>
  <c r="T82" i="92"/>
  <c r="T83" i="92"/>
  <c r="T84" i="92"/>
  <c r="T85" i="92"/>
  <c r="T86" i="92"/>
  <c r="T87" i="92"/>
  <c r="T88" i="92"/>
  <c r="T89" i="92"/>
  <c r="T90" i="92"/>
  <c r="T91" i="92"/>
  <c r="T93" i="92"/>
  <c r="T94" i="92"/>
  <c r="T95" i="92"/>
  <c r="T96" i="92"/>
  <c r="T97" i="92"/>
  <c r="T98" i="92"/>
  <c r="T99" i="92"/>
  <c r="T100" i="92"/>
  <c r="T101" i="92"/>
  <c r="T102" i="92"/>
  <c r="T103" i="92"/>
  <c r="T105" i="92"/>
  <c r="T106" i="92"/>
  <c r="T107" i="92"/>
  <c r="T108" i="92"/>
  <c r="T109" i="92"/>
  <c r="T110" i="92"/>
  <c r="T111" i="92"/>
  <c r="T112" i="92"/>
  <c r="T113" i="92"/>
  <c r="T114" i="92"/>
  <c r="T115" i="92"/>
  <c r="T117" i="92"/>
  <c r="T118" i="92"/>
  <c r="T119" i="92"/>
  <c r="T120" i="92"/>
  <c r="T121" i="92"/>
  <c r="T122" i="92"/>
  <c r="T123" i="92"/>
  <c r="T124" i="92"/>
  <c r="T125" i="92"/>
  <c r="T126" i="92"/>
  <c r="T127" i="92"/>
  <c r="T129" i="92"/>
  <c r="T130" i="92"/>
  <c r="T131" i="92"/>
  <c r="T132" i="92"/>
  <c r="T133" i="92"/>
  <c r="T134" i="92"/>
  <c r="T135" i="92"/>
  <c r="T136" i="92"/>
  <c r="T137" i="92"/>
  <c r="T138" i="92"/>
  <c r="T139" i="92"/>
  <c r="T141" i="92"/>
  <c r="T142" i="92"/>
  <c r="T143" i="92"/>
  <c r="T144" i="92"/>
  <c r="T145" i="92"/>
  <c r="T146" i="92"/>
  <c r="T147" i="92"/>
  <c r="T148" i="92"/>
  <c r="T149" i="92"/>
  <c r="T150" i="92"/>
  <c r="T151" i="92"/>
  <c r="T153" i="92"/>
  <c r="T154" i="92"/>
  <c r="T155" i="92"/>
  <c r="T156" i="92"/>
  <c r="T157" i="92"/>
  <c r="T158" i="92"/>
  <c r="T159" i="92"/>
  <c r="T160" i="92"/>
  <c r="T161" i="92"/>
  <c r="T162" i="92"/>
  <c r="T163" i="92"/>
  <c r="T165" i="92"/>
  <c r="T166" i="92"/>
  <c r="T167" i="92"/>
  <c r="T168" i="92"/>
  <c r="T169" i="92"/>
  <c r="T170" i="92"/>
  <c r="T171" i="92"/>
  <c r="T172" i="92"/>
  <c r="T173" i="92"/>
  <c r="T174" i="92"/>
  <c r="T175" i="92"/>
  <c r="T177" i="92"/>
  <c r="T178" i="92"/>
  <c r="T179" i="92"/>
  <c r="T180" i="92"/>
  <c r="T181" i="92"/>
  <c r="T182" i="92"/>
  <c r="T183" i="92"/>
  <c r="T184" i="92"/>
  <c r="T185" i="92"/>
  <c r="T186" i="92"/>
  <c r="T187" i="92"/>
  <c r="T189" i="92"/>
  <c r="T190" i="92"/>
  <c r="T191" i="92"/>
  <c r="T192" i="92"/>
  <c r="T193" i="92"/>
  <c r="T194" i="92"/>
  <c r="T195" i="92"/>
  <c r="T196" i="92"/>
  <c r="T197" i="92"/>
  <c r="T198" i="92"/>
  <c r="T199" i="92"/>
  <c r="T201" i="92"/>
  <c r="T202" i="92"/>
  <c r="T203" i="92"/>
  <c r="T204" i="92"/>
  <c r="T205" i="92"/>
  <c r="T206" i="92"/>
  <c r="T207" i="92"/>
  <c r="T208" i="92"/>
  <c r="T209" i="92"/>
  <c r="T210" i="92"/>
  <c r="T211" i="92"/>
  <c r="T213" i="92"/>
  <c r="T214" i="92"/>
  <c r="T215" i="92"/>
  <c r="T216" i="92"/>
  <c r="T217" i="92"/>
  <c r="T218" i="92"/>
  <c r="T219" i="92"/>
  <c r="T220" i="92"/>
  <c r="T221" i="92"/>
  <c r="T222" i="92"/>
  <c r="T223" i="92"/>
  <c r="T225" i="92"/>
  <c r="T226" i="92"/>
  <c r="T227" i="92"/>
  <c r="T228" i="92"/>
  <c r="T229" i="92"/>
  <c r="T230" i="92"/>
  <c r="T231" i="92"/>
  <c r="T232" i="92"/>
  <c r="T233" i="92"/>
  <c r="T234" i="92"/>
  <c r="T235" i="92"/>
  <c r="T237" i="92"/>
  <c r="T238" i="92"/>
  <c r="T239" i="92"/>
  <c r="T240" i="92"/>
  <c r="T241" i="92"/>
  <c r="T242" i="92"/>
  <c r="T243" i="92"/>
  <c r="T244" i="92"/>
  <c r="T245" i="92"/>
  <c r="T246" i="92"/>
  <c r="T247" i="92"/>
  <c r="T249" i="92"/>
  <c r="T250" i="92"/>
  <c r="T251" i="92"/>
  <c r="T252" i="92"/>
  <c r="T253" i="92"/>
  <c r="T254" i="92"/>
  <c r="T255" i="92"/>
  <c r="T256" i="92"/>
  <c r="T257" i="92"/>
  <c r="T258" i="92"/>
  <c r="T259" i="92"/>
  <c r="T261" i="92"/>
  <c r="T262" i="92"/>
  <c r="T263" i="92"/>
  <c r="T264" i="92"/>
  <c r="T265" i="92"/>
  <c r="T266" i="92"/>
  <c r="T267" i="92"/>
  <c r="T268" i="92"/>
  <c r="T269" i="92"/>
  <c r="T270" i="92"/>
  <c r="T271" i="92"/>
  <c r="T273" i="92"/>
  <c r="T274" i="92"/>
  <c r="T275" i="92"/>
  <c r="T276" i="92"/>
  <c r="T277" i="92"/>
  <c r="T278" i="92"/>
  <c r="T279" i="92"/>
  <c r="T280" i="92"/>
  <c r="T281" i="92"/>
  <c r="T282" i="92"/>
  <c r="T283" i="92"/>
  <c r="T285" i="92"/>
  <c r="T286" i="92"/>
  <c r="T287" i="92"/>
  <c r="T288" i="92"/>
  <c r="T289" i="92"/>
  <c r="T290" i="92"/>
  <c r="T291" i="92"/>
  <c r="T292" i="92"/>
  <c r="T293" i="92"/>
  <c r="T294" i="92"/>
  <c r="T295" i="92"/>
  <c r="T297" i="92"/>
  <c r="T298" i="92"/>
  <c r="T299" i="92"/>
  <c r="T300" i="92"/>
  <c r="T301" i="92"/>
  <c r="T302" i="92"/>
  <c r="T303" i="92"/>
  <c r="T304" i="92"/>
  <c r="T305" i="92"/>
  <c r="T306" i="92"/>
  <c r="T307" i="92"/>
  <c r="T309" i="92"/>
  <c r="T310" i="92"/>
  <c r="T311" i="92"/>
  <c r="T312" i="92"/>
  <c r="T313" i="92"/>
  <c r="T314" i="92"/>
  <c r="T315" i="92"/>
  <c r="T316" i="92"/>
  <c r="T317" i="92"/>
  <c r="T318" i="92"/>
  <c r="T319" i="92"/>
  <c r="T321" i="92"/>
  <c r="T322" i="92"/>
  <c r="T323" i="92"/>
  <c r="T324" i="92"/>
  <c r="T325" i="92"/>
  <c r="T326" i="92"/>
  <c r="T327" i="92"/>
  <c r="T328" i="92"/>
  <c r="T329" i="92"/>
  <c r="T330" i="92"/>
  <c r="T331" i="92"/>
  <c r="T333" i="92"/>
  <c r="T334" i="92"/>
  <c r="T335" i="92"/>
  <c r="T336" i="92"/>
  <c r="T337" i="92"/>
  <c r="T338" i="92"/>
  <c r="T339" i="92"/>
  <c r="T340" i="92"/>
  <c r="T342" i="92"/>
  <c r="T343" i="92"/>
  <c r="T345" i="92"/>
  <c r="T346" i="92"/>
  <c r="T347" i="92"/>
  <c r="T348" i="92"/>
  <c r="T349" i="92"/>
  <c r="T350" i="92"/>
  <c r="T351" i="92"/>
  <c r="T352" i="92"/>
  <c r="T353" i="92"/>
  <c r="T354" i="92"/>
  <c r="T355" i="92"/>
  <c r="T357" i="92"/>
  <c r="T358" i="92"/>
  <c r="T359" i="92"/>
  <c r="T360" i="92"/>
  <c r="T361" i="92"/>
  <c r="T362" i="92"/>
  <c r="T363" i="92"/>
  <c r="T364" i="92"/>
  <c r="T366" i="92"/>
  <c r="T367" i="92"/>
  <c r="T369" i="92"/>
  <c r="T370" i="92"/>
  <c r="T371" i="92"/>
  <c r="T372" i="92"/>
  <c r="T373" i="92"/>
  <c r="T374" i="92"/>
  <c r="T375" i="92"/>
  <c r="T376" i="92"/>
  <c r="T378" i="92"/>
  <c r="T379" i="92"/>
  <c r="T381" i="92"/>
  <c r="T382" i="92"/>
  <c r="T383" i="92"/>
  <c r="T384" i="92"/>
  <c r="T385" i="92"/>
  <c r="T386" i="92"/>
  <c r="T387" i="92"/>
  <c r="T388" i="92"/>
  <c r="T390" i="92"/>
  <c r="T391" i="92"/>
  <c r="T393" i="92"/>
  <c r="T394" i="92"/>
  <c r="T395" i="92"/>
  <c r="T396" i="92"/>
  <c r="T397" i="92"/>
  <c r="T398" i="92"/>
  <c r="T399" i="92"/>
  <c r="T400" i="92"/>
  <c r="T402" i="92"/>
  <c r="T403" i="92"/>
  <c r="T405" i="92"/>
  <c r="T406" i="92"/>
  <c r="T407" i="92"/>
  <c r="T408" i="92"/>
  <c r="T409" i="92"/>
  <c r="T410" i="92"/>
  <c r="T411" i="92"/>
  <c r="T412" i="92"/>
  <c r="T414" i="92"/>
  <c r="T415" i="92"/>
  <c r="T417" i="92"/>
  <c r="T418" i="92"/>
  <c r="T419" i="92"/>
  <c r="T420" i="92"/>
  <c r="T421" i="92"/>
  <c r="T422" i="92"/>
  <c r="T423" i="92"/>
  <c r="T424" i="92"/>
  <c r="T426" i="92"/>
  <c r="T427" i="92"/>
  <c r="T429" i="92"/>
  <c r="T430" i="92"/>
  <c r="T431" i="92"/>
  <c r="T432" i="92"/>
  <c r="T433" i="92"/>
  <c r="T434" i="92"/>
  <c r="T435" i="92"/>
  <c r="T436" i="92"/>
  <c r="T438" i="92"/>
  <c r="T439" i="92"/>
  <c r="T441" i="92"/>
  <c r="T442" i="92"/>
  <c r="T443" i="92"/>
  <c r="T444" i="92"/>
  <c r="T445" i="92"/>
  <c r="T446" i="92"/>
  <c r="T447" i="92"/>
  <c r="T448" i="92"/>
  <c r="T450" i="92"/>
  <c r="T451" i="92"/>
  <c r="T453" i="92"/>
  <c r="T454" i="92"/>
  <c r="T455" i="92"/>
  <c r="T456" i="92"/>
  <c r="T457" i="92"/>
  <c r="T458" i="92"/>
  <c r="T459" i="92"/>
  <c r="T460" i="92"/>
  <c r="T462" i="92"/>
  <c r="T463" i="92"/>
  <c r="T465" i="92"/>
  <c r="T466" i="92"/>
  <c r="T467" i="92"/>
  <c r="T468" i="92"/>
  <c r="T469" i="92"/>
  <c r="T470" i="92"/>
  <c r="T471" i="92"/>
  <c r="T472" i="92"/>
  <c r="T474" i="92"/>
  <c r="T475" i="92"/>
  <c r="T477" i="92"/>
  <c r="T478" i="92"/>
  <c r="T479" i="92"/>
  <c r="T480" i="92"/>
  <c r="T481" i="92"/>
  <c r="T482" i="92"/>
  <c r="T483" i="92"/>
  <c r="T484" i="92"/>
  <c r="T486" i="92"/>
  <c r="T487" i="92"/>
  <c r="T489" i="92"/>
  <c r="T490" i="92"/>
  <c r="T491" i="92"/>
  <c r="T492" i="92"/>
  <c r="T493" i="92"/>
  <c r="T494" i="92"/>
  <c r="T495" i="92"/>
  <c r="T496" i="92"/>
  <c r="T497" i="92"/>
  <c r="T498" i="92"/>
  <c r="T499" i="92"/>
  <c r="T501" i="92"/>
  <c r="T502" i="92"/>
  <c r="T503" i="92"/>
  <c r="T504" i="92"/>
  <c r="T505" i="92"/>
  <c r="T506" i="92"/>
  <c r="T507" i="92"/>
  <c r="T508" i="92"/>
  <c r="T510" i="92"/>
  <c r="T511" i="92"/>
  <c r="T513" i="92"/>
  <c r="T514" i="92"/>
  <c r="T515" i="92"/>
  <c r="T516" i="92"/>
  <c r="T517" i="92"/>
  <c r="T518" i="92"/>
  <c r="T519" i="92"/>
  <c r="T520" i="92"/>
  <c r="T522" i="92"/>
  <c r="T523" i="92"/>
  <c r="T525" i="92"/>
  <c r="T526" i="92"/>
  <c r="T527" i="92"/>
  <c r="T528" i="92"/>
  <c r="T529" i="92"/>
  <c r="T530" i="92"/>
  <c r="T531" i="92"/>
  <c r="T532" i="92"/>
  <c r="T534" i="92"/>
  <c r="T535" i="92"/>
  <c r="T537" i="92"/>
  <c r="T538" i="92"/>
  <c r="T539" i="92"/>
  <c r="T540" i="92"/>
  <c r="T541" i="92"/>
  <c r="T542" i="92"/>
  <c r="T543" i="92"/>
  <c r="T544" i="92"/>
  <c r="T546" i="92"/>
  <c r="T547" i="92"/>
  <c r="T549" i="92"/>
  <c r="T550" i="92"/>
  <c r="T551" i="92"/>
  <c r="T552" i="92"/>
  <c r="T553" i="92"/>
  <c r="T554" i="92"/>
  <c r="T555" i="92"/>
  <c r="T556" i="92"/>
  <c r="T558" i="92"/>
  <c r="T559" i="92"/>
  <c r="T561" i="92"/>
  <c r="T562" i="92"/>
  <c r="T563" i="92"/>
  <c r="T564" i="92"/>
  <c r="T565" i="92"/>
  <c r="T566" i="92"/>
  <c r="T567" i="92"/>
  <c r="T568" i="92"/>
  <c r="T570" i="92"/>
  <c r="T571" i="92"/>
  <c r="T573" i="92"/>
  <c r="T574" i="92"/>
  <c r="T575" i="92"/>
  <c r="T576" i="92"/>
  <c r="T577" i="92"/>
  <c r="T578" i="92"/>
  <c r="T579" i="92"/>
  <c r="T580" i="92"/>
  <c r="T582" i="92"/>
  <c r="T583" i="92"/>
  <c r="T585" i="92"/>
  <c r="T586" i="92"/>
  <c r="T587" i="92"/>
  <c r="T588" i="92"/>
  <c r="T589" i="92"/>
  <c r="T590" i="92"/>
  <c r="T591" i="92"/>
  <c r="T592" i="92"/>
  <c r="T594" i="92"/>
  <c r="T595" i="92"/>
  <c r="T597" i="92"/>
  <c r="T598" i="92"/>
  <c r="T599" i="92"/>
  <c r="T600" i="92"/>
  <c r="T601" i="92"/>
  <c r="T602" i="92"/>
  <c r="T603" i="92"/>
  <c r="T604" i="92"/>
  <c r="T606" i="92"/>
  <c r="T607" i="92"/>
  <c r="T609" i="92"/>
  <c r="T610" i="92"/>
  <c r="T611" i="92"/>
  <c r="T612" i="92"/>
  <c r="T613" i="92"/>
  <c r="T614" i="92"/>
  <c r="T615" i="92"/>
  <c r="T616" i="92"/>
  <c r="T618" i="92"/>
  <c r="T619" i="92"/>
  <c r="T621" i="92"/>
  <c r="T622" i="92"/>
  <c r="T623" i="92"/>
  <c r="T624" i="92"/>
  <c r="T625" i="92"/>
  <c r="T626" i="92"/>
  <c r="T627" i="92"/>
  <c r="T628" i="92"/>
  <c r="T630" i="92"/>
  <c r="T631" i="92"/>
  <c r="T633" i="92"/>
  <c r="T634" i="92"/>
  <c r="T635" i="92"/>
  <c r="T636" i="92"/>
  <c r="T637" i="92"/>
  <c r="T638" i="92"/>
  <c r="T639" i="92"/>
  <c r="T640" i="92"/>
  <c r="T641" i="92"/>
  <c r="T642" i="92"/>
  <c r="T643" i="92"/>
  <c r="T645" i="92"/>
  <c r="T646" i="92"/>
  <c r="T647" i="92"/>
  <c r="T648" i="92"/>
  <c r="T649" i="92"/>
  <c r="T650" i="92"/>
  <c r="T651" i="92"/>
  <c r="T652" i="92"/>
  <c r="T654" i="92"/>
  <c r="T655" i="92"/>
  <c r="T657" i="92"/>
  <c r="T658" i="92"/>
  <c r="T659" i="92"/>
  <c r="T660" i="92"/>
  <c r="T661" i="92"/>
  <c r="T662" i="92"/>
  <c r="T663" i="92"/>
  <c r="T664" i="92"/>
  <c r="T666" i="92"/>
  <c r="T667" i="92"/>
  <c r="T669" i="92"/>
  <c r="T670" i="92"/>
  <c r="T671" i="92"/>
  <c r="T672" i="92"/>
  <c r="T673" i="92"/>
  <c r="T674" i="92"/>
  <c r="T675" i="92"/>
  <c r="T676" i="92"/>
  <c r="T678" i="92"/>
  <c r="T679" i="92"/>
  <c r="T681" i="92"/>
  <c r="T682" i="92"/>
  <c r="T683" i="92"/>
  <c r="T684" i="92"/>
  <c r="T685" i="92"/>
  <c r="T686" i="92"/>
  <c r="T687" i="92"/>
  <c r="T688" i="92"/>
  <c r="T690" i="92"/>
  <c r="T691" i="92"/>
  <c r="T693" i="92"/>
  <c r="T694" i="92"/>
  <c r="T695" i="92"/>
  <c r="T696" i="92"/>
  <c r="T697" i="92"/>
  <c r="T698" i="92"/>
  <c r="T699" i="92"/>
  <c r="T700" i="92"/>
  <c r="T702" i="92"/>
  <c r="T703" i="92"/>
  <c r="T705" i="92"/>
  <c r="T706" i="92"/>
  <c r="T707" i="92"/>
  <c r="T708" i="92"/>
  <c r="T709" i="92"/>
  <c r="T710" i="92"/>
  <c r="T711" i="92"/>
  <c r="T712" i="92"/>
  <c r="T714" i="92"/>
  <c r="T715" i="92"/>
  <c r="T717" i="92"/>
  <c r="T718" i="92"/>
  <c r="T719" i="92"/>
  <c r="T720" i="92"/>
  <c r="T721" i="92"/>
  <c r="T722" i="92"/>
  <c r="T723" i="92"/>
  <c r="T724" i="92"/>
  <c r="T726" i="92"/>
  <c r="T727" i="92"/>
  <c r="T729" i="92"/>
  <c r="T730" i="92"/>
  <c r="T731" i="92"/>
  <c r="T732" i="92"/>
  <c r="T733" i="92"/>
  <c r="T734" i="92"/>
  <c r="T735" i="92"/>
  <c r="T736" i="92"/>
  <c r="T738" i="92"/>
  <c r="T739" i="92"/>
  <c r="T741" i="92"/>
  <c r="T742" i="92"/>
  <c r="T743" i="92"/>
  <c r="T744" i="92"/>
  <c r="T745" i="92"/>
  <c r="T746" i="92"/>
  <c r="T747" i="92"/>
  <c r="T748" i="92"/>
  <c r="T750" i="92"/>
  <c r="T751" i="92"/>
  <c r="T753" i="92"/>
  <c r="T754" i="92"/>
  <c r="T755" i="92"/>
  <c r="T756" i="92"/>
  <c r="T757" i="92"/>
  <c r="T758" i="92"/>
  <c r="T759" i="92"/>
  <c r="T760" i="92"/>
  <c r="T762" i="92"/>
  <c r="T763" i="92"/>
  <c r="T765" i="92"/>
  <c r="T766" i="92"/>
  <c r="T767" i="92"/>
  <c r="T768" i="92"/>
  <c r="T769" i="92"/>
  <c r="T770" i="92"/>
  <c r="T771" i="92"/>
  <c r="T772" i="92"/>
  <c r="T774" i="92"/>
  <c r="T775" i="92"/>
  <c r="T777" i="92"/>
  <c r="T778" i="92"/>
  <c r="T779" i="92"/>
  <c r="T780" i="92"/>
  <c r="T781" i="92"/>
  <c r="T782" i="92"/>
  <c r="T783" i="92"/>
  <c r="T784" i="92"/>
  <c r="T785" i="92"/>
  <c r="T786" i="92"/>
  <c r="T787" i="92"/>
  <c r="T789" i="92"/>
  <c r="T790" i="92"/>
  <c r="T791" i="92"/>
  <c r="T792" i="92"/>
  <c r="T793" i="92"/>
  <c r="T794" i="92"/>
  <c r="T795" i="92"/>
  <c r="T796" i="92"/>
  <c r="T798" i="92"/>
  <c r="T799" i="92"/>
  <c r="T801" i="92"/>
  <c r="T802" i="92"/>
  <c r="T803" i="92"/>
  <c r="T804" i="92"/>
  <c r="T805" i="92"/>
  <c r="T806" i="92"/>
  <c r="T807" i="92"/>
  <c r="T808" i="92"/>
  <c r="T810" i="92"/>
  <c r="T811" i="92"/>
  <c r="T813" i="92"/>
  <c r="T814" i="92"/>
  <c r="T815" i="92"/>
  <c r="T816" i="92"/>
  <c r="T817" i="92"/>
  <c r="T818" i="92"/>
  <c r="T819" i="92"/>
  <c r="T820" i="92"/>
  <c r="T822" i="92"/>
  <c r="T823" i="92"/>
  <c r="T825" i="92"/>
  <c r="T826" i="92"/>
  <c r="T827" i="92"/>
  <c r="T828" i="92"/>
  <c r="T829" i="92"/>
  <c r="T830" i="92"/>
  <c r="T831" i="92"/>
  <c r="T832" i="92"/>
  <c r="T834" i="92"/>
  <c r="T835" i="92"/>
  <c r="T837" i="92"/>
  <c r="T838" i="92"/>
  <c r="T839" i="92"/>
  <c r="T840" i="92"/>
  <c r="T841" i="92"/>
  <c r="T842" i="92"/>
  <c r="T843" i="92"/>
  <c r="T844" i="92"/>
  <c r="T846" i="92"/>
  <c r="T847" i="92"/>
  <c r="T849" i="92"/>
  <c r="T850" i="92"/>
  <c r="T851" i="92"/>
  <c r="T852" i="92"/>
  <c r="T853" i="92"/>
  <c r="T854" i="92"/>
  <c r="T855" i="92"/>
  <c r="T856" i="92"/>
  <c r="T858" i="92"/>
  <c r="T859" i="92"/>
  <c r="T861" i="92"/>
  <c r="T862" i="92"/>
  <c r="T863" i="92"/>
  <c r="T864" i="92"/>
  <c r="T865" i="92"/>
  <c r="T866" i="92"/>
  <c r="T867" i="92"/>
  <c r="T868" i="92"/>
  <c r="T870" i="92"/>
  <c r="T871" i="92"/>
  <c r="T873" i="92"/>
  <c r="T874" i="92"/>
  <c r="T875" i="92"/>
  <c r="T876" i="92"/>
  <c r="T877" i="92"/>
  <c r="T878" i="92"/>
  <c r="T879" i="92"/>
  <c r="T880" i="92"/>
  <c r="T882" i="92"/>
  <c r="T883" i="92"/>
  <c r="T885" i="92"/>
  <c r="T886" i="92"/>
  <c r="T887" i="92"/>
  <c r="T888" i="92"/>
  <c r="T889" i="92"/>
  <c r="T890" i="92"/>
  <c r="T891" i="92"/>
  <c r="T892" i="92"/>
  <c r="T894" i="92"/>
  <c r="T895" i="92"/>
  <c r="T897" i="92"/>
  <c r="T898" i="92"/>
  <c r="T899" i="92"/>
  <c r="T900" i="92"/>
  <c r="T901" i="92"/>
  <c r="T902" i="92"/>
  <c r="T903" i="92"/>
  <c r="T904" i="92"/>
  <c r="T906" i="92"/>
  <c r="T907" i="92"/>
  <c r="T909" i="92"/>
  <c r="T910" i="92"/>
  <c r="T911" i="92"/>
  <c r="T912" i="92"/>
  <c r="T913" i="92"/>
  <c r="T914" i="92"/>
  <c r="T915" i="92"/>
  <c r="T916" i="92"/>
  <c r="T918" i="92"/>
  <c r="T919" i="92"/>
  <c r="T921" i="92"/>
  <c r="T922" i="92"/>
  <c r="T923" i="92"/>
  <c r="T924" i="92"/>
  <c r="T925" i="92"/>
  <c r="T926" i="92"/>
  <c r="T927" i="92"/>
  <c r="T928" i="92"/>
  <c r="T929" i="92"/>
  <c r="T930" i="92"/>
  <c r="T931" i="92"/>
  <c r="T933" i="92"/>
  <c r="T934" i="92"/>
  <c r="T935" i="92"/>
  <c r="T936" i="92"/>
  <c r="T937" i="92"/>
  <c r="T938" i="92"/>
  <c r="T939" i="92"/>
  <c r="T940" i="92"/>
  <c r="T942" i="92"/>
  <c r="T943" i="92"/>
  <c r="T945" i="92"/>
  <c r="T946" i="92"/>
  <c r="T947" i="92"/>
  <c r="T948" i="92"/>
  <c r="T949" i="92"/>
  <c r="T950" i="92"/>
  <c r="T951" i="92"/>
  <c r="T952" i="92"/>
  <c r="T954" i="92"/>
  <c r="T955" i="92"/>
  <c r="T957" i="92"/>
  <c r="T958" i="92"/>
  <c r="T959" i="92"/>
  <c r="T960" i="92"/>
  <c r="T961" i="92"/>
  <c r="T962" i="92"/>
  <c r="T963" i="92"/>
  <c r="T964" i="92"/>
  <c r="T966" i="92"/>
  <c r="T967" i="92"/>
  <c r="T969" i="92"/>
  <c r="T970" i="92"/>
  <c r="T971" i="92"/>
  <c r="T972" i="92"/>
  <c r="T973" i="92"/>
  <c r="T974" i="92"/>
  <c r="T975" i="92"/>
  <c r="T976" i="92"/>
  <c r="T978" i="92"/>
  <c r="T979" i="92"/>
  <c r="T981" i="92"/>
  <c r="T982" i="92"/>
  <c r="T983" i="92"/>
  <c r="T984" i="92"/>
  <c r="T985" i="92"/>
  <c r="T986" i="92"/>
  <c r="T987" i="92"/>
  <c r="T988" i="92"/>
  <c r="T990" i="92"/>
  <c r="T991" i="92"/>
  <c r="T993" i="92"/>
  <c r="T994" i="92"/>
  <c r="T995" i="92"/>
  <c r="T996" i="92"/>
  <c r="T997" i="92"/>
  <c r="T998" i="92"/>
  <c r="T999" i="92"/>
  <c r="T1000" i="92"/>
  <c r="T1002" i="92"/>
  <c r="T1003" i="92"/>
  <c r="T1005" i="92"/>
  <c r="T1006" i="92"/>
  <c r="T1007" i="92"/>
  <c r="T1008" i="92"/>
  <c r="T1009" i="92"/>
  <c r="T1010" i="92"/>
  <c r="T1011" i="92"/>
  <c r="T1012" i="92"/>
  <c r="T1014" i="92"/>
  <c r="T1015" i="92"/>
  <c r="T1017" i="92"/>
  <c r="T1018" i="92"/>
  <c r="T1019" i="92"/>
  <c r="T1020" i="92"/>
  <c r="T1021" i="92"/>
  <c r="T1022" i="92"/>
  <c r="T1023" i="92"/>
  <c r="T1024" i="92"/>
  <c r="T1026" i="92"/>
  <c r="T1027" i="92"/>
  <c r="T1029" i="92"/>
  <c r="T1030" i="92"/>
  <c r="T1031" i="92"/>
  <c r="T1032" i="92"/>
  <c r="T1033" i="92"/>
  <c r="T1034" i="92"/>
  <c r="T1035" i="92"/>
  <c r="T1036" i="92"/>
  <c r="T1038" i="92"/>
  <c r="T1039" i="92"/>
  <c r="T1041" i="92"/>
  <c r="T1042" i="92"/>
  <c r="T1043" i="92"/>
  <c r="T1044" i="92"/>
  <c r="T1045" i="92"/>
  <c r="T1046" i="92"/>
  <c r="T1047" i="92"/>
  <c r="T1048" i="92"/>
  <c r="T1050" i="92"/>
  <c r="T1051" i="92"/>
  <c r="T1053" i="92"/>
  <c r="T1054" i="92"/>
  <c r="T1055" i="92"/>
  <c r="T1056" i="92"/>
  <c r="T1057" i="92"/>
  <c r="T1058" i="92"/>
  <c r="T1059" i="92"/>
  <c r="T1060" i="92"/>
  <c r="T1062" i="92"/>
  <c r="T1063" i="92"/>
  <c r="T1065" i="92"/>
  <c r="T1066" i="92"/>
  <c r="T1067" i="92"/>
  <c r="T1068" i="92"/>
  <c r="T1069" i="92"/>
  <c r="T1070" i="92"/>
  <c r="T1071" i="92"/>
  <c r="T1072" i="92"/>
  <c r="T1073" i="92"/>
  <c r="T1074" i="92"/>
  <c r="T1075" i="92"/>
  <c r="T1077" i="92"/>
  <c r="T1078" i="92"/>
  <c r="T1079" i="92"/>
  <c r="S81" i="92"/>
  <c r="S82" i="92"/>
  <c r="S83" i="92"/>
  <c r="S84" i="92"/>
  <c r="S85" i="92"/>
  <c r="S86" i="92"/>
  <c r="S87" i="92"/>
  <c r="S88" i="92"/>
  <c r="S89" i="92"/>
  <c r="S90" i="92"/>
  <c r="S91" i="92"/>
  <c r="S93" i="92"/>
  <c r="S94" i="92"/>
  <c r="S95" i="92"/>
  <c r="S96" i="92"/>
  <c r="S97" i="92"/>
  <c r="S98" i="92"/>
  <c r="S99" i="92"/>
  <c r="S100" i="92"/>
  <c r="S101" i="92"/>
  <c r="S102" i="92"/>
  <c r="S103" i="92"/>
  <c r="S105" i="92"/>
  <c r="S106" i="92"/>
  <c r="S107" i="92"/>
  <c r="S108" i="92"/>
  <c r="S109" i="92"/>
  <c r="S110" i="92"/>
  <c r="S111" i="92"/>
  <c r="S112" i="92"/>
  <c r="S113" i="92"/>
  <c r="S114" i="92"/>
  <c r="S115" i="92"/>
  <c r="S117" i="92"/>
  <c r="S118" i="92"/>
  <c r="S119" i="92"/>
  <c r="S120" i="92"/>
  <c r="S121" i="92"/>
  <c r="S122" i="92"/>
  <c r="S123" i="92"/>
  <c r="S124" i="92"/>
  <c r="S125" i="92"/>
  <c r="S126" i="92"/>
  <c r="S127" i="92"/>
  <c r="S129" i="92"/>
  <c r="S130" i="92"/>
  <c r="S131" i="92"/>
  <c r="S132" i="92"/>
  <c r="S133" i="92"/>
  <c r="S134" i="92"/>
  <c r="S135" i="92"/>
  <c r="S136" i="92"/>
  <c r="S137" i="92"/>
  <c r="S138" i="92"/>
  <c r="S139" i="92"/>
  <c r="S141" i="92"/>
  <c r="S142" i="92"/>
  <c r="S143" i="92"/>
  <c r="S144" i="92"/>
  <c r="S145" i="92"/>
  <c r="S146" i="92"/>
  <c r="S147" i="92"/>
  <c r="S148" i="92"/>
  <c r="S149" i="92"/>
  <c r="S150" i="92"/>
  <c r="S151" i="92"/>
  <c r="S153" i="92"/>
  <c r="S154" i="92"/>
  <c r="S155" i="92"/>
  <c r="S156" i="92"/>
  <c r="S157" i="92"/>
  <c r="S158" i="92"/>
  <c r="S159" i="92"/>
  <c r="S160" i="92"/>
  <c r="S161" i="92"/>
  <c r="S162" i="92"/>
  <c r="S163" i="92"/>
  <c r="S165" i="92"/>
  <c r="S166" i="92"/>
  <c r="S167" i="92"/>
  <c r="S168" i="92"/>
  <c r="S169" i="92"/>
  <c r="S170" i="92"/>
  <c r="S171" i="92"/>
  <c r="S172" i="92"/>
  <c r="S173" i="92"/>
  <c r="S174" i="92"/>
  <c r="S175" i="92"/>
  <c r="S177" i="92"/>
  <c r="S178" i="92"/>
  <c r="S179" i="92"/>
  <c r="S180" i="92"/>
  <c r="S181" i="92"/>
  <c r="S182" i="92"/>
  <c r="S183" i="92"/>
  <c r="S184" i="92"/>
  <c r="S185" i="92"/>
  <c r="S186" i="92"/>
  <c r="S187" i="92"/>
  <c r="S189" i="92"/>
  <c r="S190" i="92"/>
  <c r="S191" i="92"/>
  <c r="S192" i="92"/>
  <c r="S193" i="92"/>
  <c r="S194" i="92"/>
  <c r="S195" i="92"/>
  <c r="S196" i="92"/>
  <c r="S197" i="92"/>
  <c r="S198" i="92"/>
  <c r="S199" i="92"/>
  <c r="S201" i="92"/>
  <c r="S202" i="92"/>
  <c r="S203" i="92"/>
  <c r="S204" i="92"/>
  <c r="S205" i="92"/>
  <c r="S206" i="92"/>
  <c r="S207" i="92"/>
  <c r="S208" i="92"/>
  <c r="S209" i="92"/>
  <c r="S210" i="92"/>
  <c r="S211" i="92"/>
  <c r="S213" i="92"/>
  <c r="S214" i="92"/>
  <c r="S215" i="92"/>
  <c r="S216" i="92"/>
  <c r="S217" i="92"/>
  <c r="S218" i="92"/>
  <c r="S219" i="92"/>
  <c r="S220" i="92"/>
  <c r="S221" i="92"/>
  <c r="S222" i="92"/>
  <c r="S223" i="92"/>
  <c r="S225" i="92"/>
  <c r="S226" i="92"/>
  <c r="S227" i="92"/>
  <c r="S228" i="92"/>
  <c r="S229" i="92"/>
  <c r="S230" i="92"/>
  <c r="S231" i="92"/>
  <c r="S232" i="92"/>
  <c r="S233" i="92"/>
  <c r="S234" i="92"/>
  <c r="S235" i="92"/>
  <c r="S237" i="92"/>
  <c r="S238" i="92"/>
  <c r="S239" i="92"/>
  <c r="S240" i="92"/>
  <c r="S241" i="92"/>
  <c r="S242" i="92"/>
  <c r="S243" i="92"/>
  <c r="S244" i="92"/>
  <c r="S245" i="92"/>
  <c r="S246" i="92"/>
  <c r="S247" i="92"/>
  <c r="S249" i="92"/>
  <c r="S250" i="92"/>
  <c r="S251" i="92"/>
  <c r="S252" i="92"/>
  <c r="S253" i="92"/>
  <c r="S254" i="92"/>
  <c r="S255" i="92"/>
  <c r="S256" i="92"/>
  <c r="S257" i="92"/>
  <c r="S258" i="92"/>
  <c r="S259" i="92"/>
  <c r="S261" i="92"/>
  <c r="S262" i="92"/>
  <c r="S263" i="92"/>
  <c r="S264" i="92"/>
  <c r="S265" i="92"/>
  <c r="S266" i="92"/>
  <c r="S267" i="92"/>
  <c r="S268" i="92"/>
  <c r="S269" i="92"/>
  <c r="S270" i="92"/>
  <c r="S271" i="92"/>
  <c r="S273" i="92"/>
  <c r="S274" i="92"/>
  <c r="S275" i="92"/>
  <c r="S276" i="92"/>
  <c r="S277" i="92"/>
  <c r="S278" i="92"/>
  <c r="S279" i="92"/>
  <c r="S280" i="92"/>
  <c r="S281" i="92"/>
  <c r="S282" i="92"/>
  <c r="S283" i="92"/>
  <c r="S285" i="92"/>
  <c r="S286" i="92"/>
  <c r="S287" i="92"/>
  <c r="S288" i="92"/>
  <c r="S289" i="92"/>
  <c r="S290" i="92"/>
  <c r="S291" i="92"/>
  <c r="S292" i="92"/>
  <c r="S293" i="92"/>
  <c r="S294" i="92"/>
  <c r="S295" i="92"/>
  <c r="S297" i="92"/>
  <c r="S298" i="92"/>
  <c r="S299" i="92"/>
  <c r="S300" i="92"/>
  <c r="S301" i="92"/>
  <c r="S302" i="92"/>
  <c r="S303" i="92"/>
  <c r="S304" i="92"/>
  <c r="S305" i="92"/>
  <c r="S306" i="92"/>
  <c r="S307" i="92"/>
  <c r="S309" i="92"/>
  <c r="S310" i="92"/>
  <c r="S311" i="92"/>
  <c r="S312" i="92"/>
  <c r="S313" i="92"/>
  <c r="S314" i="92"/>
  <c r="S315" i="92"/>
  <c r="S316" i="92"/>
  <c r="S317" i="92"/>
  <c r="S318" i="92"/>
  <c r="S319" i="92"/>
  <c r="S321" i="92"/>
  <c r="S322" i="92"/>
  <c r="S323" i="92"/>
  <c r="S324" i="92"/>
  <c r="S325" i="92"/>
  <c r="S326" i="92"/>
  <c r="S327" i="92"/>
  <c r="S328" i="92"/>
  <c r="S329" i="92"/>
  <c r="S330" i="92"/>
  <c r="S331" i="92"/>
  <c r="S333" i="92"/>
  <c r="S334" i="92"/>
  <c r="S335" i="92"/>
  <c r="S336" i="92"/>
  <c r="S337" i="92"/>
  <c r="S338" i="92"/>
  <c r="S339" i="92"/>
  <c r="S340" i="92"/>
  <c r="S342" i="92"/>
  <c r="S343" i="92"/>
  <c r="S345" i="92"/>
  <c r="S346" i="92"/>
  <c r="S347" i="92"/>
  <c r="S348" i="92"/>
  <c r="S349" i="92"/>
  <c r="S350" i="92"/>
  <c r="S351" i="92"/>
  <c r="S352" i="92"/>
  <c r="S354" i="92"/>
  <c r="S355" i="92"/>
  <c r="S357" i="92"/>
  <c r="S358" i="92"/>
  <c r="S359" i="92"/>
  <c r="S360" i="92"/>
  <c r="S361" i="92"/>
  <c r="S362" i="92"/>
  <c r="S363" i="92"/>
  <c r="S364" i="92"/>
  <c r="S366" i="92"/>
  <c r="S367" i="92"/>
  <c r="S369" i="92"/>
  <c r="S370" i="92"/>
  <c r="S371" i="92"/>
  <c r="S372" i="92"/>
  <c r="S373" i="92"/>
  <c r="S374" i="92"/>
  <c r="S375" i="92"/>
  <c r="S376" i="92"/>
  <c r="S378" i="92"/>
  <c r="S379" i="92"/>
  <c r="S381" i="92"/>
  <c r="S382" i="92"/>
  <c r="S383" i="92"/>
  <c r="S384" i="92"/>
  <c r="S385" i="92"/>
  <c r="S386" i="92"/>
  <c r="S387" i="92"/>
  <c r="S388" i="92"/>
  <c r="S390" i="92"/>
  <c r="S391" i="92"/>
  <c r="S393" i="92"/>
  <c r="S394" i="92"/>
  <c r="S395" i="92"/>
  <c r="S396" i="92"/>
  <c r="S397" i="92"/>
  <c r="S398" i="92"/>
  <c r="S399" i="92"/>
  <c r="S400" i="92"/>
  <c r="S402" i="92"/>
  <c r="S403" i="92"/>
  <c r="S405" i="92"/>
  <c r="S406" i="92"/>
  <c r="S407" i="92"/>
  <c r="S408" i="92"/>
  <c r="S409" i="92"/>
  <c r="S410" i="92"/>
  <c r="S411" i="92"/>
  <c r="S412" i="92"/>
  <c r="S413" i="92"/>
  <c r="S414" i="92"/>
  <c r="S415" i="92"/>
  <c r="S417" i="92"/>
  <c r="S418" i="92"/>
  <c r="S419" i="92"/>
  <c r="S420" i="92"/>
  <c r="S421" i="92"/>
  <c r="S422" i="92"/>
  <c r="S423" i="92"/>
  <c r="S424" i="92"/>
  <c r="S426" i="92"/>
  <c r="S427" i="92"/>
  <c r="S429" i="92"/>
  <c r="S430" i="92"/>
  <c r="S431" i="92"/>
  <c r="S432" i="92"/>
  <c r="S433" i="92"/>
  <c r="S434" i="92"/>
  <c r="S435" i="92"/>
  <c r="S436" i="92"/>
  <c r="S438" i="92"/>
  <c r="S439" i="92"/>
  <c r="S441" i="92"/>
  <c r="S442" i="92"/>
  <c r="S443" i="92"/>
  <c r="S444" i="92"/>
  <c r="S445" i="92"/>
  <c r="S446" i="92"/>
  <c r="S447" i="92"/>
  <c r="S448" i="92"/>
  <c r="S450" i="92"/>
  <c r="S451" i="92"/>
  <c r="S453" i="92"/>
  <c r="S454" i="92"/>
  <c r="S455" i="92"/>
  <c r="S456" i="92"/>
  <c r="S457" i="92"/>
  <c r="S458" i="92"/>
  <c r="S459" i="92"/>
  <c r="S460" i="92"/>
  <c r="S462" i="92"/>
  <c r="S463" i="92"/>
  <c r="S465" i="92"/>
  <c r="S466" i="92"/>
  <c r="S467" i="92"/>
  <c r="S468" i="92"/>
  <c r="S469" i="92"/>
  <c r="S470" i="92"/>
  <c r="S471" i="92"/>
  <c r="S472" i="92"/>
  <c r="S474" i="92"/>
  <c r="S475" i="92"/>
  <c r="S477" i="92"/>
  <c r="S478" i="92"/>
  <c r="S479" i="92"/>
  <c r="S480" i="92"/>
  <c r="S481" i="92"/>
  <c r="S482" i="92"/>
  <c r="S483" i="92"/>
  <c r="S484" i="92"/>
  <c r="S486" i="92"/>
  <c r="S487" i="92"/>
  <c r="S489" i="92"/>
  <c r="S490" i="92"/>
  <c r="S491" i="92"/>
  <c r="S492" i="92"/>
  <c r="S493" i="92"/>
  <c r="S494" i="92"/>
  <c r="S495" i="92"/>
  <c r="S496" i="92"/>
  <c r="S498" i="92"/>
  <c r="S499" i="92"/>
  <c r="S501" i="92"/>
  <c r="S502" i="92"/>
  <c r="S503" i="92"/>
  <c r="S504" i="92"/>
  <c r="S505" i="92"/>
  <c r="S506" i="92"/>
  <c r="S507" i="92"/>
  <c r="S508" i="92"/>
  <c r="S510" i="92"/>
  <c r="S511" i="92"/>
  <c r="S513" i="92"/>
  <c r="S514" i="92"/>
  <c r="S515" i="92"/>
  <c r="S516" i="92"/>
  <c r="S517" i="92"/>
  <c r="S518" i="92"/>
  <c r="S519" i="92"/>
  <c r="S520" i="92"/>
  <c r="S522" i="92"/>
  <c r="S523" i="92"/>
  <c r="S525" i="92"/>
  <c r="S526" i="92"/>
  <c r="S527" i="92"/>
  <c r="S528" i="92"/>
  <c r="S529" i="92"/>
  <c r="S530" i="92"/>
  <c r="S531" i="92"/>
  <c r="S532" i="92"/>
  <c r="S534" i="92"/>
  <c r="S535" i="92"/>
  <c r="S537" i="92"/>
  <c r="S538" i="92"/>
  <c r="S539" i="92"/>
  <c r="S540" i="92"/>
  <c r="S541" i="92"/>
  <c r="S542" i="92"/>
  <c r="S543" i="92"/>
  <c r="S544" i="92"/>
  <c r="S546" i="92"/>
  <c r="S547" i="92"/>
  <c r="S549" i="92"/>
  <c r="S550" i="92"/>
  <c r="S551" i="92"/>
  <c r="S552" i="92"/>
  <c r="S553" i="92"/>
  <c r="S554" i="92"/>
  <c r="S555" i="92"/>
  <c r="S556" i="92"/>
  <c r="S557" i="92"/>
  <c r="S558" i="92"/>
  <c r="S559" i="92"/>
  <c r="S561" i="92"/>
  <c r="S562" i="92"/>
  <c r="S563" i="92"/>
  <c r="S564" i="92"/>
  <c r="S565" i="92"/>
  <c r="S566" i="92"/>
  <c r="S567" i="92"/>
  <c r="S568" i="92"/>
  <c r="S570" i="92"/>
  <c r="S571" i="92"/>
  <c r="S573" i="92"/>
  <c r="S574" i="92"/>
  <c r="S575" i="92"/>
  <c r="S576" i="92"/>
  <c r="S577" i="92"/>
  <c r="S578" i="92"/>
  <c r="S579" i="92"/>
  <c r="S580" i="92"/>
  <c r="S582" i="92"/>
  <c r="S583" i="92"/>
  <c r="S585" i="92"/>
  <c r="S586" i="92"/>
  <c r="S587" i="92"/>
  <c r="S588" i="92"/>
  <c r="S589" i="92"/>
  <c r="S590" i="92"/>
  <c r="S591" i="92"/>
  <c r="S592" i="92"/>
  <c r="S594" i="92"/>
  <c r="S595" i="92"/>
  <c r="S597" i="92"/>
  <c r="S598" i="92"/>
  <c r="S599" i="92"/>
  <c r="S600" i="92"/>
  <c r="S601" i="92"/>
  <c r="S602" i="92"/>
  <c r="S603" i="92"/>
  <c r="S604" i="92"/>
  <c r="S606" i="92"/>
  <c r="S607" i="92"/>
  <c r="S609" i="92"/>
  <c r="S610" i="92"/>
  <c r="S611" i="92"/>
  <c r="S612" i="92"/>
  <c r="S613" i="92"/>
  <c r="S614" i="92"/>
  <c r="S615" i="92"/>
  <c r="S616" i="92"/>
  <c r="S618" i="92"/>
  <c r="S619" i="92"/>
  <c r="S621" i="92"/>
  <c r="S622" i="92"/>
  <c r="S623" i="92"/>
  <c r="S624" i="92"/>
  <c r="S625" i="92"/>
  <c r="S626" i="92"/>
  <c r="S627" i="92"/>
  <c r="S628" i="92"/>
  <c r="S630" i="92"/>
  <c r="S631" i="92"/>
  <c r="S633" i="92"/>
  <c r="S634" i="92"/>
  <c r="S635" i="92"/>
  <c r="S636" i="92"/>
  <c r="S637" i="92"/>
  <c r="S638" i="92"/>
  <c r="S639" i="92"/>
  <c r="S640" i="92"/>
  <c r="S642" i="92"/>
  <c r="S643" i="92"/>
  <c r="S645" i="92"/>
  <c r="S646" i="92"/>
  <c r="S647" i="92"/>
  <c r="S648" i="92"/>
  <c r="S649" i="92"/>
  <c r="S650" i="92"/>
  <c r="S651" i="92"/>
  <c r="S652" i="92"/>
  <c r="S654" i="92"/>
  <c r="S655" i="92"/>
  <c r="S657" i="92"/>
  <c r="S658" i="92"/>
  <c r="S659" i="92"/>
  <c r="S660" i="92"/>
  <c r="S661" i="92"/>
  <c r="S662" i="92"/>
  <c r="S663" i="92"/>
  <c r="S664" i="92"/>
  <c r="S666" i="92"/>
  <c r="S667" i="92"/>
  <c r="S669" i="92"/>
  <c r="S670" i="92"/>
  <c r="S671" i="92"/>
  <c r="S672" i="92"/>
  <c r="S673" i="92"/>
  <c r="S674" i="92"/>
  <c r="S675" i="92"/>
  <c r="S676" i="92"/>
  <c r="S678" i="92"/>
  <c r="S679" i="92"/>
  <c r="S681" i="92"/>
  <c r="S682" i="92"/>
  <c r="S683" i="92"/>
  <c r="S684" i="92"/>
  <c r="S685" i="92"/>
  <c r="S686" i="92"/>
  <c r="S687" i="92"/>
  <c r="S688" i="92"/>
  <c r="S690" i="92"/>
  <c r="S691" i="92"/>
  <c r="S693" i="92"/>
  <c r="S694" i="92"/>
  <c r="S695" i="92"/>
  <c r="S696" i="92"/>
  <c r="S697" i="92"/>
  <c r="S698" i="92"/>
  <c r="S699" i="92"/>
  <c r="S700" i="92"/>
  <c r="S701" i="92"/>
  <c r="S702" i="92"/>
  <c r="S703" i="92"/>
  <c r="S705" i="92"/>
  <c r="S706" i="92"/>
  <c r="S707" i="92"/>
  <c r="S708" i="92"/>
  <c r="S709" i="92"/>
  <c r="S710" i="92"/>
  <c r="S711" i="92"/>
  <c r="S712" i="92"/>
  <c r="S714" i="92"/>
  <c r="S715" i="92"/>
  <c r="S717" i="92"/>
  <c r="S718" i="92"/>
  <c r="S719" i="92"/>
  <c r="S720" i="92"/>
  <c r="S721" i="92"/>
  <c r="S722" i="92"/>
  <c r="S723" i="92"/>
  <c r="S724" i="92"/>
  <c r="S726" i="92"/>
  <c r="S727" i="92"/>
  <c r="S729" i="92"/>
  <c r="S730" i="92"/>
  <c r="S731" i="92"/>
  <c r="S732" i="92"/>
  <c r="S733" i="92"/>
  <c r="S734" i="92"/>
  <c r="S735" i="92"/>
  <c r="S736" i="92"/>
  <c r="S738" i="92"/>
  <c r="S739" i="92"/>
  <c r="S741" i="92"/>
  <c r="S742" i="92"/>
  <c r="S743" i="92"/>
  <c r="S744" i="92"/>
  <c r="S745" i="92"/>
  <c r="S746" i="92"/>
  <c r="S747" i="92"/>
  <c r="S748" i="92"/>
  <c r="S750" i="92"/>
  <c r="S751" i="92"/>
  <c r="S753" i="92"/>
  <c r="S754" i="92"/>
  <c r="S755" i="92"/>
  <c r="S756" i="92"/>
  <c r="S757" i="92"/>
  <c r="S758" i="92"/>
  <c r="S759" i="92"/>
  <c r="S760" i="92"/>
  <c r="S762" i="92"/>
  <c r="S763" i="92"/>
  <c r="S765" i="92"/>
  <c r="S766" i="92"/>
  <c r="S767" i="92"/>
  <c r="S768" i="92"/>
  <c r="S769" i="92"/>
  <c r="S770" i="92"/>
  <c r="S771" i="92"/>
  <c r="S772" i="92"/>
  <c r="S774" i="92"/>
  <c r="S775" i="92"/>
  <c r="S777" i="92"/>
  <c r="S778" i="92"/>
  <c r="S779" i="92"/>
  <c r="S780" i="92"/>
  <c r="S781" i="92"/>
  <c r="S782" i="92"/>
  <c r="S783" i="92"/>
  <c r="S784" i="92"/>
  <c r="S786" i="92"/>
  <c r="S787" i="92"/>
  <c r="S789" i="92"/>
  <c r="S790" i="92"/>
  <c r="S791" i="92"/>
  <c r="S792" i="92"/>
  <c r="S793" i="92"/>
  <c r="S794" i="92"/>
  <c r="S795" i="92"/>
  <c r="S796" i="92"/>
  <c r="S798" i="92"/>
  <c r="S799" i="92"/>
  <c r="S801" i="92"/>
  <c r="S802" i="92"/>
  <c r="S803" i="92"/>
  <c r="S804" i="92"/>
  <c r="S805" i="92"/>
  <c r="S806" i="92"/>
  <c r="S807" i="92"/>
  <c r="S808" i="92"/>
  <c r="S810" i="92"/>
  <c r="S811" i="92"/>
  <c r="S813" i="92"/>
  <c r="S814" i="92"/>
  <c r="S815" i="92"/>
  <c r="S816" i="92"/>
  <c r="S817" i="92"/>
  <c r="S818" i="92"/>
  <c r="S819" i="92"/>
  <c r="S820" i="92"/>
  <c r="S822" i="92"/>
  <c r="S823" i="92"/>
  <c r="S825" i="92"/>
  <c r="S826" i="92"/>
  <c r="S827" i="92"/>
  <c r="S828" i="92"/>
  <c r="S829" i="92"/>
  <c r="S830" i="92"/>
  <c r="S831" i="92"/>
  <c r="S832" i="92"/>
  <c r="S834" i="92"/>
  <c r="S835" i="92"/>
  <c r="S837" i="92"/>
  <c r="S838" i="92"/>
  <c r="S839" i="92"/>
  <c r="S840" i="92"/>
  <c r="S841" i="92"/>
  <c r="S842" i="92"/>
  <c r="S843" i="92"/>
  <c r="S844" i="92"/>
  <c r="S845" i="92"/>
  <c r="S846" i="92"/>
  <c r="S847" i="92"/>
  <c r="S849" i="92"/>
  <c r="S850" i="92"/>
  <c r="S851" i="92"/>
  <c r="S852" i="92"/>
  <c r="S853" i="92"/>
  <c r="S854" i="92"/>
  <c r="S855" i="92"/>
  <c r="S856" i="92"/>
  <c r="S858" i="92"/>
  <c r="S859" i="92"/>
  <c r="S861" i="92"/>
  <c r="S862" i="92"/>
  <c r="S863" i="92"/>
  <c r="S864" i="92"/>
  <c r="S865" i="92"/>
  <c r="S866" i="92"/>
  <c r="S867" i="92"/>
  <c r="S868" i="92"/>
  <c r="S870" i="92"/>
  <c r="S871" i="92"/>
  <c r="S873" i="92"/>
  <c r="S874" i="92"/>
  <c r="S875" i="92"/>
  <c r="S876" i="92"/>
  <c r="S877" i="92"/>
  <c r="S878" i="92"/>
  <c r="S879" i="92"/>
  <c r="S880" i="92"/>
  <c r="S882" i="92"/>
  <c r="S883" i="92"/>
  <c r="S885" i="92"/>
  <c r="S886" i="92"/>
  <c r="S887" i="92"/>
  <c r="S888" i="92"/>
  <c r="S889" i="92"/>
  <c r="S890" i="92"/>
  <c r="S891" i="92"/>
  <c r="S892" i="92"/>
  <c r="S894" i="92"/>
  <c r="S895" i="92"/>
  <c r="S897" i="92"/>
  <c r="S898" i="92"/>
  <c r="S899" i="92"/>
  <c r="S900" i="92"/>
  <c r="S901" i="92"/>
  <c r="S902" i="92"/>
  <c r="S903" i="92"/>
  <c r="S904" i="92"/>
  <c r="S906" i="92"/>
  <c r="S907" i="92"/>
  <c r="S909" i="92"/>
  <c r="S910" i="92"/>
  <c r="S911" i="92"/>
  <c r="S912" i="92"/>
  <c r="S913" i="92"/>
  <c r="S914" i="92"/>
  <c r="S915" i="92"/>
  <c r="S916" i="92"/>
  <c r="S918" i="92"/>
  <c r="S919" i="92"/>
  <c r="S921" i="92"/>
  <c r="S922" i="92"/>
  <c r="S923" i="92"/>
  <c r="S924" i="92"/>
  <c r="S925" i="92"/>
  <c r="S926" i="92"/>
  <c r="S927" i="92"/>
  <c r="S928" i="92"/>
  <c r="S930" i="92"/>
  <c r="S931" i="92"/>
  <c r="S933" i="92"/>
  <c r="S934" i="92"/>
  <c r="S935" i="92"/>
  <c r="S936" i="92"/>
  <c r="S937" i="92"/>
  <c r="S938" i="92"/>
  <c r="S939" i="92"/>
  <c r="S940" i="92"/>
  <c r="S942" i="92"/>
  <c r="S943" i="92"/>
  <c r="S945" i="92"/>
  <c r="S946" i="92"/>
  <c r="S947" i="92"/>
  <c r="S948" i="92"/>
  <c r="S949" i="92"/>
  <c r="S950" i="92"/>
  <c r="S951" i="92"/>
  <c r="S952" i="92"/>
  <c r="S954" i="92"/>
  <c r="S955" i="92"/>
  <c r="S957" i="92"/>
  <c r="S958" i="92"/>
  <c r="S959" i="92"/>
  <c r="S960" i="92"/>
  <c r="S961" i="92"/>
  <c r="S962" i="92"/>
  <c r="S963" i="92"/>
  <c r="S964" i="92"/>
  <c r="S966" i="92"/>
  <c r="S967" i="92"/>
  <c r="S969" i="92"/>
  <c r="S970" i="92"/>
  <c r="S971" i="92"/>
  <c r="S972" i="92"/>
  <c r="S973" i="92"/>
  <c r="S974" i="92"/>
  <c r="S975" i="92"/>
  <c r="S976" i="92"/>
  <c r="S978" i="92"/>
  <c r="S979" i="92"/>
  <c r="S981" i="92"/>
  <c r="S982" i="92"/>
  <c r="S983" i="92"/>
  <c r="S984" i="92"/>
  <c r="S985" i="92"/>
  <c r="S986" i="92"/>
  <c r="S987" i="92"/>
  <c r="S988" i="92"/>
  <c r="S989" i="92"/>
  <c r="S990" i="92"/>
  <c r="S991" i="92"/>
  <c r="S993" i="92"/>
  <c r="S994" i="92"/>
  <c r="S995" i="92"/>
  <c r="S996" i="92"/>
  <c r="S997" i="92"/>
  <c r="S998" i="92"/>
  <c r="S999" i="92"/>
  <c r="S1000" i="92"/>
  <c r="S1002" i="92"/>
  <c r="S1003" i="92"/>
  <c r="S1005" i="92"/>
  <c r="S1006" i="92"/>
  <c r="S1007" i="92"/>
  <c r="S1008" i="92"/>
  <c r="S1009" i="92"/>
  <c r="S1010" i="92"/>
  <c r="S1011" i="92"/>
  <c r="S1012" i="92"/>
  <c r="S1014" i="92"/>
  <c r="S1015" i="92"/>
  <c r="S1017" i="92"/>
  <c r="S1018" i="92"/>
  <c r="S1019" i="92"/>
  <c r="S1020" i="92"/>
  <c r="S1021" i="92"/>
  <c r="S1022" i="92"/>
  <c r="S1023" i="92"/>
  <c r="S1024" i="92"/>
  <c r="S1026" i="92"/>
  <c r="S1027" i="92"/>
  <c r="S1029" i="92"/>
  <c r="S1030" i="92"/>
  <c r="S1031" i="92"/>
  <c r="S1032" i="92"/>
  <c r="S1033" i="92"/>
  <c r="S1034" i="92"/>
  <c r="S1035" i="92"/>
  <c r="S1036" i="92"/>
  <c r="S1038" i="92"/>
  <c r="S1039" i="92"/>
  <c r="S1041" i="92"/>
  <c r="S1042" i="92"/>
  <c r="S1043" i="92"/>
  <c r="S1044" i="92"/>
  <c r="S1045" i="92"/>
  <c r="S1046" i="92"/>
  <c r="S1047" i="92"/>
  <c r="S1048" i="92"/>
  <c r="S1050" i="92"/>
  <c r="S1051" i="92"/>
  <c r="S1053" i="92"/>
  <c r="S1054" i="92"/>
  <c r="S1055" i="92"/>
  <c r="S1056" i="92"/>
  <c r="S1057" i="92"/>
  <c r="S1058" i="92"/>
  <c r="S1059" i="92"/>
  <c r="S1060" i="92"/>
  <c r="S1062" i="92"/>
  <c r="S1063" i="92"/>
  <c r="S1065" i="92"/>
  <c r="S1066" i="92"/>
  <c r="S1067" i="92"/>
  <c r="S1068" i="92"/>
  <c r="S1069" i="92"/>
  <c r="S1070" i="92"/>
  <c r="S1071" i="92"/>
  <c r="S1072" i="92"/>
  <c r="S1074" i="92"/>
  <c r="S1075" i="92"/>
  <c r="S1077" i="92"/>
  <c r="S1078" i="92"/>
  <c r="S1079" i="92"/>
  <c r="R81" i="92"/>
  <c r="R82" i="92"/>
  <c r="R83" i="92"/>
  <c r="R84" i="92"/>
  <c r="R85" i="92"/>
  <c r="R86" i="92"/>
  <c r="R87" i="92"/>
  <c r="R88" i="92"/>
  <c r="R89" i="92"/>
  <c r="R90" i="92"/>
  <c r="R91" i="92"/>
  <c r="R93" i="92"/>
  <c r="R94" i="92"/>
  <c r="R95" i="92"/>
  <c r="R96" i="92"/>
  <c r="R97" i="92"/>
  <c r="R98" i="92"/>
  <c r="R99" i="92"/>
  <c r="R100" i="92"/>
  <c r="R101" i="92"/>
  <c r="R102" i="92"/>
  <c r="R103" i="92"/>
  <c r="R105" i="92"/>
  <c r="R106" i="92"/>
  <c r="R107" i="92"/>
  <c r="R108" i="92"/>
  <c r="R109" i="92"/>
  <c r="R110" i="92"/>
  <c r="R111" i="92"/>
  <c r="R112" i="92"/>
  <c r="R113" i="92"/>
  <c r="R114" i="92"/>
  <c r="R115" i="92"/>
  <c r="R117" i="92"/>
  <c r="R118" i="92"/>
  <c r="R119" i="92"/>
  <c r="R120" i="92"/>
  <c r="R121" i="92"/>
  <c r="R122" i="92"/>
  <c r="R123" i="92"/>
  <c r="R124" i="92"/>
  <c r="R125" i="92"/>
  <c r="R126" i="92"/>
  <c r="R127" i="92"/>
  <c r="R129" i="92"/>
  <c r="R130" i="92"/>
  <c r="R131" i="92"/>
  <c r="R132" i="92"/>
  <c r="R133" i="92"/>
  <c r="R134" i="92"/>
  <c r="R135" i="92"/>
  <c r="R136" i="92"/>
  <c r="R137" i="92"/>
  <c r="R138" i="92"/>
  <c r="R139" i="92"/>
  <c r="R141" i="92"/>
  <c r="R142" i="92"/>
  <c r="R143" i="92"/>
  <c r="R144" i="92"/>
  <c r="R145" i="92"/>
  <c r="R146" i="92"/>
  <c r="R147" i="92"/>
  <c r="R148" i="92"/>
  <c r="R149" i="92"/>
  <c r="R150" i="92"/>
  <c r="R151" i="92"/>
  <c r="R153" i="92"/>
  <c r="R154" i="92"/>
  <c r="R155" i="92"/>
  <c r="R156" i="92"/>
  <c r="R157" i="92"/>
  <c r="R158" i="92"/>
  <c r="R159" i="92"/>
  <c r="R160" i="92"/>
  <c r="R161" i="92"/>
  <c r="R162" i="92"/>
  <c r="R163" i="92"/>
  <c r="R165" i="92"/>
  <c r="R166" i="92"/>
  <c r="R167" i="92"/>
  <c r="R168" i="92"/>
  <c r="R169" i="92"/>
  <c r="R170" i="92"/>
  <c r="R171" i="92"/>
  <c r="R172" i="92"/>
  <c r="R173" i="92"/>
  <c r="R174" i="92"/>
  <c r="R175" i="92"/>
  <c r="R177" i="92"/>
  <c r="R178" i="92"/>
  <c r="R179" i="92"/>
  <c r="R180" i="92"/>
  <c r="R181" i="92"/>
  <c r="R182" i="92"/>
  <c r="R183" i="92"/>
  <c r="R184" i="92"/>
  <c r="R185" i="92"/>
  <c r="R186" i="92"/>
  <c r="R187" i="92"/>
  <c r="R189" i="92"/>
  <c r="R190" i="92"/>
  <c r="R191" i="92"/>
  <c r="R192" i="92"/>
  <c r="R193" i="92"/>
  <c r="R194" i="92"/>
  <c r="R195" i="92"/>
  <c r="R196" i="92"/>
  <c r="R197" i="92"/>
  <c r="R198" i="92"/>
  <c r="R199" i="92"/>
  <c r="R201" i="92"/>
  <c r="R202" i="92"/>
  <c r="R203" i="92"/>
  <c r="R204" i="92"/>
  <c r="R205" i="92"/>
  <c r="R206" i="92"/>
  <c r="R207" i="92"/>
  <c r="R208" i="92"/>
  <c r="R209" i="92"/>
  <c r="R210" i="92"/>
  <c r="R211" i="92"/>
  <c r="R213" i="92"/>
  <c r="R214" i="92"/>
  <c r="R215" i="92"/>
  <c r="R216" i="92"/>
  <c r="R217" i="92"/>
  <c r="R218" i="92"/>
  <c r="R219" i="92"/>
  <c r="R220" i="92"/>
  <c r="R221" i="92"/>
  <c r="R222" i="92"/>
  <c r="R223" i="92"/>
  <c r="R225" i="92"/>
  <c r="R226" i="92"/>
  <c r="R227" i="92"/>
  <c r="R228" i="92"/>
  <c r="R229" i="92"/>
  <c r="R230" i="92"/>
  <c r="R231" i="92"/>
  <c r="R232" i="92"/>
  <c r="R233" i="92"/>
  <c r="R234" i="92"/>
  <c r="R235" i="92"/>
  <c r="R237" i="92"/>
  <c r="R238" i="92"/>
  <c r="R239" i="92"/>
  <c r="R240" i="92"/>
  <c r="R241" i="92"/>
  <c r="R242" i="92"/>
  <c r="R243" i="92"/>
  <c r="R244" i="92"/>
  <c r="R245" i="92"/>
  <c r="R246" i="92"/>
  <c r="R247" i="92"/>
  <c r="R249" i="92"/>
  <c r="R250" i="92"/>
  <c r="R251" i="92"/>
  <c r="R252" i="92"/>
  <c r="R253" i="92"/>
  <c r="R254" i="92"/>
  <c r="R255" i="92"/>
  <c r="R256" i="92"/>
  <c r="R257" i="92"/>
  <c r="R258" i="92"/>
  <c r="R259" i="92"/>
  <c r="R261" i="92"/>
  <c r="R262" i="92"/>
  <c r="R263" i="92"/>
  <c r="R264" i="92"/>
  <c r="R265" i="92"/>
  <c r="R266" i="92"/>
  <c r="R267" i="92"/>
  <c r="R268" i="92"/>
  <c r="R269" i="92"/>
  <c r="R270" i="92"/>
  <c r="R271" i="92"/>
  <c r="R273" i="92"/>
  <c r="R274" i="92"/>
  <c r="R275" i="92"/>
  <c r="R276" i="92"/>
  <c r="R277" i="92"/>
  <c r="R278" i="92"/>
  <c r="R279" i="92"/>
  <c r="R280" i="92"/>
  <c r="R281" i="92"/>
  <c r="R282" i="92"/>
  <c r="R283" i="92"/>
  <c r="R285" i="92"/>
  <c r="R286" i="92"/>
  <c r="R287" i="92"/>
  <c r="R288" i="92"/>
  <c r="R289" i="92"/>
  <c r="R290" i="92"/>
  <c r="R291" i="92"/>
  <c r="R292" i="92"/>
  <c r="R293" i="92"/>
  <c r="R294" i="92"/>
  <c r="R295" i="92"/>
  <c r="R297" i="92"/>
  <c r="R298" i="92"/>
  <c r="R299" i="92"/>
  <c r="R300" i="92"/>
  <c r="R301" i="92"/>
  <c r="R302" i="92"/>
  <c r="R303" i="92"/>
  <c r="R304" i="92"/>
  <c r="R305" i="92"/>
  <c r="R306" i="92"/>
  <c r="R307" i="92"/>
  <c r="R309" i="92"/>
  <c r="R310" i="92"/>
  <c r="R311" i="92"/>
  <c r="R312" i="92"/>
  <c r="R313" i="92"/>
  <c r="R314" i="92"/>
  <c r="R315" i="92"/>
  <c r="R316" i="92"/>
  <c r="R317" i="92"/>
  <c r="R318" i="92"/>
  <c r="R319" i="92"/>
  <c r="R321" i="92"/>
  <c r="R322" i="92"/>
  <c r="R323" i="92"/>
  <c r="R324" i="92"/>
  <c r="R325" i="92"/>
  <c r="R326" i="92"/>
  <c r="R327" i="92"/>
  <c r="R328" i="92"/>
  <c r="R329" i="92"/>
  <c r="R330" i="92"/>
  <c r="R331" i="92"/>
  <c r="R333" i="92"/>
  <c r="R334" i="92"/>
  <c r="R335" i="92"/>
  <c r="R336" i="92"/>
  <c r="R337" i="92"/>
  <c r="R338" i="92"/>
  <c r="R339" i="92"/>
  <c r="R340" i="92"/>
  <c r="R342" i="92"/>
  <c r="R343" i="92"/>
  <c r="R345" i="92"/>
  <c r="R346" i="92"/>
  <c r="R347" i="92"/>
  <c r="R348" i="92"/>
  <c r="R349" i="92"/>
  <c r="R350" i="92"/>
  <c r="R351" i="92"/>
  <c r="R352" i="92"/>
  <c r="R353" i="92"/>
  <c r="R354" i="92"/>
  <c r="R355" i="92"/>
  <c r="R357" i="92"/>
  <c r="R358" i="92"/>
  <c r="R359" i="92"/>
  <c r="R360" i="92"/>
  <c r="R361" i="92"/>
  <c r="R362" i="92"/>
  <c r="R363" i="92"/>
  <c r="R364" i="92"/>
  <c r="R366" i="92"/>
  <c r="R367" i="92"/>
  <c r="R369" i="92"/>
  <c r="R370" i="92"/>
  <c r="R371" i="92"/>
  <c r="R372" i="92"/>
  <c r="R373" i="92"/>
  <c r="R374" i="92"/>
  <c r="R375" i="92"/>
  <c r="R376" i="92"/>
  <c r="R378" i="92"/>
  <c r="R379" i="92"/>
  <c r="R381" i="92"/>
  <c r="R382" i="92"/>
  <c r="R383" i="92"/>
  <c r="R384" i="92"/>
  <c r="R385" i="92"/>
  <c r="R386" i="92"/>
  <c r="R387" i="92"/>
  <c r="R388" i="92"/>
  <c r="R390" i="92"/>
  <c r="R391" i="92"/>
  <c r="R393" i="92"/>
  <c r="R394" i="92"/>
  <c r="R395" i="92"/>
  <c r="R396" i="92"/>
  <c r="R397" i="92"/>
  <c r="R398" i="92"/>
  <c r="R399" i="92"/>
  <c r="R400" i="92"/>
  <c r="R402" i="92"/>
  <c r="R403" i="92"/>
  <c r="R405" i="92"/>
  <c r="R406" i="92"/>
  <c r="R407" i="92"/>
  <c r="R408" i="92"/>
  <c r="R409" i="92"/>
  <c r="R410" i="92"/>
  <c r="R411" i="92"/>
  <c r="R412" i="92"/>
  <c r="R414" i="92"/>
  <c r="R415" i="92"/>
  <c r="R417" i="92"/>
  <c r="R418" i="92"/>
  <c r="R419" i="92"/>
  <c r="R420" i="92"/>
  <c r="R421" i="92"/>
  <c r="R422" i="92"/>
  <c r="R423" i="92"/>
  <c r="R424" i="92"/>
  <c r="R426" i="92"/>
  <c r="R427" i="92"/>
  <c r="R429" i="92"/>
  <c r="R430" i="92"/>
  <c r="R431" i="92"/>
  <c r="R432" i="92"/>
  <c r="R433" i="92"/>
  <c r="R434" i="92"/>
  <c r="R435" i="92"/>
  <c r="R436" i="92"/>
  <c r="R438" i="92"/>
  <c r="R439" i="92"/>
  <c r="R441" i="92"/>
  <c r="R442" i="92"/>
  <c r="R443" i="92"/>
  <c r="R444" i="92"/>
  <c r="R445" i="92"/>
  <c r="R446" i="92"/>
  <c r="R447" i="92"/>
  <c r="R448" i="92"/>
  <c r="R450" i="92"/>
  <c r="R451" i="92"/>
  <c r="R453" i="92"/>
  <c r="R454" i="92"/>
  <c r="R455" i="92"/>
  <c r="R456" i="92"/>
  <c r="R457" i="92"/>
  <c r="R458" i="92"/>
  <c r="R459" i="92"/>
  <c r="R460" i="92"/>
  <c r="R462" i="92"/>
  <c r="R463" i="92"/>
  <c r="R465" i="92"/>
  <c r="R466" i="92"/>
  <c r="R467" i="92"/>
  <c r="R468" i="92"/>
  <c r="R469" i="92"/>
  <c r="R470" i="92"/>
  <c r="R471" i="92"/>
  <c r="R472" i="92"/>
  <c r="R473" i="92"/>
  <c r="R474" i="92"/>
  <c r="R475" i="92"/>
  <c r="R477" i="92"/>
  <c r="R478" i="92"/>
  <c r="R479" i="92"/>
  <c r="R480" i="92"/>
  <c r="R481" i="92"/>
  <c r="R482" i="92"/>
  <c r="R483" i="92"/>
  <c r="R484" i="92"/>
  <c r="R486" i="92"/>
  <c r="R487" i="92"/>
  <c r="R489" i="92"/>
  <c r="R490" i="92"/>
  <c r="R491" i="92"/>
  <c r="R492" i="92"/>
  <c r="R493" i="92"/>
  <c r="R494" i="92"/>
  <c r="R495" i="92"/>
  <c r="R496" i="92"/>
  <c r="R497" i="92"/>
  <c r="R498" i="92"/>
  <c r="R499" i="92"/>
  <c r="R501" i="92"/>
  <c r="R502" i="92"/>
  <c r="R503" i="92"/>
  <c r="R504" i="92"/>
  <c r="R505" i="92"/>
  <c r="R506" i="92"/>
  <c r="R507" i="92"/>
  <c r="R508" i="92"/>
  <c r="R510" i="92"/>
  <c r="R511" i="92"/>
  <c r="R513" i="92"/>
  <c r="R514" i="92"/>
  <c r="R515" i="92"/>
  <c r="R516" i="92"/>
  <c r="R517" i="92"/>
  <c r="R518" i="92"/>
  <c r="R519" i="92"/>
  <c r="R520" i="92"/>
  <c r="R522" i="92"/>
  <c r="R523" i="92"/>
  <c r="R525" i="92"/>
  <c r="R526" i="92"/>
  <c r="R527" i="92"/>
  <c r="R528" i="92"/>
  <c r="R529" i="92"/>
  <c r="R530" i="92"/>
  <c r="R531" i="92"/>
  <c r="R532" i="92"/>
  <c r="R534" i="92"/>
  <c r="R535" i="92"/>
  <c r="R537" i="92"/>
  <c r="R538" i="92"/>
  <c r="R539" i="92"/>
  <c r="R540" i="92"/>
  <c r="R541" i="92"/>
  <c r="R542" i="92"/>
  <c r="R543" i="92"/>
  <c r="R544" i="92"/>
  <c r="R546" i="92"/>
  <c r="R547" i="92"/>
  <c r="R549" i="92"/>
  <c r="R550" i="92"/>
  <c r="R551" i="92"/>
  <c r="R552" i="92"/>
  <c r="R553" i="92"/>
  <c r="R554" i="92"/>
  <c r="R555" i="92"/>
  <c r="R556" i="92"/>
  <c r="R558" i="92"/>
  <c r="R559" i="92"/>
  <c r="R561" i="92"/>
  <c r="R562" i="92"/>
  <c r="R563" i="92"/>
  <c r="R564" i="92"/>
  <c r="R565" i="92"/>
  <c r="R566" i="92"/>
  <c r="R567" i="92"/>
  <c r="R568" i="92"/>
  <c r="R570" i="92"/>
  <c r="R571" i="92"/>
  <c r="R573" i="92"/>
  <c r="R574" i="92"/>
  <c r="R575" i="92"/>
  <c r="R576" i="92"/>
  <c r="R577" i="92"/>
  <c r="R578" i="92"/>
  <c r="R579" i="92"/>
  <c r="R580" i="92"/>
  <c r="R582" i="92"/>
  <c r="R583" i="92"/>
  <c r="R585" i="92"/>
  <c r="R586" i="92"/>
  <c r="R587" i="92"/>
  <c r="R588" i="92"/>
  <c r="R589" i="92"/>
  <c r="R590" i="92"/>
  <c r="R591" i="92"/>
  <c r="R592" i="92"/>
  <c r="R594" i="92"/>
  <c r="R595" i="92"/>
  <c r="R597" i="92"/>
  <c r="R598" i="92"/>
  <c r="R599" i="92"/>
  <c r="R600" i="92"/>
  <c r="R601" i="92"/>
  <c r="R602" i="92"/>
  <c r="R603" i="92"/>
  <c r="R604" i="92"/>
  <c r="R606" i="92"/>
  <c r="R607" i="92"/>
  <c r="R609" i="92"/>
  <c r="R610" i="92"/>
  <c r="R611" i="92"/>
  <c r="R612" i="92"/>
  <c r="R613" i="92"/>
  <c r="R614" i="92"/>
  <c r="R615" i="92"/>
  <c r="R616" i="92"/>
  <c r="R617" i="92"/>
  <c r="R618" i="92"/>
  <c r="R619" i="92"/>
  <c r="R621" i="92"/>
  <c r="R622" i="92"/>
  <c r="R623" i="92"/>
  <c r="R624" i="92"/>
  <c r="R625" i="92"/>
  <c r="R626" i="92"/>
  <c r="R627" i="92"/>
  <c r="R628" i="92"/>
  <c r="R630" i="92"/>
  <c r="R631" i="92"/>
  <c r="R633" i="92"/>
  <c r="R634" i="92"/>
  <c r="R635" i="92"/>
  <c r="R636" i="92"/>
  <c r="R637" i="92"/>
  <c r="R638" i="92"/>
  <c r="R639" i="92"/>
  <c r="R640" i="92"/>
  <c r="R641" i="92"/>
  <c r="R642" i="92"/>
  <c r="R643" i="92"/>
  <c r="R645" i="92"/>
  <c r="R646" i="92"/>
  <c r="R647" i="92"/>
  <c r="R648" i="92"/>
  <c r="R649" i="92"/>
  <c r="R650" i="92"/>
  <c r="R651" i="92"/>
  <c r="R652" i="92"/>
  <c r="R654" i="92"/>
  <c r="R655" i="92"/>
  <c r="R657" i="92"/>
  <c r="R658" i="92"/>
  <c r="R659" i="92"/>
  <c r="R660" i="92"/>
  <c r="R661" i="92"/>
  <c r="R662" i="92"/>
  <c r="R663" i="92"/>
  <c r="R664" i="92"/>
  <c r="R666" i="92"/>
  <c r="R667" i="92"/>
  <c r="R669" i="92"/>
  <c r="R670" i="92"/>
  <c r="R671" i="92"/>
  <c r="R672" i="92"/>
  <c r="R673" i="92"/>
  <c r="R674" i="92"/>
  <c r="R675" i="92"/>
  <c r="R676" i="92"/>
  <c r="R678" i="92"/>
  <c r="R679" i="92"/>
  <c r="R681" i="92"/>
  <c r="R682" i="92"/>
  <c r="R683" i="92"/>
  <c r="R684" i="92"/>
  <c r="R685" i="92"/>
  <c r="R686" i="92"/>
  <c r="R687" i="92"/>
  <c r="R688" i="92"/>
  <c r="R690" i="92"/>
  <c r="R691" i="92"/>
  <c r="R693" i="92"/>
  <c r="R694" i="92"/>
  <c r="R695" i="92"/>
  <c r="R696" i="92"/>
  <c r="R697" i="92"/>
  <c r="R698" i="92"/>
  <c r="R699" i="92"/>
  <c r="R700" i="92"/>
  <c r="R702" i="92"/>
  <c r="R703" i="92"/>
  <c r="R705" i="92"/>
  <c r="R706" i="92"/>
  <c r="R707" i="92"/>
  <c r="R708" i="92"/>
  <c r="R709" i="92"/>
  <c r="R710" i="92"/>
  <c r="R711" i="92"/>
  <c r="R712" i="92"/>
  <c r="R714" i="92"/>
  <c r="R715" i="92"/>
  <c r="R717" i="92"/>
  <c r="R718" i="92"/>
  <c r="R719" i="92"/>
  <c r="R720" i="92"/>
  <c r="R721" i="92"/>
  <c r="R722" i="92"/>
  <c r="R723" i="92"/>
  <c r="R724" i="92"/>
  <c r="R726" i="92"/>
  <c r="R727" i="92"/>
  <c r="R729" i="92"/>
  <c r="R730" i="92"/>
  <c r="R731" i="92"/>
  <c r="R732" i="92"/>
  <c r="R733" i="92"/>
  <c r="R734" i="92"/>
  <c r="R735" i="92"/>
  <c r="R736" i="92"/>
  <c r="R738" i="92"/>
  <c r="R739" i="92"/>
  <c r="R741" i="92"/>
  <c r="R742" i="92"/>
  <c r="R743" i="92"/>
  <c r="R744" i="92"/>
  <c r="R745" i="92"/>
  <c r="R746" i="92"/>
  <c r="R747" i="92"/>
  <c r="R748" i="92"/>
  <c r="R750" i="92"/>
  <c r="R751" i="92"/>
  <c r="R753" i="92"/>
  <c r="R754" i="92"/>
  <c r="R755" i="92"/>
  <c r="R756" i="92"/>
  <c r="R757" i="92"/>
  <c r="R758" i="92"/>
  <c r="R759" i="92"/>
  <c r="R760" i="92"/>
  <c r="R761" i="92"/>
  <c r="R762" i="92"/>
  <c r="R763" i="92"/>
  <c r="R765" i="92"/>
  <c r="R766" i="92"/>
  <c r="R767" i="92"/>
  <c r="R768" i="92"/>
  <c r="R769" i="92"/>
  <c r="R770" i="92"/>
  <c r="R771" i="92"/>
  <c r="R772" i="92"/>
  <c r="R774" i="92"/>
  <c r="R775" i="92"/>
  <c r="R777" i="92"/>
  <c r="R778" i="92"/>
  <c r="R779" i="92"/>
  <c r="R780" i="92"/>
  <c r="R781" i="92"/>
  <c r="R782" i="92"/>
  <c r="R783" i="92"/>
  <c r="R784" i="92"/>
  <c r="R786" i="92"/>
  <c r="R787" i="92"/>
  <c r="R789" i="92"/>
  <c r="R790" i="92"/>
  <c r="R791" i="92"/>
  <c r="R792" i="92"/>
  <c r="R793" i="92"/>
  <c r="R794" i="92"/>
  <c r="R795" i="92"/>
  <c r="R796" i="92"/>
  <c r="R798" i="92"/>
  <c r="R799" i="92"/>
  <c r="R801" i="92"/>
  <c r="R802" i="92"/>
  <c r="R803" i="92"/>
  <c r="R804" i="92"/>
  <c r="R805" i="92"/>
  <c r="R806" i="92"/>
  <c r="R807" i="92"/>
  <c r="R808" i="92"/>
  <c r="R810" i="92"/>
  <c r="R811" i="92"/>
  <c r="R813" i="92"/>
  <c r="R814" i="92"/>
  <c r="R815" i="92"/>
  <c r="R816" i="92"/>
  <c r="R817" i="92"/>
  <c r="R818" i="92"/>
  <c r="R819" i="92"/>
  <c r="R820" i="92"/>
  <c r="R822" i="92"/>
  <c r="R823" i="92"/>
  <c r="R825" i="92"/>
  <c r="R826" i="92"/>
  <c r="R827" i="92"/>
  <c r="R828" i="92"/>
  <c r="R829" i="92"/>
  <c r="R830" i="92"/>
  <c r="R831" i="92"/>
  <c r="R832" i="92"/>
  <c r="R834" i="92"/>
  <c r="R835" i="92"/>
  <c r="R837" i="92"/>
  <c r="R838" i="92"/>
  <c r="R839" i="92"/>
  <c r="R840" i="92"/>
  <c r="R841" i="92"/>
  <c r="R842" i="92"/>
  <c r="R843" i="92"/>
  <c r="R844" i="92"/>
  <c r="R846" i="92"/>
  <c r="R847" i="92"/>
  <c r="R849" i="92"/>
  <c r="R850" i="92"/>
  <c r="R851" i="92"/>
  <c r="R852" i="92"/>
  <c r="R853" i="92"/>
  <c r="R854" i="92"/>
  <c r="R855" i="92"/>
  <c r="R856" i="92"/>
  <c r="R858" i="92"/>
  <c r="R859" i="92"/>
  <c r="R861" i="92"/>
  <c r="R862" i="92"/>
  <c r="R863" i="92"/>
  <c r="R864" i="92"/>
  <c r="R865" i="92"/>
  <c r="R866" i="92"/>
  <c r="R867" i="92"/>
  <c r="R868" i="92"/>
  <c r="R870" i="92"/>
  <c r="R871" i="92"/>
  <c r="R873" i="92"/>
  <c r="R874" i="92"/>
  <c r="R875" i="92"/>
  <c r="R876" i="92"/>
  <c r="R877" i="92"/>
  <c r="R878" i="92"/>
  <c r="R879" i="92"/>
  <c r="R880" i="92"/>
  <c r="R882" i="92"/>
  <c r="R883" i="92"/>
  <c r="R885" i="92"/>
  <c r="R886" i="92"/>
  <c r="R887" i="92"/>
  <c r="R888" i="92"/>
  <c r="R889" i="92"/>
  <c r="R890" i="92"/>
  <c r="R891" i="92"/>
  <c r="R892" i="92"/>
  <c r="R894" i="92"/>
  <c r="R895" i="92"/>
  <c r="R897" i="92"/>
  <c r="R898" i="92"/>
  <c r="R899" i="92"/>
  <c r="R900" i="92"/>
  <c r="R901" i="92"/>
  <c r="R902" i="92"/>
  <c r="R903" i="92"/>
  <c r="R904" i="92"/>
  <c r="R905" i="92"/>
  <c r="R906" i="92"/>
  <c r="R907" i="92"/>
  <c r="R909" i="92"/>
  <c r="R910" i="92"/>
  <c r="R911" i="92"/>
  <c r="R912" i="92"/>
  <c r="R913" i="92"/>
  <c r="R914" i="92"/>
  <c r="R915" i="92"/>
  <c r="R916" i="92"/>
  <c r="R918" i="92"/>
  <c r="R919" i="92"/>
  <c r="R921" i="92"/>
  <c r="R922" i="92"/>
  <c r="R923" i="92"/>
  <c r="R924" i="92"/>
  <c r="R925" i="92"/>
  <c r="R926" i="92"/>
  <c r="R927" i="92"/>
  <c r="R928" i="92"/>
  <c r="R930" i="92"/>
  <c r="R931" i="92"/>
  <c r="R933" i="92"/>
  <c r="R934" i="92"/>
  <c r="R935" i="92"/>
  <c r="R936" i="92"/>
  <c r="R937" i="92"/>
  <c r="R938" i="92"/>
  <c r="R939" i="92"/>
  <c r="R940" i="92"/>
  <c r="R942" i="92"/>
  <c r="R943" i="92"/>
  <c r="R945" i="92"/>
  <c r="R946" i="92"/>
  <c r="R947" i="92"/>
  <c r="R948" i="92"/>
  <c r="R949" i="92"/>
  <c r="R950" i="92"/>
  <c r="R951" i="92"/>
  <c r="R952" i="92"/>
  <c r="R954" i="92"/>
  <c r="R955" i="92"/>
  <c r="R957" i="92"/>
  <c r="R958" i="92"/>
  <c r="R959" i="92"/>
  <c r="R960" i="92"/>
  <c r="R961" i="92"/>
  <c r="R962" i="92"/>
  <c r="R963" i="92"/>
  <c r="R964" i="92"/>
  <c r="R966" i="92"/>
  <c r="R967" i="92"/>
  <c r="R969" i="92"/>
  <c r="R970" i="92"/>
  <c r="R971" i="92"/>
  <c r="R972" i="92"/>
  <c r="R973" i="92"/>
  <c r="R974" i="92"/>
  <c r="R975" i="92"/>
  <c r="R976" i="92"/>
  <c r="R978" i="92"/>
  <c r="R979" i="92"/>
  <c r="R981" i="92"/>
  <c r="R982" i="92"/>
  <c r="R983" i="92"/>
  <c r="R984" i="92"/>
  <c r="R985" i="92"/>
  <c r="R986" i="92"/>
  <c r="R987" i="92"/>
  <c r="R988" i="92"/>
  <c r="R990" i="92"/>
  <c r="R991" i="92"/>
  <c r="R993" i="92"/>
  <c r="R994" i="92"/>
  <c r="R995" i="92"/>
  <c r="R996" i="92"/>
  <c r="R997" i="92"/>
  <c r="R998" i="92"/>
  <c r="R999" i="92"/>
  <c r="R1000" i="92"/>
  <c r="R1002" i="92"/>
  <c r="R1003" i="92"/>
  <c r="R1005" i="92"/>
  <c r="R1006" i="92"/>
  <c r="R1007" i="92"/>
  <c r="R1008" i="92"/>
  <c r="R1009" i="92"/>
  <c r="R1010" i="92"/>
  <c r="R1011" i="92"/>
  <c r="R1012" i="92"/>
  <c r="R1014" i="92"/>
  <c r="R1015" i="92"/>
  <c r="R1017" i="92"/>
  <c r="R1018" i="92"/>
  <c r="R1019" i="92"/>
  <c r="R1020" i="92"/>
  <c r="R1021" i="92"/>
  <c r="R1022" i="92"/>
  <c r="R1023" i="92"/>
  <c r="R1024" i="92"/>
  <c r="R1026" i="92"/>
  <c r="R1027" i="92"/>
  <c r="R1029" i="92"/>
  <c r="R1030" i="92"/>
  <c r="R1031" i="92"/>
  <c r="R1032" i="92"/>
  <c r="R1033" i="92"/>
  <c r="R1034" i="92"/>
  <c r="R1035" i="92"/>
  <c r="R1036" i="92"/>
  <c r="R1038" i="92"/>
  <c r="R1039" i="92"/>
  <c r="R1041" i="92"/>
  <c r="R1042" i="92"/>
  <c r="R1043" i="92"/>
  <c r="R1044" i="92"/>
  <c r="R1045" i="92"/>
  <c r="R1046" i="92"/>
  <c r="R1047" i="92"/>
  <c r="R1048" i="92"/>
  <c r="R1049" i="92"/>
  <c r="R1050" i="92"/>
  <c r="R1051" i="92"/>
  <c r="R1053" i="92"/>
  <c r="R1054" i="92"/>
  <c r="R1055" i="92"/>
  <c r="R1056" i="92"/>
  <c r="R1057" i="92"/>
  <c r="R1058" i="92"/>
  <c r="R1059" i="92"/>
  <c r="R1060" i="92"/>
  <c r="R1062" i="92"/>
  <c r="R1063" i="92"/>
  <c r="R1065" i="92"/>
  <c r="R1066" i="92"/>
  <c r="R1067" i="92"/>
  <c r="R1068" i="92"/>
  <c r="R1069" i="92"/>
  <c r="R1070" i="92"/>
  <c r="R1071" i="92"/>
  <c r="R1072" i="92"/>
  <c r="R1074" i="92"/>
  <c r="R1075" i="92"/>
  <c r="R1077" i="92"/>
  <c r="R1078" i="92"/>
  <c r="R1079" i="92"/>
  <c r="Q80" i="92"/>
  <c r="R80" i="92" s="1"/>
  <c r="Y1077" i="92" l="1"/>
  <c r="V1077" i="92"/>
  <c r="AA1077" i="92"/>
  <c r="Y1073" i="92"/>
  <c r="V1073" i="92"/>
  <c r="AA1073" i="92"/>
  <c r="Y1069" i="92"/>
  <c r="V1069" i="92"/>
  <c r="AA1069" i="92"/>
  <c r="Y1065" i="92"/>
  <c r="V1065" i="92"/>
  <c r="AA1065" i="92"/>
  <c r="Y1061" i="92"/>
  <c r="V1061" i="92"/>
  <c r="AA1061" i="92"/>
  <c r="Y1057" i="92"/>
  <c r="V1057" i="92"/>
  <c r="AA1057" i="92"/>
  <c r="Y1053" i="92"/>
  <c r="V1053" i="92"/>
  <c r="AA1053" i="92"/>
  <c r="Y1049" i="92"/>
  <c r="V1049" i="92"/>
  <c r="AA1049" i="92"/>
  <c r="Y1045" i="92"/>
  <c r="V1045" i="92"/>
  <c r="AA1045" i="92"/>
  <c r="Y1041" i="92"/>
  <c r="V1041" i="92"/>
  <c r="AA1041" i="92"/>
  <c r="Y1037" i="92"/>
  <c r="V1037" i="92"/>
  <c r="AA1037" i="92"/>
  <c r="Y1033" i="92"/>
  <c r="V1033" i="92"/>
  <c r="AA1033" i="92"/>
  <c r="Y1029" i="92"/>
  <c r="V1029" i="92"/>
  <c r="AA1029" i="92"/>
  <c r="Y1025" i="92"/>
  <c r="V1025" i="92"/>
  <c r="AA1025" i="92"/>
  <c r="Y1021" i="92"/>
  <c r="V1021" i="92"/>
  <c r="AA1021" i="92"/>
  <c r="Y1017" i="92"/>
  <c r="V1017" i="92"/>
  <c r="AA1017" i="92"/>
  <c r="Y1013" i="92"/>
  <c r="V1013" i="92"/>
  <c r="AA1013" i="92"/>
  <c r="Y1009" i="92"/>
  <c r="V1009" i="92"/>
  <c r="AA1009" i="92"/>
  <c r="Y1005" i="92"/>
  <c r="V1005" i="92"/>
  <c r="AA1005" i="92"/>
  <c r="Y1001" i="92"/>
  <c r="V1001" i="92"/>
  <c r="AA1001" i="92"/>
  <c r="Y997" i="92"/>
  <c r="V997" i="92"/>
  <c r="AA997" i="92"/>
  <c r="Y993" i="92"/>
  <c r="V993" i="92"/>
  <c r="AA993" i="92"/>
  <c r="Y989" i="92"/>
  <c r="V989" i="92"/>
  <c r="AA989" i="92"/>
  <c r="Y985" i="92"/>
  <c r="V985" i="92"/>
  <c r="AA985" i="92"/>
  <c r="Y981" i="92"/>
  <c r="V981" i="92"/>
  <c r="AA981" i="92"/>
  <c r="Y977" i="92"/>
  <c r="V977" i="92"/>
  <c r="AA977" i="92"/>
  <c r="Y973" i="92"/>
  <c r="V973" i="92"/>
  <c r="AA973" i="92"/>
  <c r="Y969" i="92"/>
  <c r="V969" i="92"/>
  <c r="AA969" i="92"/>
  <c r="Y965" i="92"/>
  <c r="V965" i="92"/>
  <c r="AA965" i="92"/>
  <c r="Y961" i="92"/>
  <c r="V961" i="92"/>
  <c r="AA961" i="92"/>
  <c r="Y957" i="92"/>
  <c r="V957" i="92"/>
  <c r="AA957" i="92"/>
  <c r="Y953" i="92"/>
  <c r="V953" i="92"/>
  <c r="AA953" i="92"/>
  <c r="Y949" i="92"/>
  <c r="V949" i="92"/>
  <c r="AA949" i="92"/>
  <c r="Y945" i="92"/>
  <c r="V945" i="92"/>
  <c r="AA945" i="92"/>
  <c r="Y941" i="92"/>
  <c r="V941" i="92"/>
  <c r="AA941" i="92"/>
  <c r="Y937" i="92"/>
  <c r="V937" i="92"/>
  <c r="AA937" i="92"/>
  <c r="Y933" i="92"/>
  <c r="V933" i="92"/>
  <c r="AA933" i="92"/>
  <c r="Y929" i="92"/>
  <c r="V929" i="92"/>
  <c r="AA929" i="92"/>
  <c r="Y925" i="92"/>
  <c r="V925" i="92"/>
  <c r="AA925" i="92"/>
  <c r="Y921" i="92"/>
  <c r="V921" i="92"/>
  <c r="AA921" i="92"/>
  <c r="Y917" i="92"/>
  <c r="V917" i="92"/>
  <c r="AA917" i="92"/>
  <c r="Y913" i="92"/>
  <c r="V913" i="92"/>
  <c r="AA913" i="92"/>
  <c r="Y909" i="92"/>
  <c r="V909" i="92"/>
  <c r="AA909" i="92"/>
  <c r="Y905" i="92"/>
  <c r="V905" i="92"/>
  <c r="AA905" i="92"/>
  <c r="Y901" i="92"/>
  <c r="V901" i="92"/>
  <c r="AA901" i="92"/>
  <c r="Y897" i="92"/>
  <c r="V897" i="92"/>
  <c r="AA897" i="92"/>
  <c r="Y893" i="92"/>
  <c r="V893" i="92"/>
  <c r="AA893" i="92"/>
  <c r="Y889" i="92"/>
  <c r="V889" i="92"/>
  <c r="AA889" i="92"/>
  <c r="Y885" i="92"/>
  <c r="V885" i="92"/>
  <c r="AA885" i="92"/>
  <c r="Y881" i="92"/>
  <c r="V881" i="92"/>
  <c r="AA881" i="92"/>
  <c r="Y877" i="92"/>
  <c r="V877" i="92"/>
  <c r="AA877" i="92"/>
  <c r="Y873" i="92"/>
  <c r="V873" i="92"/>
  <c r="AA873" i="92"/>
  <c r="Y869" i="92"/>
  <c r="V869" i="92"/>
  <c r="AA869" i="92"/>
  <c r="Y865" i="92"/>
  <c r="V865" i="92"/>
  <c r="AA865" i="92"/>
  <c r="Y861" i="92"/>
  <c r="V861" i="92"/>
  <c r="AA861" i="92"/>
  <c r="Y857" i="92"/>
  <c r="V857" i="92"/>
  <c r="AA857" i="92"/>
  <c r="Y853" i="92"/>
  <c r="V853" i="92"/>
  <c r="AA853" i="92"/>
  <c r="Y849" i="92"/>
  <c r="V849" i="92"/>
  <c r="AA849" i="92"/>
  <c r="Y845" i="92"/>
  <c r="V845" i="92"/>
  <c r="AA845" i="92"/>
  <c r="Y841" i="92"/>
  <c r="V841" i="92"/>
  <c r="AA841" i="92"/>
  <c r="Y837" i="92"/>
  <c r="V837" i="92"/>
  <c r="AA837" i="92"/>
  <c r="Y833" i="92"/>
  <c r="V833" i="92"/>
  <c r="AA833" i="92"/>
  <c r="Y829" i="92"/>
  <c r="V829" i="92"/>
  <c r="AA829" i="92"/>
  <c r="Y825" i="92"/>
  <c r="V825" i="92"/>
  <c r="AA825" i="92"/>
  <c r="Y821" i="92"/>
  <c r="V821" i="92"/>
  <c r="AA821" i="92"/>
  <c r="Y817" i="92"/>
  <c r="V817" i="92"/>
  <c r="AA817" i="92"/>
  <c r="Y813" i="92"/>
  <c r="V813" i="92"/>
  <c r="AA813" i="92"/>
  <c r="Y809" i="92"/>
  <c r="V809" i="92"/>
  <c r="AA809" i="92"/>
  <c r="Y805" i="92"/>
  <c r="V805" i="92"/>
  <c r="AA805" i="92"/>
  <c r="Y801" i="92"/>
  <c r="V801" i="92"/>
  <c r="AA801" i="92"/>
  <c r="Y797" i="92"/>
  <c r="V797" i="92"/>
  <c r="AA797" i="92"/>
  <c r="Y793" i="92"/>
  <c r="V793" i="92"/>
  <c r="AA793" i="92"/>
  <c r="Y789" i="92"/>
  <c r="V789" i="92"/>
  <c r="AA789" i="92"/>
  <c r="Y785" i="92"/>
  <c r="V785" i="92"/>
  <c r="AA785" i="92"/>
  <c r="Y781" i="92"/>
  <c r="V781" i="92"/>
  <c r="AA781" i="92"/>
  <c r="Y777" i="92"/>
  <c r="V777" i="92"/>
  <c r="AA777" i="92"/>
  <c r="Y773" i="92"/>
  <c r="V773" i="92"/>
  <c r="AA773" i="92"/>
  <c r="Y769" i="92"/>
  <c r="V769" i="92"/>
  <c r="AA769" i="92"/>
  <c r="Y765" i="92"/>
  <c r="V765" i="92"/>
  <c r="AA765" i="92"/>
  <c r="Y761" i="92"/>
  <c r="V761" i="92"/>
  <c r="AA761" i="92"/>
  <c r="Y757" i="92"/>
  <c r="V757" i="92"/>
  <c r="AA757" i="92"/>
  <c r="Y753" i="92"/>
  <c r="V753" i="92"/>
  <c r="AA753" i="92"/>
  <c r="Y749" i="92"/>
  <c r="V749" i="92"/>
  <c r="AA749" i="92"/>
  <c r="Y745" i="92"/>
  <c r="V745" i="92"/>
  <c r="AA745" i="92"/>
  <c r="Y741" i="92"/>
  <c r="V741" i="92"/>
  <c r="AA741" i="92"/>
  <c r="Z741" i="92"/>
  <c r="Y737" i="92"/>
  <c r="V737" i="92"/>
  <c r="AA737" i="92"/>
  <c r="Z737" i="92"/>
  <c r="Y733" i="92"/>
  <c r="V733" i="92"/>
  <c r="AA733" i="92"/>
  <c r="Z733" i="92"/>
  <c r="Y729" i="92"/>
  <c r="V729" i="92"/>
  <c r="AA729" i="92"/>
  <c r="Z729" i="92"/>
  <c r="Y725" i="92"/>
  <c r="V725" i="92"/>
  <c r="AA725" i="92"/>
  <c r="Z725" i="92"/>
  <c r="Y721" i="92"/>
  <c r="V721" i="92"/>
  <c r="AA721" i="92"/>
  <c r="Z721" i="92"/>
  <c r="Y717" i="92"/>
  <c r="V717" i="92"/>
  <c r="AA717" i="92"/>
  <c r="Z717" i="92"/>
  <c r="Y713" i="92"/>
  <c r="V713" i="92"/>
  <c r="AA713" i="92"/>
  <c r="Z713" i="92"/>
  <c r="Y709" i="92"/>
  <c r="V709" i="92"/>
  <c r="AA709" i="92"/>
  <c r="Z709" i="92"/>
  <c r="Y705" i="92"/>
  <c r="V705" i="92"/>
  <c r="AA705" i="92"/>
  <c r="Z705" i="92"/>
  <c r="Y701" i="92"/>
  <c r="V701" i="92"/>
  <c r="AA701" i="92"/>
  <c r="Z701" i="92"/>
  <c r="Y697" i="92"/>
  <c r="V697" i="92"/>
  <c r="AA697" i="92"/>
  <c r="Z697" i="92"/>
  <c r="Y693" i="92"/>
  <c r="V693" i="92"/>
  <c r="AA693" i="92"/>
  <c r="Z693" i="92"/>
  <c r="Y689" i="92"/>
  <c r="V689" i="92"/>
  <c r="AA689" i="92"/>
  <c r="Z689" i="92"/>
  <c r="Y685" i="92"/>
  <c r="V685" i="92"/>
  <c r="AA685" i="92"/>
  <c r="Z685" i="92"/>
  <c r="Y681" i="92"/>
  <c r="V681" i="92"/>
  <c r="AA681" i="92"/>
  <c r="Z681" i="92"/>
  <c r="Y677" i="92"/>
  <c r="V677" i="92"/>
  <c r="AA677" i="92"/>
  <c r="Z677" i="92"/>
  <c r="Y673" i="92"/>
  <c r="V673" i="92"/>
  <c r="AA673" i="92"/>
  <c r="Z673" i="92"/>
  <c r="Y669" i="92"/>
  <c r="V669" i="92"/>
  <c r="AA669" i="92"/>
  <c r="Z669" i="92"/>
  <c r="Y665" i="92"/>
  <c r="V665" i="92"/>
  <c r="AA665" i="92"/>
  <c r="Z665" i="92"/>
  <c r="Y661" i="92"/>
  <c r="V661" i="92"/>
  <c r="AA661" i="92"/>
  <c r="Z661" i="92"/>
  <c r="Y657" i="92"/>
  <c r="V657" i="92"/>
  <c r="AA657" i="92"/>
  <c r="Z657" i="92"/>
  <c r="Y653" i="92"/>
  <c r="V653" i="92"/>
  <c r="AA653" i="92"/>
  <c r="Z653" i="92"/>
  <c r="Y649" i="92"/>
  <c r="V649" i="92"/>
  <c r="AA649" i="92"/>
  <c r="Z649" i="92"/>
  <c r="Y645" i="92"/>
  <c r="V645" i="92"/>
  <c r="AA645" i="92"/>
  <c r="Z645" i="92"/>
  <c r="Y641" i="92"/>
  <c r="V641" i="92"/>
  <c r="AA641" i="92"/>
  <c r="Z641" i="92"/>
  <c r="Y637" i="92"/>
  <c r="V637" i="92"/>
  <c r="AA637" i="92"/>
  <c r="Z637" i="92"/>
  <c r="Y633" i="92"/>
  <c r="V633" i="92"/>
  <c r="AA633" i="92"/>
  <c r="Z633" i="92"/>
  <c r="Y629" i="92"/>
  <c r="V629" i="92"/>
  <c r="AA629" i="92"/>
  <c r="Z629" i="92"/>
  <c r="Y625" i="92"/>
  <c r="V625" i="92"/>
  <c r="AA625" i="92"/>
  <c r="Z625" i="92"/>
  <c r="Y621" i="92"/>
  <c r="V621" i="92"/>
  <c r="AA621" i="92"/>
  <c r="Z621" i="92"/>
  <c r="Y617" i="92"/>
  <c r="V617" i="92"/>
  <c r="AA617" i="92"/>
  <c r="Z617" i="92"/>
  <c r="Y613" i="92"/>
  <c r="V613" i="92"/>
  <c r="AA613" i="92"/>
  <c r="Z613" i="92"/>
  <c r="Y609" i="92"/>
  <c r="V609" i="92"/>
  <c r="AA609" i="92"/>
  <c r="Z609" i="92"/>
  <c r="Y605" i="92"/>
  <c r="V605" i="92"/>
  <c r="AA605" i="92"/>
  <c r="Z605" i="92"/>
  <c r="Y601" i="92"/>
  <c r="V601" i="92"/>
  <c r="AA601" i="92"/>
  <c r="Z601" i="92"/>
  <c r="Y597" i="92"/>
  <c r="V597" i="92"/>
  <c r="AA597" i="92"/>
  <c r="Z597" i="92"/>
  <c r="Y593" i="92"/>
  <c r="V593" i="92"/>
  <c r="AA593" i="92"/>
  <c r="Z593" i="92"/>
  <c r="Y589" i="92"/>
  <c r="V589" i="92"/>
  <c r="AA589" i="92"/>
  <c r="Z589" i="92"/>
  <c r="Y585" i="92"/>
  <c r="V585" i="92"/>
  <c r="AA585" i="92"/>
  <c r="Z585" i="92"/>
  <c r="Y581" i="92"/>
  <c r="V581" i="92"/>
  <c r="AA581" i="92"/>
  <c r="Z581" i="92"/>
  <c r="Y577" i="92"/>
  <c r="V577" i="92"/>
  <c r="AA577" i="92"/>
  <c r="Z577" i="92"/>
  <c r="Y573" i="92"/>
  <c r="V573" i="92"/>
  <c r="AA573" i="92"/>
  <c r="Z573" i="92"/>
  <c r="Y569" i="92"/>
  <c r="V569" i="92"/>
  <c r="AA569" i="92"/>
  <c r="Z569" i="92"/>
  <c r="Y565" i="92"/>
  <c r="V565" i="92"/>
  <c r="AA565" i="92"/>
  <c r="Z565" i="92"/>
  <c r="Y561" i="92"/>
  <c r="V561" i="92"/>
  <c r="AA561" i="92"/>
  <c r="Z561" i="92"/>
  <c r="Y557" i="92"/>
  <c r="V557" i="92"/>
  <c r="AA557" i="92"/>
  <c r="Z557" i="92"/>
  <c r="Y553" i="92"/>
  <c r="V553" i="92"/>
  <c r="AA553" i="92"/>
  <c r="Z553" i="92"/>
  <c r="Y549" i="92"/>
  <c r="V549" i="92"/>
  <c r="AA549" i="92"/>
  <c r="Z549" i="92"/>
  <c r="Y545" i="92"/>
  <c r="V545" i="92"/>
  <c r="AA545" i="92"/>
  <c r="Z545" i="92"/>
  <c r="Y541" i="92"/>
  <c r="V541" i="92"/>
  <c r="AA541" i="92"/>
  <c r="Z541" i="92"/>
  <c r="Y537" i="92"/>
  <c r="V537" i="92"/>
  <c r="AA537" i="92"/>
  <c r="Z537" i="92"/>
  <c r="Y533" i="92"/>
  <c r="V533" i="92"/>
  <c r="AA533" i="92"/>
  <c r="Z533" i="92"/>
  <c r="Y529" i="92"/>
  <c r="V529" i="92"/>
  <c r="AA529" i="92"/>
  <c r="Z529" i="92"/>
  <c r="Y525" i="92"/>
  <c r="V525" i="92"/>
  <c r="AA525" i="92"/>
  <c r="Z525" i="92"/>
  <c r="Y521" i="92"/>
  <c r="V521" i="92"/>
  <c r="AA521" i="92"/>
  <c r="Z521" i="92"/>
  <c r="Y517" i="92"/>
  <c r="V517" i="92"/>
  <c r="AA517" i="92"/>
  <c r="Z517" i="92"/>
  <c r="Y513" i="92"/>
  <c r="V513" i="92"/>
  <c r="AA513" i="92"/>
  <c r="Z513" i="92"/>
  <c r="Y509" i="92"/>
  <c r="V509" i="92"/>
  <c r="AA509" i="92"/>
  <c r="Z509" i="92"/>
  <c r="Y505" i="92"/>
  <c r="V505" i="92"/>
  <c r="AA505" i="92"/>
  <c r="Z505" i="92"/>
  <c r="Y501" i="92"/>
  <c r="V501" i="92"/>
  <c r="AA501" i="92"/>
  <c r="Z501" i="92"/>
  <c r="Y497" i="92"/>
  <c r="V497" i="92"/>
  <c r="AA497" i="92"/>
  <c r="Z497" i="92"/>
  <c r="Y493" i="92"/>
  <c r="V493" i="92"/>
  <c r="AA493" i="92"/>
  <c r="Z493" i="92"/>
  <c r="Y489" i="92"/>
  <c r="V489" i="92"/>
  <c r="AA489" i="92"/>
  <c r="Z489" i="92"/>
  <c r="Y485" i="92"/>
  <c r="V485" i="92"/>
  <c r="AA485" i="92"/>
  <c r="Z485" i="92"/>
  <c r="Y481" i="92"/>
  <c r="V481" i="92"/>
  <c r="AA481" i="92"/>
  <c r="Z481" i="92"/>
  <c r="Y477" i="92"/>
  <c r="V477" i="92"/>
  <c r="AA477" i="92"/>
  <c r="Z477" i="92"/>
  <c r="Y473" i="92"/>
  <c r="V473" i="92"/>
  <c r="AA473" i="92"/>
  <c r="Z473" i="92"/>
  <c r="Y469" i="92"/>
  <c r="V469" i="92"/>
  <c r="AA469" i="92"/>
  <c r="Z469" i="92"/>
  <c r="Y465" i="92"/>
  <c r="V465" i="92"/>
  <c r="AA465" i="92"/>
  <c r="Z465" i="92"/>
  <c r="Y461" i="92"/>
  <c r="V461" i="92"/>
  <c r="AA461" i="92"/>
  <c r="Z461" i="92"/>
  <c r="Y457" i="92"/>
  <c r="V457" i="92"/>
  <c r="AA457" i="92"/>
  <c r="Z457" i="92"/>
  <c r="Y453" i="92"/>
  <c r="V453" i="92"/>
  <c r="AA453" i="92"/>
  <c r="Z453" i="92"/>
  <c r="Y449" i="92"/>
  <c r="V449" i="92"/>
  <c r="AA449" i="92"/>
  <c r="Z449" i="92"/>
  <c r="Y445" i="92"/>
  <c r="V445" i="92"/>
  <c r="AA445" i="92"/>
  <c r="Z445" i="92"/>
  <c r="Y441" i="92"/>
  <c r="V441" i="92"/>
  <c r="AA441" i="92"/>
  <c r="Z441" i="92"/>
  <c r="Y437" i="92"/>
  <c r="V437" i="92"/>
  <c r="AA437" i="92"/>
  <c r="Z437" i="92"/>
  <c r="Y433" i="92"/>
  <c r="V433" i="92"/>
  <c r="AA433" i="92"/>
  <c r="Z433" i="92"/>
  <c r="Y429" i="92"/>
  <c r="V429" i="92"/>
  <c r="AA429" i="92"/>
  <c r="Z429" i="92"/>
  <c r="Y425" i="92"/>
  <c r="V425" i="92"/>
  <c r="AA425" i="92"/>
  <c r="Z425" i="92"/>
  <c r="Y421" i="92"/>
  <c r="V421" i="92"/>
  <c r="AA421" i="92"/>
  <c r="Z421" i="92"/>
  <c r="Y417" i="92"/>
  <c r="V417" i="92"/>
  <c r="AA417" i="92"/>
  <c r="Z417" i="92"/>
  <c r="Y413" i="92"/>
  <c r="V413" i="92"/>
  <c r="AA413" i="92"/>
  <c r="Z413" i="92"/>
  <c r="Y409" i="92"/>
  <c r="V409" i="92"/>
  <c r="AA409" i="92"/>
  <c r="Z409" i="92"/>
  <c r="Y405" i="92"/>
  <c r="V405" i="92"/>
  <c r="AA405" i="92"/>
  <c r="Z405" i="92"/>
  <c r="Y401" i="92"/>
  <c r="V401" i="92"/>
  <c r="AA401" i="92"/>
  <c r="Z401" i="92"/>
  <c r="Y397" i="92"/>
  <c r="V397" i="92"/>
  <c r="AA397" i="92"/>
  <c r="Z397" i="92"/>
  <c r="Y393" i="92"/>
  <c r="V393" i="92"/>
  <c r="AA393" i="92"/>
  <c r="Z393" i="92"/>
  <c r="Y389" i="92"/>
  <c r="V389" i="92"/>
  <c r="AA389" i="92"/>
  <c r="Z389" i="92"/>
  <c r="Y385" i="92"/>
  <c r="V385" i="92"/>
  <c r="AA385" i="92"/>
  <c r="Z385" i="92"/>
  <c r="Y381" i="92"/>
  <c r="V381" i="92"/>
  <c r="AA381" i="92"/>
  <c r="Z381" i="92"/>
  <c r="Y377" i="92"/>
  <c r="V377" i="92"/>
  <c r="AA377" i="92"/>
  <c r="Z377" i="92"/>
  <c r="Y373" i="92"/>
  <c r="V373" i="92"/>
  <c r="AA373" i="92"/>
  <c r="Z373" i="92"/>
  <c r="Y369" i="92"/>
  <c r="V369" i="92"/>
  <c r="AA369" i="92"/>
  <c r="Z369" i="92"/>
  <c r="Y365" i="92"/>
  <c r="V365" i="92"/>
  <c r="AA365" i="92"/>
  <c r="Z365" i="92"/>
  <c r="Y361" i="92"/>
  <c r="V361" i="92"/>
  <c r="AA361" i="92"/>
  <c r="Z361" i="92"/>
  <c r="Y357" i="92"/>
  <c r="V357" i="92"/>
  <c r="AA357" i="92"/>
  <c r="Z357" i="92"/>
  <c r="Y353" i="92"/>
  <c r="V353" i="92"/>
  <c r="AA353" i="92"/>
  <c r="Z353" i="92"/>
  <c r="Y349" i="92"/>
  <c r="V349" i="92"/>
  <c r="AA349" i="92"/>
  <c r="Z349" i="92"/>
  <c r="Y345" i="92"/>
  <c r="V345" i="92"/>
  <c r="AA345" i="92"/>
  <c r="Z345" i="92"/>
  <c r="Y341" i="92"/>
  <c r="V341" i="92"/>
  <c r="AA341" i="92"/>
  <c r="Z341" i="92"/>
  <c r="Y337" i="92"/>
  <c r="V337" i="92"/>
  <c r="AA337" i="92"/>
  <c r="Z337" i="92"/>
  <c r="Y333" i="92"/>
  <c r="V333" i="92"/>
  <c r="AA333" i="92"/>
  <c r="Z333" i="92"/>
  <c r="Y329" i="92"/>
  <c r="V329" i="92"/>
  <c r="AA329" i="92"/>
  <c r="Z329" i="92"/>
  <c r="Y325" i="92"/>
  <c r="V325" i="92"/>
  <c r="AA325" i="92"/>
  <c r="Z325" i="92"/>
  <c r="Y321" i="92"/>
  <c r="V321" i="92"/>
  <c r="AA321" i="92"/>
  <c r="Z321" i="92"/>
  <c r="Y317" i="92"/>
  <c r="V317" i="92"/>
  <c r="AA317" i="92"/>
  <c r="Z317" i="92"/>
  <c r="Y313" i="92"/>
  <c r="V313" i="92"/>
  <c r="AA313" i="92"/>
  <c r="Z313" i="92"/>
  <c r="Y309" i="92"/>
  <c r="V309" i="92"/>
  <c r="AA309" i="92"/>
  <c r="Z309" i="92"/>
  <c r="Y305" i="92"/>
  <c r="V305" i="92"/>
  <c r="AA305" i="92"/>
  <c r="Z305" i="92"/>
  <c r="Y301" i="92"/>
  <c r="V301" i="92"/>
  <c r="AA301" i="92"/>
  <c r="Z301" i="92"/>
  <c r="Y297" i="92"/>
  <c r="V297" i="92"/>
  <c r="AA297" i="92"/>
  <c r="Z297" i="92"/>
  <c r="Y293" i="92"/>
  <c r="V293" i="92"/>
  <c r="AA293" i="92"/>
  <c r="Z293" i="92"/>
  <c r="Y289" i="92"/>
  <c r="V289" i="92"/>
  <c r="AA289" i="92"/>
  <c r="Z289" i="92"/>
  <c r="Y285" i="92"/>
  <c r="V285" i="92"/>
  <c r="AA285" i="92"/>
  <c r="Z285" i="92"/>
  <c r="Y281" i="92"/>
  <c r="V281" i="92"/>
  <c r="AA281" i="92"/>
  <c r="Z281" i="92"/>
  <c r="Y277" i="92"/>
  <c r="V277" i="92"/>
  <c r="AA277" i="92"/>
  <c r="Z277" i="92"/>
  <c r="Y273" i="92"/>
  <c r="V273" i="92"/>
  <c r="AA273" i="92"/>
  <c r="Z273" i="92"/>
  <c r="Y269" i="92"/>
  <c r="V269" i="92"/>
  <c r="AA269" i="92"/>
  <c r="Z269" i="92"/>
  <c r="Y265" i="92"/>
  <c r="V265" i="92"/>
  <c r="AA265" i="92"/>
  <c r="Z265" i="92"/>
  <c r="Y261" i="92"/>
  <c r="V261" i="92"/>
  <c r="AA261" i="92"/>
  <c r="Z261" i="92"/>
  <c r="Y257" i="92"/>
  <c r="V257" i="92"/>
  <c r="AA257" i="92"/>
  <c r="Z257" i="92"/>
  <c r="Y253" i="92"/>
  <c r="V253" i="92"/>
  <c r="AA253" i="92"/>
  <c r="Z253" i="92"/>
  <c r="Y249" i="92"/>
  <c r="V249" i="92"/>
  <c r="AA249" i="92"/>
  <c r="Z249" i="92"/>
  <c r="Y245" i="92"/>
  <c r="V245" i="92"/>
  <c r="AA245" i="92"/>
  <c r="Z245" i="92"/>
  <c r="Y241" i="92"/>
  <c r="V241" i="92"/>
  <c r="AA241" i="92"/>
  <c r="Z241" i="92"/>
  <c r="Y237" i="92"/>
  <c r="V237" i="92"/>
  <c r="AA237" i="92"/>
  <c r="Z237" i="92"/>
  <c r="Y233" i="92"/>
  <c r="V233" i="92"/>
  <c r="AA233" i="92"/>
  <c r="Z233" i="92"/>
  <c r="Y229" i="92"/>
  <c r="V229" i="92"/>
  <c r="AA229" i="92"/>
  <c r="Z229" i="92"/>
  <c r="Y225" i="92"/>
  <c r="V225" i="92"/>
  <c r="AA225" i="92"/>
  <c r="Z225" i="92"/>
  <c r="Y221" i="92"/>
  <c r="V221" i="92"/>
  <c r="AA221" i="92"/>
  <c r="Z221" i="92"/>
  <c r="Y217" i="92"/>
  <c r="V217" i="92"/>
  <c r="AA217" i="92"/>
  <c r="Z217" i="92"/>
  <c r="Y213" i="92"/>
  <c r="V213" i="92"/>
  <c r="AA213" i="92"/>
  <c r="Z213" i="92"/>
  <c r="Y209" i="92"/>
  <c r="V209" i="92"/>
  <c r="AA209" i="92"/>
  <c r="Z209" i="92"/>
  <c r="Y205" i="92"/>
  <c r="V205" i="92"/>
  <c r="AA205" i="92"/>
  <c r="Z205" i="92"/>
  <c r="Y201" i="92"/>
  <c r="V201" i="92"/>
  <c r="AA201" i="92"/>
  <c r="Z201" i="92"/>
  <c r="Y197" i="92"/>
  <c r="V197" i="92"/>
  <c r="AA197" i="92"/>
  <c r="Z197" i="92"/>
  <c r="Y193" i="92"/>
  <c r="V193" i="92"/>
  <c r="AA193" i="92"/>
  <c r="Z193" i="92"/>
  <c r="Y189" i="92"/>
  <c r="V189" i="92"/>
  <c r="AA189" i="92"/>
  <c r="Z189" i="92"/>
  <c r="Y185" i="92"/>
  <c r="V185" i="92"/>
  <c r="AA185" i="92"/>
  <c r="Z185" i="92"/>
  <c r="Y181" i="92"/>
  <c r="V181" i="92"/>
  <c r="AA181" i="92"/>
  <c r="Z181" i="92"/>
  <c r="Y177" i="92"/>
  <c r="V177" i="92"/>
  <c r="AA177" i="92"/>
  <c r="Z177" i="92"/>
  <c r="Y173" i="92"/>
  <c r="V173" i="92"/>
  <c r="AA173" i="92"/>
  <c r="Z173" i="92"/>
  <c r="Y169" i="92"/>
  <c r="V169" i="92"/>
  <c r="AA169" i="92"/>
  <c r="Z169" i="92"/>
  <c r="Y165" i="92"/>
  <c r="V165" i="92"/>
  <c r="AA165" i="92"/>
  <c r="Z165" i="92"/>
  <c r="Y161" i="92"/>
  <c r="V161" i="92"/>
  <c r="AA161" i="92"/>
  <c r="Z161" i="92"/>
  <c r="Y157" i="92"/>
  <c r="V157" i="92"/>
  <c r="AA157" i="92"/>
  <c r="Z157" i="92"/>
  <c r="Y153" i="92"/>
  <c r="V153" i="92"/>
  <c r="AA153" i="92"/>
  <c r="Z153" i="92"/>
  <c r="Y149" i="92"/>
  <c r="V149" i="92"/>
  <c r="AA149" i="92"/>
  <c r="Z149" i="92"/>
  <c r="Y145" i="92"/>
  <c r="V145" i="92"/>
  <c r="AA145" i="92"/>
  <c r="Z145" i="92"/>
  <c r="Y141" i="92"/>
  <c r="V141" i="92"/>
  <c r="AA141" i="92"/>
  <c r="Z141" i="92"/>
  <c r="Y137" i="92"/>
  <c r="V137" i="92"/>
  <c r="AA137" i="92"/>
  <c r="Z137" i="92"/>
  <c r="Y133" i="92"/>
  <c r="V133" i="92"/>
  <c r="AA133" i="92"/>
  <c r="Z133" i="92"/>
  <c r="Y129" i="92"/>
  <c r="V129" i="92"/>
  <c r="AA129" i="92"/>
  <c r="Z129" i="92"/>
  <c r="Y125" i="92"/>
  <c r="V125" i="92"/>
  <c r="AA125" i="92"/>
  <c r="Z125" i="92"/>
  <c r="Y121" i="92"/>
  <c r="V121" i="92"/>
  <c r="AA121" i="92"/>
  <c r="Z121" i="92"/>
  <c r="Y117" i="92"/>
  <c r="V117" i="92"/>
  <c r="AA117" i="92"/>
  <c r="Z117" i="92"/>
  <c r="Y113" i="92"/>
  <c r="V113" i="92"/>
  <c r="AA113" i="92"/>
  <c r="Z113" i="92"/>
  <c r="Y109" i="92"/>
  <c r="V109" i="92"/>
  <c r="AA109" i="92"/>
  <c r="Z109" i="92"/>
  <c r="Y105" i="92"/>
  <c r="V105" i="92"/>
  <c r="AA105" i="92"/>
  <c r="Z105" i="92"/>
  <c r="Y101" i="92"/>
  <c r="V101" i="92"/>
  <c r="AA101" i="92"/>
  <c r="Z101" i="92"/>
  <c r="Y97" i="92"/>
  <c r="V97" i="92"/>
  <c r="AA97" i="92"/>
  <c r="Z97" i="92"/>
  <c r="Y93" i="92"/>
  <c r="V93" i="92"/>
  <c r="AA93" i="92"/>
  <c r="Z93" i="92"/>
  <c r="Y89" i="92"/>
  <c r="V89" i="92"/>
  <c r="AA89" i="92"/>
  <c r="Z89" i="92"/>
  <c r="Y85" i="92"/>
  <c r="V85" i="92"/>
  <c r="AA85" i="92"/>
  <c r="Z85" i="92"/>
  <c r="Y81" i="92"/>
  <c r="V81" i="92"/>
  <c r="AA81" i="92"/>
  <c r="Z81" i="92"/>
  <c r="Z757" i="92"/>
  <c r="Y1076" i="92"/>
  <c r="V1076" i="92"/>
  <c r="AA1076" i="92"/>
  <c r="Y1072" i="92"/>
  <c r="V1072" i="92"/>
  <c r="AA1072" i="92"/>
  <c r="Y1068" i="92"/>
  <c r="V1068" i="92"/>
  <c r="AA1068" i="92"/>
  <c r="R1064" i="92"/>
  <c r="V1064" i="92"/>
  <c r="AA1064" i="92"/>
  <c r="Y1060" i="92"/>
  <c r="V1060" i="92"/>
  <c r="AA1060" i="92"/>
  <c r="Y1056" i="92"/>
  <c r="V1056" i="92"/>
  <c r="AA1056" i="92"/>
  <c r="Y1052" i="92"/>
  <c r="V1052" i="92"/>
  <c r="AA1052" i="92"/>
  <c r="Y1048" i="92"/>
  <c r="V1048" i="92"/>
  <c r="AA1048" i="92"/>
  <c r="Y1044" i="92"/>
  <c r="V1044" i="92"/>
  <c r="AA1044" i="92"/>
  <c r="Y1040" i="92"/>
  <c r="V1040" i="92"/>
  <c r="AA1040" i="92"/>
  <c r="Y1036" i="92"/>
  <c r="V1036" i="92"/>
  <c r="AA1036" i="92"/>
  <c r="Y1032" i="92"/>
  <c r="V1032" i="92"/>
  <c r="AA1032" i="92"/>
  <c r="Y1028" i="92"/>
  <c r="V1028" i="92"/>
  <c r="AA1028" i="92"/>
  <c r="Y1024" i="92"/>
  <c r="V1024" i="92"/>
  <c r="AA1024" i="92"/>
  <c r="Y1020" i="92"/>
  <c r="V1020" i="92"/>
  <c r="AA1020" i="92"/>
  <c r="Y1016" i="92"/>
  <c r="V1016" i="92"/>
  <c r="AA1016" i="92"/>
  <c r="Y1012" i="92"/>
  <c r="V1012" i="92"/>
  <c r="AA1012" i="92"/>
  <c r="Y1008" i="92"/>
  <c r="V1008" i="92"/>
  <c r="AA1008" i="92"/>
  <c r="Y1004" i="92"/>
  <c r="V1004" i="92"/>
  <c r="AA1004" i="92"/>
  <c r="Y1000" i="92"/>
  <c r="V1000" i="92"/>
  <c r="AA1000" i="92"/>
  <c r="Y996" i="92"/>
  <c r="V996" i="92"/>
  <c r="AA996" i="92"/>
  <c r="Y992" i="92"/>
  <c r="V992" i="92"/>
  <c r="AA992" i="92"/>
  <c r="Y988" i="92"/>
  <c r="V988" i="92"/>
  <c r="AA988" i="92"/>
  <c r="Y984" i="92"/>
  <c r="V984" i="92"/>
  <c r="AA984" i="92"/>
  <c r="R980" i="92"/>
  <c r="V980" i="92"/>
  <c r="AA980" i="92"/>
  <c r="Y976" i="92"/>
  <c r="V976" i="92"/>
  <c r="AA976" i="92"/>
  <c r="Y972" i="92"/>
  <c r="V972" i="92"/>
  <c r="AA972" i="92"/>
  <c r="Y968" i="92"/>
  <c r="V968" i="92"/>
  <c r="AA968" i="92"/>
  <c r="Y964" i="92"/>
  <c r="V964" i="92"/>
  <c r="AA964" i="92"/>
  <c r="Y960" i="92"/>
  <c r="V960" i="92"/>
  <c r="AA960" i="92"/>
  <c r="Y956" i="92"/>
  <c r="V956" i="92"/>
  <c r="AA956" i="92"/>
  <c r="Y952" i="92"/>
  <c r="V952" i="92"/>
  <c r="AA952" i="92"/>
  <c r="Y948" i="92"/>
  <c r="V948" i="92"/>
  <c r="AA948" i="92"/>
  <c r="V944" i="92"/>
  <c r="AA944" i="92"/>
  <c r="Y940" i="92"/>
  <c r="V940" i="92"/>
  <c r="AA940" i="92"/>
  <c r="Y936" i="92"/>
  <c r="V936" i="92"/>
  <c r="AA936" i="92"/>
  <c r="Y932" i="92"/>
  <c r="V932" i="92"/>
  <c r="AA932" i="92"/>
  <c r="Y928" i="92"/>
  <c r="V928" i="92"/>
  <c r="AA928" i="92"/>
  <c r="Y924" i="92"/>
  <c r="V924" i="92"/>
  <c r="AA924" i="92"/>
  <c r="Y920" i="92"/>
  <c r="V920" i="92"/>
  <c r="AA920" i="92"/>
  <c r="Y916" i="92"/>
  <c r="V916" i="92"/>
  <c r="AA916" i="92"/>
  <c r="Y912" i="92"/>
  <c r="V912" i="92"/>
  <c r="AA912" i="92"/>
  <c r="Y908" i="92"/>
  <c r="V908" i="92"/>
  <c r="AA908" i="92"/>
  <c r="Y904" i="92"/>
  <c r="V904" i="92"/>
  <c r="AA904" i="92"/>
  <c r="Y900" i="92"/>
  <c r="V900" i="92"/>
  <c r="AA900" i="92"/>
  <c r="V896" i="92"/>
  <c r="AA896" i="92"/>
  <c r="Y892" i="92"/>
  <c r="V892" i="92"/>
  <c r="AA892" i="92"/>
  <c r="Y888" i="92"/>
  <c r="V888" i="92"/>
  <c r="AA888" i="92"/>
  <c r="R884" i="92"/>
  <c r="V884" i="92"/>
  <c r="AA884" i="92"/>
  <c r="Y880" i="92"/>
  <c r="V880" i="92"/>
  <c r="AA880" i="92"/>
  <c r="Y876" i="92"/>
  <c r="V876" i="92"/>
  <c r="AA876" i="92"/>
  <c r="V872" i="92"/>
  <c r="AA872" i="92"/>
  <c r="Y868" i="92"/>
  <c r="V868" i="92"/>
  <c r="AA868" i="92"/>
  <c r="Y864" i="92"/>
  <c r="V864" i="92"/>
  <c r="AA864" i="92"/>
  <c r="V860" i="92"/>
  <c r="AA860" i="92"/>
  <c r="Y856" i="92"/>
  <c r="V856" i="92"/>
  <c r="AA856" i="92"/>
  <c r="Y852" i="92"/>
  <c r="V852" i="92"/>
  <c r="AA852" i="92"/>
  <c r="V848" i="92"/>
  <c r="AA848" i="92"/>
  <c r="Y844" i="92"/>
  <c r="V844" i="92"/>
  <c r="AA844" i="92"/>
  <c r="Y840" i="92"/>
  <c r="V840" i="92"/>
  <c r="AA840" i="92"/>
  <c r="V836" i="92"/>
  <c r="AA836" i="92"/>
  <c r="Y832" i="92"/>
  <c r="V832" i="92"/>
  <c r="AA832" i="92"/>
  <c r="Y828" i="92"/>
  <c r="V828" i="92"/>
  <c r="AA828" i="92"/>
  <c r="V824" i="92"/>
  <c r="AA824" i="92"/>
  <c r="Y820" i="92"/>
  <c r="V820" i="92"/>
  <c r="AA820" i="92"/>
  <c r="Y816" i="92"/>
  <c r="V816" i="92"/>
  <c r="AA816" i="92"/>
  <c r="V812" i="92"/>
  <c r="AA812" i="92"/>
  <c r="Y808" i="92"/>
  <c r="V808" i="92"/>
  <c r="AA808" i="92"/>
  <c r="Y804" i="92"/>
  <c r="V804" i="92"/>
  <c r="AA804" i="92"/>
  <c r="R800" i="92"/>
  <c r="V800" i="92"/>
  <c r="AA800" i="92"/>
  <c r="Y796" i="92"/>
  <c r="V796" i="92"/>
  <c r="AA796" i="92"/>
  <c r="Y792" i="92"/>
  <c r="V792" i="92"/>
  <c r="AA792" i="92"/>
  <c r="V788" i="92"/>
  <c r="AA788" i="92"/>
  <c r="Y784" i="92"/>
  <c r="V784" i="92"/>
  <c r="AA784" i="92"/>
  <c r="Y780" i="92"/>
  <c r="V780" i="92"/>
  <c r="AA780" i="92"/>
  <c r="V776" i="92"/>
  <c r="AA776" i="92"/>
  <c r="Y772" i="92"/>
  <c r="V772" i="92"/>
  <c r="AA772" i="92"/>
  <c r="Y768" i="92"/>
  <c r="V768" i="92"/>
  <c r="AA768" i="92"/>
  <c r="V764" i="92"/>
  <c r="AA764" i="92"/>
  <c r="Y760" i="92"/>
  <c r="V760" i="92"/>
  <c r="AA760" i="92"/>
  <c r="Y756" i="92"/>
  <c r="V756" i="92"/>
  <c r="AA756" i="92"/>
  <c r="V752" i="92"/>
  <c r="AA752" i="92"/>
  <c r="Y748" i="92"/>
  <c r="V748" i="92"/>
  <c r="AA748" i="92"/>
  <c r="Y744" i="92"/>
  <c r="V744" i="92"/>
  <c r="AA744" i="92"/>
  <c r="V740" i="92"/>
  <c r="AA740" i="92"/>
  <c r="Z740" i="92"/>
  <c r="Y736" i="92"/>
  <c r="V736" i="92"/>
  <c r="AA736" i="92"/>
  <c r="Z736" i="92"/>
  <c r="Y732" i="92"/>
  <c r="V732" i="92"/>
  <c r="AA732" i="92"/>
  <c r="Z732" i="92"/>
  <c r="V728" i="92"/>
  <c r="AA728" i="92"/>
  <c r="Z728" i="92"/>
  <c r="Y724" i="92"/>
  <c r="V724" i="92"/>
  <c r="AA724" i="92"/>
  <c r="Z724" i="92"/>
  <c r="Y720" i="92"/>
  <c r="V720" i="92"/>
  <c r="AA720" i="92"/>
  <c r="Z720" i="92"/>
  <c r="V716" i="92"/>
  <c r="AA716" i="92"/>
  <c r="Z716" i="92"/>
  <c r="Y712" i="92"/>
  <c r="V712" i="92"/>
  <c r="AA712" i="92"/>
  <c r="Z712" i="92"/>
  <c r="Y708" i="92"/>
  <c r="V708" i="92"/>
  <c r="AA708" i="92"/>
  <c r="Z708" i="92"/>
  <c r="R704" i="92"/>
  <c r="V704" i="92"/>
  <c r="AA704" i="92"/>
  <c r="Z704" i="92"/>
  <c r="Y700" i="92"/>
  <c r="V700" i="92"/>
  <c r="AA700" i="92"/>
  <c r="Z700" i="92"/>
  <c r="Y696" i="92"/>
  <c r="V696" i="92"/>
  <c r="AA696" i="92"/>
  <c r="Z696" i="92"/>
  <c r="V692" i="92"/>
  <c r="AA692" i="92"/>
  <c r="Z692" i="92"/>
  <c r="Y688" i="92"/>
  <c r="V688" i="92"/>
  <c r="AA688" i="92"/>
  <c r="Z688" i="92"/>
  <c r="Y684" i="92"/>
  <c r="V684" i="92"/>
  <c r="AA684" i="92"/>
  <c r="Z684" i="92"/>
  <c r="V680" i="92"/>
  <c r="AA680" i="92"/>
  <c r="Z680" i="92"/>
  <c r="Y676" i="92"/>
  <c r="V676" i="92"/>
  <c r="AA676" i="92"/>
  <c r="Z676" i="92"/>
  <c r="Y672" i="92"/>
  <c r="V672" i="92"/>
  <c r="AA672" i="92"/>
  <c r="Z672" i="92"/>
  <c r="V668" i="92"/>
  <c r="AA668" i="92"/>
  <c r="Z668" i="92"/>
  <c r="Y664" i="92"/>
  <c r="V664" i="92"/>
  <c r="AA664" i="92"/>
  <c r="Z664" i="92"/>
  <c r="Y660" i="92"/>
  <c r="V660" i="92"/>
  <c r="AA660" i="92"/>
  <c r="Z660" i="92"/>
  <c r="V656" i="92"/>
  <c r="AA656" i="92"/>
  <c r="Z656" i="92"/>
  <c r="Y652" i="92"/>
  <c r="V652" i="92"/>
  <c r="AA652" i="92"/>
  <c r="Z652" i="92"/>
  <c r="Y648" i="92"/>
  <c r="V648" i="92"/>
  <c r="AA648" i="92"/>
  <c r="Z648" i="92"/>
  <c r="V644" i="92"/>
  <c r="AA644" i="92"/>
  <c r="Z644" i="92"/>
  <c r="Y640" i="92"/>
  <c r="V640" i="92"/>
  <c r="AA640" i="92"/>
  <c r="Z640" i="92"/>
  <c r="Y636" i="92"/>
  <c r="V636" i="92"/>
  <c r="AA636" i="92"/>
  <c r="Z636" i="92"/>
  <c r="V632" i="92"/>
  <c r="AA632" i="92"/>
  <c r="Z632" i="92"/>
  <c r="Y628" i="92"/>
  <c r="V628" i="92"/>
  <c r="AA628" i="92"/>
  <c r="Z628" i="92"/>
  <c r="Y624" i="92"/>
  <c r="V624" i="92"/>
  <c r="AA624" i="92"/>
  <c r="Z624" i="92"/>
  <c r="V620" i="92"/>
  <c r="AA620" i="92"/>
  <c r="Z620" i="92"/>
  <c r="Y616" i="92"/>
  <c r="V616" i="92"/>
  <c r="AA616" i="92"/>
  <c r="Z616" i="92"/>
  <c r="Y612" i="92"/>
  <c r="V612" i="92"/>
  <c r="AA612" i="92"/>
  <c r="Z612" i="92"/>
  <c r="V608" i="92"/>
  <c r="AA608" i="92"/>
  <c r="Z608" i="92"/>
  <c r="Y604" i="92"/>
  <c r="V604" i="92"/>
  <c r="AA604" i="92"/>
  <c r="Z604" i="92"/>
  <c r="Y600" i="92"/>
  <c r="V600" i="92"/>
  <c r="AA600" i="92"/>
  <c r="Z600" i="92"/>
  <c r="V596" i="92"/>
  <c r="AA596" i="92"/>
  <c r="Z596" i="92"/>
  <c r="Y592" i="92"/>
  <c r="V592" i="92"/>
  <c r="AA592" i="92"/>
  <c r="Z592" i="92"/>
  <c r="Y588" i="92"/>
  <c r="V588" i="92"/>
  <c r="AA588" i="92"/>
  <c r="Z588" i="92"/>
  <c r="V584" i="92"/>
  <c r="AA584" i="92"/>
  <c r="Z584" i="92"/>
  <c r="Y580" i="92"/>
  <c r="V580" i="92"/>
  <c r="AA580" i="92"/>
  <c r="Z580" i="92"/>
  <c r="Y576" i="92"/>
  <c r="V576" i="92"/>
  <c r="AA576" i="92"/>
  <c r="Z576" i="92"/>
  <c r="R572" i="92"/>
  <c r="V572" i="92"/>
  <c r="AA572" i="92"/>
  <c r="Z572" i="92"/>
  <c r="Y568" i="92"/>
  <c r="V568" i="92"/>
  <c r="AA568" i="92"/>
  <c r="Z568" i="92"/>
  <c r="Y564" i="92"/>
  <c r="V564" i="92"/>
  <c r="AA564" i="92"/>
  <c r="Z564" i="92"/>
  <c r="V560" i="92"/>
  <c r="AA560" i="92"/>
  <c r="Z560" i="92"/>
  <c r="Y556" i="92"/>
  <c r="V556" i="92"/>
  <c r="AA556" i="92"/>
  <c r="Z556" i="92"/>
  <c r="Y552" i="92"/>
  <c r="V552" i="92"/>
  <c r="AA552" i="92"/>
  <c r="Z552" i="92"/>
  <c r="V548" i="92"/>
  <c r="AA548" i="92"/>
  <c r="Z548" i="92"/>
  <c r="Y544" i="92"/>
  <c r="V544" i="92"/>
  <c r="AA544" i="92"/>
  <c r="Z544" i="92"/>
  <c r="Y540" i="92"/>
  <c r="V540" i="92"/>
  <c r="AA540" i="92"/>
  <c r="Z540" i="92"/>
  <c r="V536" i="92"/>
  <c r="AA536" i="92"/>
  <c r="Z536" i="92"/>
  <c r="Y532" i="92"/>
  <c r="V532" i="92"/>
  <c r="AA532" i="92"/>
  <c r="Z532" i="92"/>
  <c r="Y528" i="92"/>
  <c r="V528" i="92"/>
  <c r="AA528" i="92"/>
  <c r="Z528" i="92"/>
  <c r="V524" i="92"/>
  <c r="AA524" i="92"/>
  <c r="Z524" i="92"/>
  <c r="Y520" i="92"/>
  <c r="V520" i="92"/>
  <c r="AA520" i="92"/>
  <c r="Z520" i="92"/>
  <c r="Y516" i="92"/>
  <c r="V516" i="92"/>
  <c r="AA516" i="92"/>
  <c r="Z516" i="92"/>
  <c r="V512" i="92"/>
  <c r="AA512" i="92"/>
  <c r="Z512" i="92"/>
  <c r="Y508" i="92"/>
  <c r="V508" i="92"/>
  <c r="AA508" i="92"/>
  <c r="Z508" i="92"/>
  <c r="Y504" i="92"/>
  <c r="V504" i="92"/>
  <c r="AA504" i="92"/>
  <c r="Z504" i="92"/>
  <c r="V500" i="92"/>
  <c r="AA500" i="92"/>
  <c r="Z500" i="92"/>
  <c r="Y496" i="92"/>
  <c r="V496" i="92"/>
  <c r="AA496" i="92"/>
  <c r="Z496" i="92"/>
  <c r="Y492" i="92"/>
  <c r="V492" i="92"/>
  <c r="AA492" i="92"/>
  <c r="Z492" i="92"/>
  <c r="V488" i="92"/>
  <c r="AA488" i="92"/>
  <c r="Z488" i="92"/>
  <c r="Y484" i="92"/>
  <c r="V484" i="92"/>
  <c r="AA484" i="92"/>
  <c r="Z484" i="92"/>
  <c r="Y480" i="92"/>
  <c r="V480" i="92"/>
  <c r="AA480" i="92"/>
  <c r="Z480" i="92"/>
  <c r="V476" i="92"/>
  <c r="AA476" i="92"/>
  <c r="Z476" i="92"/>
  <c r="Y472" i="92"/>
  <c r="V472" i="92"/>
  <c r="AA472" i="92"/>
  <c r="Z472" i="92"/>
  <c r="Y468" i="92"/>
  <c r="V468" i="92"/>
  <c r="AA468" i="92"/>
  <c r="Z468" i="92"/>
  <c r="V464" i="92"/>
  <c r="AA464" i="92"/>
  <c r="Z464" i="92"/>
  <c r="Y460" i="92"/>
  <c r="V460" i="92"/>
  <c r="AA460" i="92"/>
  <c r="Z460" i="92"/>
  <c r="Y456" i="92"/>
  <c r="V456" i="92"/>
  <c r="AA456" i="92"/>
  <c r="Z456" i="92"/>
  <c r="V452" i="92"/>
  <c r="AA452" i="92"/>
  <c r="Z452" i="92"/>
  <c r="Y448" i="92"/>
  <c r="V448" i="92"/>
  <c r="AA448" i="92"/>
  <c r="Z448" i="92"/>
  <c r="Y444" i="92"/>
  <c r="V444" i="92"/>
  <c r="AA444" i="92"/>
  <c r="Z444" i="92"/>
  <c r="V440" i="92"/>
  <c r="AA440" i="92"/>
  <c r="Z440" i="92"/>
  <c r="Y436" i="92"/>
  <c r="V436" i="92"/>
  <c r="AA436" i="92"/>
  <c r="Z436" i="92"/>
  <c r="Y432" i="92"/>
  <c r="V432" i="92"/>
  <c r="AA432" i="92"/>
  <c r="Z432" i="92"/>
  <c r="V428" i="92"/>
  <c r="AA428" i="92"/>
  <c r="Z428" i="92"/>
  <c r="Y424" i="92"/>
  <c r="V424" i="92"/>
  <c r="AA424" i="92"/>
  <c r="Z424" i="92"/>
  <c r="Y420" i="92"/>
  <c r="V420" i="92"/>
  <c r="AA420" i="92"/>
  <c r="Z420" i="92"/>
  <c r="V416" i="92"/>
  <c r="AA416" i="92"/>
  <c r="Z416" i="92"/>
  <c r="Y412" i="92"/>
  <c r="V412" i="92"/>
  <c r="AA412" i="92"/>
  <c r="Z412" i="92"/>
  <c r="Y408" i="92"/>
  <c r="V408" i="92"/>
  <c r="AA408" i="92"/>
  <c r="Z408" i="92"/>
  <c r="V404" i="92"/>
  <c r="AA404" i="92"/>
  <c r="Z404" i="92"/>
  <c r="Y400" i="92"/>
  <c r="V400" i="92"/>
  <c r="AA400" i="92"/>
  <c r="Z400" i="92"/>
  <c r="Y396" i="92"/>
  <c r="V396" i="92"/>
  <c r="AA396" i="92"/>
  <c r="Z396" i="92"/>
  <c r="V392" i="92"/>
  <c r="AA392" i="92"/>
  <c r="Z392" i="92"/>
  <c r="Y388" i="92"/>
  <c r="V388" i="92"/>
  <c r="AA388" i="92"/>
  <c r="Z388" i="92"/>
  <c r="Y384" i="92"/>
  <c r="V384" i="92"/>
  <c r="AA384" i="92"/>
  <c r="Z384" i="92"/>
  <c r="V380" i="92"/>
  <c r="AA380" i="92"/>
  <c r="Z380" i="92"/>
  <c r="Y376" i="92"/>
  <c r="V376" i="92"/>
  <c r="AA376" i="92"/>
  <c r="Z376" i="92"/>
  <c r="Y372" i="92"/>
  <c r="V372" i="92"/>
  <c r="AA372" i="92"/>
  <c r="Z372" i="92"/>
  <c r="V368" i="92"/>
  <c r="AA368" i="92"/>
  <c r="Z368" i="92"/>
  <c r="Y364" i="92"/>
  <c r="V364" i="92"/>
  <c r="AA364" i="92"/>
  <c r="Z364" i="92"/>
  <c r="Y360" i="92"/>
  <c r="V360" i="92"/>
  <c r="AA360" i="92"/>
  <c r="Z360" i="92"/>
  <c r="V356" i="92"/>
  <c r="AA356" i="92"/>
  <c r="Z356" i="92"/>
  <c r="Y352" i="92"/>
  <c r="V352" i="92"/>
  <c r="AA352" i="92"/>
  <c r="Z352" i="92"/>
  <c r="Y348" i="92"/>
  <c r="V348" i="92"/>
  <c r="AA348" i="92"/>
  <c r="Z348" i="92"/>
  <c r="V344" i="92"/>
  <c r="AA344" i="92"/>
  <c r="Z344" i="92"/>
  <c r="Y340" i="92"/>
  <c r="V340" i="92"/>
  <c r="AA340" i="92"/>
  <c r="Z340" i="92"/>
  <c r="Y336" i="92"/>
  <c r="V336" i="92"/>
  <c r="AA336" i="92"/>
  <c r="Z336" i="92"/>
  <c r="V332" i="92"/>
  <c r="AA332" i="92"/>
  <c r="Z332" i="92"/>
  <c r="Y328" i="92"/>
  <c r="V328" i="92"/>
  <c r="AA328" i="92"/>
  <c r="Z328" i="92"/>
  <c r="Y324" i="92"/>
  <c r="V324" i="92"/>
  <c r="AA324" i="92"/>
  <c r="Z324" i="92"/>
  <c r="V320" i="92"/>
  <c r="AA320" i="92"/>
  <c r="Z320" i="92"/>
  <c r="Y316" i="92"/>
  <c r="V316" i="92"/>
  <c r="AA316" i="92"/>
  <c r="Z316" i="92"/>
  <c r="Y312" i="92"/>
  <c r="V312" i="92"/>
  <c r="AA312" i="92"/>
  <c r="Z312" i="92"/>
  <c r="V308" i="92"/>
  <c r="AA308" i="92"/>
  <c r="Z308" i="92"/>
  <c r="Y304" i="92"/>
  <c r="V304" i="92"/>
  <c r="AA304" i="92"/>
  <c r="Z304" i="92"/>
  <c r="Y300" i="92"/>
  <c r="V300" i="92"/>
  <c r="AA300" i="92"/>
  <c r="Z300" i="92"/>
  <c r="V296" i="92"/>
  <c r="AA296" i="92"/>
  <c r="Z296" i="92"/>
  <c r="Y292" i="92"/>
  <c r="V292" i="92"/>
  <c r="AA292" i="92"/>
  <c r="Z292" i="92"/>
  <c r="Y288" i="92"/>
  <c r="V288" i="92"/>
  <c r="AA288" i="92"/>
  <c r="Z288" i="92"/>
  <c r="V284" i="92"/>
  <c r="AA284" i="92"/>
  <c r="Z284" i="92"/>
  <c r="Y280" i="92"/>
  <c r="V280" i="92"/>
  <c r="AA280" i="92"/>
  <c r="Z280" i="92"/>
  <c r="Y276" i="92"/>
  <c r="V276" i="92"/>
  <c r="AA276" i="92"/>
  <c r="Z276" i="92"/>
  <c r="V272" i="92"/>
  <c r="AA272" i="92"/>
  <c r="Z272" i="92"/>
  <c r="Y268" i="92"/>
  <c r="V268" i="92"/>
  <c r="AA268" i="92"/>
  <c r="Z268" i="92"/>
  <c r="Y264" i="92"/>
  <c r="V264" i="92"/>
  <c r="AA264" i="92"/>
  <c r="Z264" i="92"/>
  <c r="V260" i="92"/>
  <c r="AA260" i="92"/>
  <c r="Z260" i="92"/>
  <c r="Y256" i="92"/>
  <c r="V256" i="92"/>
  <c r="AA256" i="92"/>
  <c r="Z256" i="92"/>
  <c r="Y252" i="92"/>
  <c r="V252" i="92"/>
  <c r="AA252" i="92"/>
  <c r="Z252" i="92"/>
  <c r="V248" i="92"/>
  <c r="AA248" i="92"/>
  <c r="Z248" i="92"/>
  <c r="Y244" i="92"/>
  <c r="V244" i="92"/>
  <c r="AA244" i="92"/>
  <c r="Z244" i="92"/>
  <c r="Y240" i="92"/>
  <c r="V240" i="92"/>
  <c r="AA240" i="92"/>
  <c r="Z240" i="92"/>
  <c r="V236" i="92"/>
  <c r="AA236" i="92"/>
  <c r="Z236" i="92"/>
  <c r="Y232" i="92"/>
  <c r="V232" i="92"/>
  <c r="AA232" i="92"/>
  <c r="Z232" i="92"/>
  <c r="Y228" i="92"/>
  <c r="V228" i="92"/>
  <c r="AA228" i="92"/>
  <c r="Z228" i="92"/>
  <c r="V224" i="92"/>
  <c r="AA224" i="92"/>
  <c r="Z224" i="92"/>
  <c r="Y220" i="92"/>
  <c r="V220" i="92"/>
  <c r="AA220" i="92"/>
  <c r="Z220" i="92"/>
  <c r="Y216" i="92"/>
  <c r="V216" i="92"/>
  <c r="AA216" i="92"/>
  <c r="Z216" i="92"/>
  <c r="V212" i="92"/>
  <c r="AA212" i="92"/>
  <c r="Z212" i="92"/>
  <c r="Y208" i="92"/>
  <c r="V208" i="92"/>
  <c r="AA208" i="92"/>
  <c r="Z208" i="92"/>
  <c r="Y204" i="92"/>
  <c r="V204" i="92"/>
  <c r="AA204" i="92"/>
  <c r="Z204" i="92"/>
  <c r="V200" i="92"/>
  <c r="AA200" i="92"/>
  <c r="Z200" i="92"/>
  <c r="Y196" i="92"/>
  <c r="V196" i="92"/>
  <c r="AA196" i="92"/>
  <c r="Z196" i="92"/>
  <c r="Y192" i="92"/>
  <c r="V192" i="92"/>
  <c r="AA192" i="92"/>
  <c r="Z192" i="92"/>
  <c r="V188" i="92"/>
  <c r="AA188" i="92"/>
  <c r="Z188" i="92"/>
  <c r="Y184" i="92"/>
  <c r="V184" i="92"/>
  <c r="AA184" i="92"/>
  <c r="Z184" i="92"/>
  <c r="Y180" i="92"/>
  <c r="V180" i="92"/>
  <c r="AA180" i="92"/>
  <c r="Z180" i="92"/>
  <c r="V176" i="92"/>
  <c r="AA176" i="92"/>
  <c r="Z176" i="92"/>
  <c r="Y172" i="92"/>
  <c r="V172" i="92"/>
  <c r="AA172" i="92"/>
  <c r="Z172" i="92"/>
  <c r="Y168" i="92"/>
  <c r="V168" i="92"/>
  <c r="AA168" i="92"/>
  <c r="Z168" i="92"/>
  <c r="V164" i="92"/>
  <c r="AA164" i="92"/>
  <c r="Z164" i="92"/>
  <c r="Y160" i="92"/>
  <c r="V160" i="92"/>
  <c r="AA160" i="92"/>
  <c r="Z160" i="92"/>
  <c r="Y156" i="92"/>
  <c r="V156" i="92"/>
  <c r="AA156" i="92"/>
  <c r="Z156" i="92"/>
  <c r="V152" i="92"/>
  <c r="AA152" i="92"/>
  <c r="Z152" i="92"/>
  <c r="Y148" i="92"/>
  <c r="V148" i="92"/>
  <c r="AA148" i="92"/>
  <c r="Z148" i="92"/>
  <c r="Y144" i="92"/>
  <c r="V144" i="92"/>
  <c r="AA144" i="92"/>
  <c r="Z144" i="92"/>
  <c r="V140" i="92"/>
  <c r="AA140" i="92"/>
  <c r="Z140" i="92"/>
  <c r="Y136" i="92"/>
  <c r="V136" i="92"/>
  <c r="AA136" i="92"/>
  <c r="Z136" i="92"/>
  <c r="Y132" i="92"/>
  <c r="V132" i="92"/>
  <c r="AA132" i="92"/>
  <c r="Z132" i="92"/>
  <c r="V128" i="92"/>
  <c r="AA128" i="92"/>
  <c r="Z128" i="92"/>
  <c r="Y124" i="92"/>
  <c r="V124" i="92"/>
  <c r="AA124" i="92"/>
  <c r="Z124" i="92"/>
  <c r="Y120" i="92"/>
  <c r="V120" i="92"/>
  <c r="AA120" i="92"/>
  <c r="Z120" i="92"/>
  <c r="V116" i="92"/>
  <c r="AA116" i="92"/>
  <c r="Z116" i="92"/>
  <c r="Y112" i="92"/>
  <c r="V112" i="92"/>
  <c r="AA112" i="92"/>
  <c r="Z112" i="92"/>
  <c r="Y108" i="92"/>
  <c r="V108" i="92"/>
  <c r="AA108" i="92"/>
  <c r="Z108" i="92"/>
  <c r="V104" i="92"/>
  <c r="AA104" i="92"/>
  <c r="Z104" i="92"/>
  <c r="Y100" i="92"/>
  <c r="V100" i="92"/>
  <c r="AA100" i="92"/>
  <c r="Z100" i="92"/>
  <c r="Y96" i="92"/>
  <c r="V96" i="92"/>
  <c r="AA96" i="92"/>
  <c r="Z96" i="92"/>
  <c r="V92" i="92"/>
  <c r="AA92" i="92"/>
  <c r="Z92" i="92"/>
  <c r="Y88" i="92"/>
  <c r="V88" i="92"/>
  <c r="AA88" i="92"/>
  <c r="Z88" i="92"/>
  <c r="V84" i="92"/>
  <c r="AA84" i="92"/>
  <c r="Z84" i="92"/>
  <c r="Y944" i="92"/>
  <c r="Y860" i="92"/>
  <c r="Y812" i="92"/>
  <c r="Y764" i="92"/>
  <c r="Y716" i="92"/>
  <c r="Y668" i="92"/>
  <c r="Y620" i="92"/>
  <c r="Y572" i="92"/>
  <c r="Y524" i="92"/>
  <c r="Y476" i="92"/>
  <c r="Y428" i="92"/>
  <c r="Y380" i="92"/>
  <c r="Y332" i="92"/>
  <c r="Y284" i="92"/>
  <c r="Y236" i="92"/>
  <c r="Y188" i="92"/>
  <c r="Y140" i="92"/>
  <c r="Y92" i="92"/>
  <c r="Z1077" i="92"/>
  <c r="Z1073" i="92"/>
  <c r="Z1069" i="92"/>
  <c r="Z1065" i="92"/>
  <c r="Z1061" i="92"/>
  <c r="Z1057" i="92"/>
  <c r="Z1053" i="92"/>
  <c r="Z1049" i="92"/>
  <c r="Z1045" i="92"/>
  <c r="Z1041" i="92"/>
  <c r="Z1037" i="92"/>
  <c r="Z1033" i="92"/>
  <c r="Z1029" i="92"/>
  <c r="Z1025" i="92"/>
  <c r="Z1021" i="92"/>
  <c r="Z1017" i="92"/>
  <c r="Z1013" i="92"/>
  <c r="Z1009" i="92"/>
  <c r="Z1005" i="92"/>
  <c r="Z1001" i="92"/>
  <c r="Z997" i="92"/>
  <c r="Z993" i="92"/>
  <c r="Z989" i="92"/>
  <c r="Z985" i="92"/>
  <c r="Z981" i="92"/>
  <c r="Z977" i="92"/>
  <c r="Z973" i="92"/>
  <c r="Z969" i="92"/>
  <c r="Z965" i="92"/>
  <c r="Z961" i="92"/>
  <c r="Z957" i="92"/>
  <c r="Z953" i="92"/>
  <c r="Z949" i="92"/>
  <c r="Z945" i="92"/>
  <c r="Z941" i="92"/>
  <c r="Z937" i="92"/>
  <c r="Z933" i="92"/>
  <c r="Z929" i="92"/>
  <c r="Z925" i="92"/>
  <c r="Z921" i="92"/>
  <c r="Z917" i="92"/>
  <c r="Z913" i="92"/>
  <c r="Z909" i="92"/>
  <c r="Z905" i="92"/>
  <c r="Z901" i="92"/>
  <c r="Z897" i="92"/>
  <c r="Z893" i="92"/>
  <c r="Z889" i="92"/>
  <c r="Z885" i="92"/>
  <c r="Z881" i="92"/>
  <c r="Z877" i="92"/>
  <c r="Z873" i="92"/>
  <c r="Z869" i="92"/>
  <c r="Z865" i="92"/>
  <c r="Z861" i="92"/>
  <c r="Z857" i="92"/>
  <c r="Z853" i="92"/>
  <c r="Z849" i="92"/>
  <c r="Z845" i="92"/>
  <c r="Z841" i="92"/>
  <c r="Z837" i="92"/>
  <c r="Z833" i="92"/>
  <c r="Z829" i="92"/>
  <c r="Z825" i="92"/>
  <c r="Z821" i="92"/>
  <c r="Z817" i="92"/>
  <c r="Z813" i="92"/>
  <c r="Z809" i="92"/>
  <c r="Z805" i="92"/>
  <c r="Z801" i="92"/>
  <c r="Z797" i="92"/>
  <c r="Z793" i="92"/>
  <c r="Z789" i="92"/>
  <c r="Z785" i="92"/>
  <c r="Z781" i="92"/>
  <c r="Z777" i="92"/>
  <c r="Z773" i="92"/>
  <c r="Z769" i="92"/>
  <c r="Z765" i="92"/>
  <c r="Z761" i="92"/>
  <c r="Z756" i="92"/>
  <c r="Z745" i="92"/>
  <c r="Y80" i="92"/>
  <c r="V80" i="92"/>
  <c r="AA80" i="92"/>
  <c r="Y1079" i="92"/>
  <c r="V1079" i="92"/>
  <c r="AA1079" i="92"/>
  <c r="Y1075" i="92"/>
  <c r="V1075" i="92"/>
  <c r="AA1075" i="92"/>
  <c r="Y1071" i="92"/>
  <c r="V1071" i="92"/>
  <c r="AA1071" i="92"/>
  <c r="Y1067" i="92"/>
  <c r="V1067" i="92"/>
  <c r="AA1067" i="92"/>
  <c r="Y1063" i="92"/>
  <c r="V1063" i="92"/>
  <c r="AA1063" i="92"/>
  <c r="Y1059" i="92"/>
  <c r="V1059" i="92"/>
  <c r="AA1059" i="92"/>
  <c r="Y1055" i="92"/>
  <c r="V1055" i="92"/>
  <c r="AA1055" i="92"/>
  <c r="Y1051" i="92"/>
  <c r="V1051" i="92"/>
  <c r="AA1051" i="92"/>
  <c r="Y1047" i="92"/>
  <c r="V1047" i="92"/>
  <c r="AA1047" i="92"/>
  <c r="Y1043" i="92"/>
  <c r="V1043" i="92"/>
  <c r="AA1043" i="92"/>
  <c r="Y1039" i="92"/>
  <c r="V1039" i="92"/>
  <c r="AA1039" i="92"/>
  <c r="Y1035" i="92"/>
  <c r="V1035" i="92"/>
  <c r="AA1035" i="92"/>
  <c r="Y1031" i="92"/>
  <c r="V1031" i="92"/>
  <c r="AA1031" i="92"/>
  <c r="Y1027" i="92"/>
  <c r="V1027" i="92"/>
  <c r="AA1027" i="92"/>
  <c r="Y1023" i="92"/>
  <c r="V1023" i="92"/>
  <c r="AA1023" i="92"/>
  <c r="Y1019" i="92"/>
  <c r="V1019" i="92"/>
  <c r="AA1019" i="92"/>
  <c r="Y1015" i="92"/>
  <c r="V1015" i="92"/>
  <c r="AA1015" i="92"/>
  <c r="Y1011" i="92"/>
  <c r="V1011" i="92"/>
  <c r="AA1011" i="92"/>
  <c r="Y1007" i="92"/>
  <c r="V1007" i="92"/>
  <c r="AA1007" i="92"/>
  <c r="Y1003" i="92"/>
  <c r="V1003" i="92"/>
  <c r="AA1003" i="92"/>
  <c r="Y999" i="92"/>
  <c r="V999" i="92"/>
  <c r="AA999" i="92"/>
  <c r="Y995" i="92"/>
  <c r="V995" i="92"/>
  <c r="AA995" i="92"/>
  <c r="Y991" i="92"/>
  <c r="V991" i="92"/>
  <c r="AA991" i="92"/>
  <c r="Y987" i="92"/>
  <c r="V987" i="92"/>
  <c r="AA987" i="92"/>
  <c r="Y983" i="92"/>
  <c r="V983" i="92"/>
  <c r="AA983" i="92"/>
  <c r="Y979" i="92"/>
  <c r="V979" i="92"/>
  <c r="AA979" i="92"/>
  <c r="Y975" i="92"/>
  <c r="V975" i="92"/>
  <c r="AA975" i="92"/>
  <c r="Y971" i="92"/>
  <c r="V971" i="92"/>
  <c r="AA971" i="92"/>
  <c r="Y967" i="92"/>
  <c r="V967" i="92"/>
  <c r="AA967" i="92"/>
  <c r="Y963" i="92"/>
  <c r="V963" i="92"/>
  <c r="AA963" i="92"/>
  <c r="Y959" i="92"/>
  <c r="V959" i="92"/>
  <c r="AA959" i="92"/>
  <c r="Y955" i="92"/>
  <c r="V955" i="92"/>
  <c r="AA955" i="92"/>
  <c r="Y951" i="92"/>
  <c r="V951" i="92"/>
  <c r="AA951" i="92"/>
  <c r="Y947" i="92"/>
  <c r="V947" i="92"/>
  <c r="AA947" i="92"/>
  <c r="Y943" i="92"/>
  <c r="V943" i="92"/>
  <c r="AA943" i="92"/>
  <c r="Y939" i="92"/>
  <c r="V939" i="92"/>
  <c r="AA939" i="92"/>
  <c r="Y935" i="92"/>
  <c r="V935" i="92"/>
  <c r="AA935" i="92"/>
  <c r="Y931" i="92"/>
  <c r="V931" i="92"/>
  <c r="AA931" i="92"/>
  <c r="Y927" i="92"/>
  <c r="V927" i="92"/>
  <c r="AA927" i="92"/>
  <c r="Y923" i="92"/>
  <c r="V923" i="92"/>
  <c r="AA923" i="92"/>
  <c r="Y919" i="92"/>
  <c r="V919" i="92"/>
  <c r="AA919" i="92"/>
  <c r="Y915" i="92"/>
  <c r="V915" i="92"/>
  <c r="AA915" i="92"/>
  <c r="Y911" i="92"/>
  <c r="V911" i="92"/>
  <c r="AA911" i="92"/>
  <c r="Y907" i="92"/>
  <c r="V907" i="92"/>
  <c r="AA907" i="92"/>
  <c r="Y903" i="92"/>
  <c r="V903" i="92"/>
  <c r="AA903" i="92"/>
  <c r="Y899" i="92"/>
  <c r="V899" i="92"/>
  <c r="AA899" i="92"/>
  <c r="Y895" i="92"/>
  <c r="V895" i="92"/>
  <c r="AA895" i="92"/>
  <c r="Y891" i="92"/>
  <c r="V891" i="92"/>
  <c r="AA891" i="92"/>
  <c r="Y887" i="92"/>
  <c r="V887" i="92"/>
  <c r="AA887" i="92"/>
  <c r="Y883" i="92"/>
  <c r="V883" i="92"/>
  <c r="AA883" i="92"/>
  <c r="Y879" i="92"/>
  <c r="V879" i="92"/>
  <c r="AA879" i="92"/>
  <c r="Y875" i="92"/>
  <c r="V875" i="92"/>
  <c r="AA875" i="92"/>
  <c r="Y871" i="92"/>
  <c r="V871" i="92"/>
  <c r="AA871" i="92"/>
  <c r="Y867" i="92"/>
  <c r="V867" i="92"/>
  <c r="AA867" i="92"/>
  <c r="Y863" i="92"/>
  <c r="V863" i="92"/>
  <c r="AA863" i="92"/>
  <c r="Y859" i="92"/>
  <c r="V859" i="92"/>
  <c r="AA859" i="92"/>
  <c r="Y855" i="92"/>
  <c r="V855" i="92"/>
  <c r="AA855" i="92"/>
  <c r="Y851" i="92"/>
  <c r="V851" i="92"/>
  <c r="AA851" i="92"/>
  <c r="Y847" i="92"/>
  <c r="V847" i="92"/>
  <c r="AA847" i="92"/>
  <c r="Y843" i="92"/>
  <c r="V843" i="92"/>
  <c r="AA843" i="92"/>
  <c r="Y839" i="92"/>
  <c r="V839" i="92"/>
  <c r="AA839" i="92"/>
  <c r="Y835" i="92"/>
  <c r="V835" i="92"/>
  <c r="AA835" i="92"/>
  <c r="Y831" i="92"/>
  <c r="V831" i="92"/>
  <c r="AA831" i="92"/>
  <c r="Y827" i="92"/>
  <c r="V827" i="92"/>
  <c r="AA827" i="92"/>
  <c r="Y823" i="92"/>
  <c r="V823" i="92"/>
  <c r="AA823" i="92"/>
  <c r="Y819" i="92"/>
  <c r="V819" i="92"/>
  <c r="AA819" i="92"/>
  <c r="Y815" i="92"/>
  <c r="V815" i="92"/>
  <c r="AA815" i="92"/>
  <c r="Y811" i="92"/>
  <c r="V811" i="92"/>
  <c r="AA811" i="92"/>
  <c r="Y807" i="92"/>
  <c r="V807" i="92"/>
  <c r="AA807" i="92"/>
  <c r="Y803" i="92"/>
  <c r="V803" i="92"/>
  <c r="AA803" i="92"/>
  <c r="Y799" i="92"/>
  <c r="V799" i="92"/>
  <c r="AA799" i="92"/>
  <c r="Y795" i="92"/>
  <c r="V795" i="92"/>
  <c r="AA795" i="92"/>
  <c r="Y791" i="92"/>
  <c r="V791" i="92"/>
  <c r="AA791" i="92"/>
  <c r="Y787" i="92"/>
  <c r="V787" i="92"/>
  <c r="AA787" i="92"/>
  <c r="Y783" i="92"/>
  <c r="V783" i="92"/>
  <c r="AA783" i="92"/>
  <c r="Y779" i="92"/>
  <c r="V779" i="92"/>
  <c r="AA779" i="92"/>
  <c r="Y775" i="92"/>
  <c r="V775" i="92"/>
  <c r="AA775" i="92"/>
  <c r="Y771" i="92"/>
  <c r="V771" i="92"/>
  <c r="AA771" i="92"/>
  <c r="Y767" i="92"/>
  <c r="V767" i="92"/>
  <c r="AA767" i="92"/>
  <c r="Y763" i="92"/>
  <c r="V763" i="92"/>
  <c r="AA763" i="92"/>
  <c r="Y759" i="92"/>
  <c r="V759" i="92"/>
  <c r="AA759" i="92"/>
  <c r="Z759" i="92"/>
  <c r="Y755" i="92"/>
  <c r="V755" i="92"/>
  <c r="AA755" i="92"/>
  <c r="Z755" i="92"/>
  <c r="Y751" i="92"/>
  <c r="V751" i="92"/>
  <c r="AA751" i="92"/>
  <c r="Z751" i="92"/>
  <c r="Y747" i="92"/>
  <c r="V747" i="92"/>
  <c r="AA747" i="92"/>
  <c r="Z747" i="92"/>
  <c r="Y743" i="92"/>
  <c r="V743" i="92"/>
  <c r="AA743" i="92"/>
  <c r="Z743" i="92"/>
  <c r="Y739" i="92"/>
  <c r="V739" i="92"/>
  <c r="AA739" i="92"/>
  <c r="Z739" i="92"/>
  <c r="Y735" i="92"/>
  <c r="V735" i="92"/>
  <c r="AA735" i="92"/>
  <c r="Z735" i="92"/>
  <c r="Y731" i="92"/>
  <c r="V731" i="92"/>
  <c r="AA731" i="92"/>
  <c r="Z731" i="92"/>
  <c r="Y727" i="92"/>
  <c r="V727" i="92"/>
  <c r="AA727" i="92"/>
  <c r="Z727" i="92"/>
  <c r="Y723" i="92"/>
  <c r="V723" i="92"/>
  <c r="AA723" i="92"/>
  <c r="Z723" i="92"/>
  <c r="Y719" i="92"/>
  <c r="V719" i="92"/>
  <c r="AA719" i="92"/>
  <c r="Z719" i="92"/>
  <c r="Y715" i="92"/>
  <c r="V715" i="92"/>
  <c r="AA715" i="92"/>
  <c r="Z715" i="92"/>
  <c r="Y711" i="92"/>
  <c r="V711" i="92"/>
  <c r="AA711" i="92"/>
  <c r="Z711" i="92"/>
  <c r="Y707" i="92"/>
  <c r="V707" i="92"/>
  <c r="AA707" i="92"/>
  <c r="Z707" i="92"/>
  <c r="Y703" i="92"/>
  <c r="V703" i="92"/>
  <c r="AA703" i="92"/>
  <c r="Z703" i="92"/>
  <c r="Y699" i="92"/>
  <c r="V699" i="92"/>
  <c r="AA699" i="92"/>
  <c r="Z699" i="92"/>
  <c r="Y695" i="92"/>
  <c r="V695" i="92"/>
  <c r="AA695" i="92"/>
  <c r="Z695" i="92"/>
  <c r="Y691" i="92"/>
  <c r="V691" i="92"/>
  <c r="AA691" i="92"/>
  <c r="Z691" i="92"/>
  <c r="Y687" i="92"/>
  <c r="V687" i="92"/>
  <c r="AA687" i="92"/>
  <c r="Z687" i="92"/>
  <c r="Y683" i="92"/>
  <c r="V683" i="92"/>
  <c r="AA683" i="92"/>
  <c r="Z683" i="92"/>
  <c r="Y679" i="92"/>
  <c r="V679" i="92"/>
  <c r="AA679" i="92"/>
  <c r="Z679" i="92"/>
  <c r="Y675" i="92"/>
  <c r="V675" i="92"/>
  <c r="AA675" i="92"/>
  <c r="Z675" i="92"/>
  <c r="Y671" i="92"/>
  <c r="V671" i="92"/>
  <c r="AA671" i="92"/>
  <c r="Z671" i="92"/>
  <c r="Y667" i="92"/>
  <c r="V667" i="92"/>
  <c r="AA667" i="92"/>
  <c r="Z667" i="92"/>
  <c r="Y663" i="92"/>
  <c r="V663" i="92"/>
  <c r="AA663" i="92"/>
  <c r="Z663" i="92"/>
  <c r="Y659" i="92"/>
  <c r="V659" i="92"/>
  <c r="AA659" i="92"/>
  <c r="Z659" i="92"/>
  <c r="Y655" i="92"/>
  <c r="V655" i="92"/>
  <c r="AA655" i="92"/>
  <c r="Z655" i="92"/>
  <c r="Y651" i="92"/>
  <c r="V651" i="92"/>
  <c r="AA651" i="92"/>
  <c r="Z651" i="92"/>
  <c r="Y647" i="92"/>
  <c r="V647" i="92"/>
  <c r="AA647" i="92"/>
  <c r="Z647" i="92"/>
  <c r="Y643" i="92"/>
  <c r="V643" i="92"/>
  <c r="AA643" i="92"/>
  <c r="Z643" i="92"/>
  <c r="Y639" i="92"/>
  <c r="V639" i="92"/>
  <c r="AA639" i="92"/>
  <c r="Z639" i="92"/>
  <c r="Y635" i="92"/>
  <c r="V635" i="92"/>
  <c r="AA635" i="92"/>
  <c r="Z635" i="92"/>
  <c r="Y631" i="92"/>
  <c r="V631" i="92"/>
  <c r="AA631" i="92"/>
  <c r="Z631" i="92"/>
  <c r="Y627" i="92"/>
  <c r="V627" i="92"/>
  <c r="AA627" i="92"/>
  <c r="Z627" i="92"/>
  <c r="Y623" i="92"/>
  <c r="V623" i="92"/>
  <c r="AA623" i="92"/>
  <c r="Z623" i="92"/>
  <c r="Y619" i="92"/>
  <c r="V619" i="92"/>
  <c r="AA619" i="92"/>
  <c r="Z619" i="92"/>
  <c r="Y615" i="92"/>
  <c r="V615" i="92"/>
  <c r="AA615" i="92"/>
  <c r="Z615" i="92"/>
  <c r="Y611" i="92"/>
  <c r="V611" i="92"/>
  <c r="AA611" i="92"/>
  <c r="Z611" i="92"/>
  <c r="Y607" i="92"/>
  <c r="V607" i="92"/>
  <c r="AA607" i="92"/>
  <c r="Z607" i="92"/>
  <c r="Y603" i="92"/>
  <c r="V603" i="92"/>
  <c r="AA603" i="92"/>
  <c r="Z603" i="92"/>
  <c r="Y599" i="92"/>
  <c r="V599" i="92"/>
  <c r="AA599" i="92"/>
  <c r="Z599" i="92"/>
  <c r="Y595" i="92"/>
  <c r="V595" i="92"/>
  <c r="AA595" i="92"/>
  <c r="Z595" i="92"/>
  <c r="Y591" i="92"/>
  <c r="V591" i="92"/>
  <c r="AA591" i="92"/>
  <c r="Z591" i="92"/>
  <c r="Y587" i="92"/>
  <c r="V587" i="92"/>
  <c r="AA587" i="92"/>
  <c r="Z587" i="92"/>
  <c r="Y583" i="92"/>
  <c r="V583" i="92"/>
  <c r="AA583" i="92"/>
  <c r="Z583" i="92"/>
  <c r="Y579" i="92"/>
  <c r="V579" i="92"/>
  <c r="AA579" i="92"/>
  <c r="Z579" i="92"/>
  <c r="Y575" i="92"/>
  <c r="V575" i="92"/>
  <c r="AA575" i="92"/>
  <c r="Z575" i="92"/>
  <c r="Y571" i="92"/>
  <c r="V571" i="92"/>
  <c r="AA571" i="92"/>
  <c r="Z571" i="92"/>
  <c r="Y567" i="92"/>
  <c r="V567" i="92"/>
  <c r="AA567" i="92"/>
  <c r="Z567" i="92"/>
  <c r="Y563" i="92"/>
  <c r="V563" i="92"/>
  <c r="AA563" i="92"/>
  <c r="Z563" i="92"/>
  <c r="Y559" i="92"/>
  <c r="V559" i="92"/>
  <c r="AA559" i="92"/>
  <c r="Z559" i="92"/>
  <c r="Y555" i="92"/>
  <c r="V555" i="92"/>
  <c r="AA555" i="92"/>
  <c r="Z555" i="92"/>
  <c r="Y551" i="92"/>
  <c r="V551" i="92"/>
  <c r="AA551" i="92"/>
  <c r="Z551" i="92"/>
  <c r="Y547" i="92"/>
  <c r="V547" i="92"/>
  <c r="AA547" i="92"/>
  <c r="Z547" i="92"/>
  <c r="Y543" i="92"/>
  <c r="V543" i="92"/>
  <c r="AA543" i="92"/>
  <c r="Z543" i="92"/>
  <c r="Y539" i="92"/>
  <c r="V539" i="92"/>
  <c r="AA539" i="92"/>
  <c r="Z539" i="92"/>
  <c r="Y535" i="92"/>
  <c r="V535" i="92"/>
  <c r="AA535" i="92"/>
  <c r="Z535" i="92"/>
  <c r="Y531" i="92"/>
  <c r="V531" i="92"/>
  <c r="AA531" i="92"/>
  <c r="Z531" i="92"/>
  <c r="Y527" i="92"/>
  <c r="V527" i="92"/>
  <c r="AA527" i="92"/>
  <c r="Z527" i="92"/>
  <c r="Y523" i="92"/>
  <c r="V523" i="92"/>
  <c r="AA523" i="92"/>
  <c r="Z523" i="92"/>
  <c r="Y519" i="92"/>
  <c r="V519" i="92"/>
  <c r="AA519" i="92"/>
  <c r="Z519" i="92"/>
  <c r="Y515" i="92"/>
  <c r="V515" i="92"/>
  <c r="AA515" i="92"/>
  <c r="Z515" i="92"/>
  <c r="Y511" i="92"/>
  <c r="V511" i="92"/>
  <c r="AA511" i="92"/>
  <c r="Z511" i="92"/>
  <c r="Y507" i="92"/>
  <c r="V507" i="92"/>
  <c r="AA507" i="92"/>
  <c r="Z507" i="92"/>
  <c r="Y503" i="92"/>
  <c r="V503" i="92"/>
  <c r="AA503" i="92"/>
  <c r="Z503" i="92"/>
  <c r="Y499" i="92"/>
  <c r="V499" i="92"/>
  <c r="AA499" i="92"/>
  <c r="Z499" i="92"/>
  <c r="Y495" i="92"/>
  <c r="V495" i="92"/>
  <c r="AA495" i="92"/>
  <c r="Z495" i="92"/>
  <c r="Y491" i="92"/>
  <c r="V491" i="92"/>
  <c r="AA491" i="92"/>
  <c r="Z491" i="92"/>
  <c r="Y487" i="92"/>
  <c r="V487" i="92"/>
  <c r="AA487" i="92"/>
  <c r="Z487" i="92"/>
  <c r="Y483" i="92"/>
  <c r="V483" i="92"/>
  <c r="AA483" i="92"/>
  <c r="Z483" i="92"/>
  <c r="Y479" i="92"/>
  <c r="V479" i="92"/>
  <c r="AA479" i="92"/>
  <c r="Z479" i="92"/>
  <c r="Y475" i="92"/>
  <c r="V475" i="92"/>
  <c r="AA475" i="92"/>
  <c r="Z475" i="92"/>
  <c r="Y471" i="92"/>
  <c r="V471" i="92"/>
  <c r="AA471" i="92"/>
  <c r="Z471" i="92"/>
  <c r="Y467" i="92"/>
  <c r="V467" i="92"/>
  <c r="AA467" i="92"/>
  <c r="Z467" i="92"/>
  <c r="Y463" i="92"/>
  <c r="V463" i="92"/>
  <c r="AA463" i="92"/>
  <c r="Z463" i="92"/>
  <c r="Y459" i="92"/>
  <c r="V459" i="92"/>
  <c r="AA459" i="92"/>
  <c r="Z459" i="92"/>
  <c r="Y455" i="92"/>
  <c r="V455" i="92"/>
  <c r="AA455" i="92"/>
  <c r="Z455" i="92"/>
  <c r="Y451" i="92"/>
  <c r="V451" i="92"/>
  <c r="AA451" i="92"/>
  <c r="Z451" i="92"/>
  <c r="Y447" i="92"/>
  <c r="V447" i="92"/>
  <c r="AA447" i="92"/>
  <c r="Z447" i="92"/>
  <c r="Y443" i="92"/>
  <c r="V443" i="92"/>
  <c r="AA443" i="92"/>
  <c r="Z443" i="92"/>
  <c r="Y439" i="92"/>
  <c r="V439" i="92"/>
  <c r="AA439" i="92"/>
  <c r="Z439" i="92"/>
  <c r="Y435" i="92"/>
  <c r="V435" i="92"/>
  <c r="AA435" i="92"/>
  <c r="Z435" i="92"/>
  <c r="Y431" i="92"/>
  <c r="V431" i="92"/>
  <c r="AA431" i="92"/>
  <c r="Z431" i="92"/>
  <c r="Y427" i="92"/>
  <c r="V427" i="92"/>
  <c r="AA427" i="92"/>
  <c r="Z427" i="92"/>
  <c r="Y423" i="92"/>
  <c r="V423" i="92"/>
  <c r="AA423" i="92"/>
  <c r="Z423" i="92"/>
  <c r="Y419" i="92"/>
  <c r="V419" i="92"/>
  <c r="AA419" i="92"/>
  <c r="Z419" i="92"/>
  <c r="Y415" i="92"/>
  <c r="V415" i="92"/>
  <c r="AA415" i="92"/>
  <c r="Z415" i="92"/>
  <c r="Y411" i="92"/>
  <c r="V411" i="92"/>
  <c r="AA411" i="92"/>
  <c r="Z411" i="92"/>
  <c r="Y407" i="92"/>
  <c r="V407" i="92"/>
  <c r="AA407" i="92"/>
  <c r="Z407" i="92"/>
  <c r="Y403" i="92"/>
  <c r="V403" i="92"/>
  <c r="AA403" i="92"/>
  <c r="Z403" i="92"/>
  <c r="Y399" i="92"/>
  <c r="V399" i="92"/>
  <c r="AA399" i="92"/>
  <c r="Z399" i="92"/>
  <c r="Y395" i="92"/>
  <c r="V395" i="92"/>
  <c r="AA395" i="92"/>
  <c r="Z395" i="92"/>
  <c r="Y391" i="92"/>
  <c r="V391" i="92"/>
  <c r="AA391" i="92"/>
  <c r="Z391" i="92"/>
  <c r="Y387" i="92"/>
  <c r="V387" i="92"/>
  <c r="AA387" i="92"/>
  <c r="Z387" i="92"/>
  <c r="Y383" i="92"/>
  <c r="V383" i="92"/>
  <c r="AA383" i="92"/>
  <c r="Z383" i="92"/>
  <c r="Y379" i="92"/>
  <c r="V379" i="92"/>
  <c r="AA379" i="92"/>
  <c r="Z379" i="92"/>
  <c r="Y375" i="92"/>
  <c r="V375" i="92"/>
  <c r="AA375" i="92"/>
  <c r="Z375" i="92"/>
  <c r="Y371" i="92"/>
  <c r="V371" i="92"/>
  <c r="AA371" i="92"/>
  <c r="Z371" i="92"/>
  <c r="Y367" i="92"/>
  <c r="V367" i="92"/>
  <c r="AA367" i="92"/>
  <c r="Z367" i="92"/>
  <c r="Y363" i="92"/>
  <c r="V363" i="92"/>
  <c r="AA363" i="92"/>
  <c r="Z363" i="92"/>
  <c r="Y359" i="92"/>
  <c r="V359" i="92"/>
  <c r="AA359" i="92"/>
  <c r="Z359" i="92"/>
  <c r="Y355" i="92"/>
  <c r="V355" i="92"/>
  <c r="AA355" i="92"/>
  <c r="Z355" i="92"/>
  <c r="Y351" i="92"/>
  <c r="V351" i="92"/>
  <c r="AA351" i="92"/>
  <c r="Z351" i="92"/>
  <c r="Y347" i="92"/>
  <c r="V347" i="92"/>
  <c r="AA347" i="92"/>
  <c r="Z347" i="92"/>
  <c r="Y343" i="92"/>
  <c r="V343" i="92"/>
  <c r="AA343" i="92"/>
  <c r="Z343" i="92"/>
  <c r="Y339" i="92"/>
  <c r="V339" i="92"/>
  <c r="AA339" i="92"/>
  <c r="Z339" i="92"/>
  <c r="Y335" i="92"/>
  <c r="V335" i="92"/>
  <c r="AA335" i="92"/>
  <c r="Z335" i="92"/>
  <c r="Y331" i="92"/>
  <c r="V331" i="92"/>
  <c r="AA331" i="92"/>
  <c r="Z331" i="92"/>
  <c r="Y327" i="92"/>
  <c r="V327" i="92"/>
  <c r="AA327" i="92"/>
  <c r="Z327" i="92"/>
  <c r="Y323" i="92"/>
  <c r="V323" i="92"/>
  <c r="AA323" i="92"/>
  <c r="Z323" i="92"/>
  <c r="Y319" i="92"/>
  <c r="V319" i="92"/>
  <c r="AA319" i="92"/>
  <c r="Z319" i="92"/>
  <c r="Y315" i="92"/>
  <c r="V315" i="92"/>
  <c r="AA315" i="92"/>
  <c r="Z315" i="92"/>
  <c r="Y311" i="92"/>
  <c r="V311" i="92"/>
  <c r="AA311" i="92"/>
  <c r="Z311" i="92"/>
  <c r="Y307" i="92"/>
  <c r="V307" i="92"/>
  <c r="AA307" i="92"/>
  <c r="Z307" i="92"/>
  <c r="Y303" i="92"/>
  <c r="V303" i="92"/>
  <c r="AA303" i="92"/>
  <c r="Z303" i="92"/>
  <c r="Y299" i="92"/>
  <c r="V299" i="92"/>
  <c r="AA299" i="92"/>
  <c r="Z299" i="92"/>
  <c r="Y295" i="92"/>
  <c r="V295" i="92"/>
  <c r="AA295" i="92"/>
  <c r="Z295" i="92"/>
  <c r="Y291" i="92"/>
  <c r="V291" i="92"/>
  <c r="AA291" i="92"/>
  <c r="Z291" i="92"/>
  <c r="Y287" i="92"/>
  <c r="V287" i="92"/>
  <c r="AA287" i="92"/>
  <c r="Z287" i="92"/>
  <c r="Y283" i="92"/>
  <c r="V283" i="92"/>
  <c r="AA283" i="92"/>
  <c r="Z283" i="92"/>
  <c r="Y279" i="92"/>
  <c r="V279" i="92"/>
  <c r="AA279" i="92"/>
  <c r="Z279" i="92"/>
  <c r="Y275" i="92"/>
  <c r="V275" i="92"/>
  <c r="AA275" i="92"/>
  <c r="Z275" i="92"/>
  <c r="Y271" i="92"/>
  <c r="V271" i="92"/>
  <c r="AA271" i="92"/>
  <c r="Z271" i="92"/>
  <c r="Y267" i="92"/>
  <c r="V267" i="92"/>
  <c r="AA267" i="92"/>
  <c r="Z267" i="92"/>
  <c r="Y263" i="92"/>
  <c r="V263" i="92"/>
  <c r="AA263" i="92"/>
  <c r="Z263" i="92"/>
  <c r="Y259" i="92"/>
  <c r="V259" i="92"/>
  <c r="AA259" i="92"/>
  <c r="Z259" i="92"/>
  <c r="Y255" i="92"/>
  <c r="V255" i="92"/>
  <c r="AA255" i="92"/>
  <c r="Z255" i="92"/>
  <c r="Y251" i="92"/>
  <c r="V251" i="92"/>
  <c r="AA251" i="92"/>
  <c r="Z251" i="92"/>
  <c r="Y247" i="92"/>
  <c r="V247" i="92"/>
  <c r="AA247" i="92"/>
  <c r="Z247" i="92"/>
  <c r="Y243" i="92"/>
  <c r="V243" i="92"/>
  <c r="AA243" i="92"/>
  <c r="Z243" i="92"/>
  <c r="Y239" i="92"/>
  <c r="V239" i="92"/>
  <c r="AA239" i="92"/>
  <c r="Z239" i="92"/>
  <c r="Y235" i="92"/>
  <c r="V235" i="92"/>
  <c r="AA235" i="92"/>
  <c r="Z235" i="92"/>
  <c r="Y231" i="92"/>
  <c r="V231" i="92"/>
  <c r="AA231" i="92"/>
  <c r="Z231" i="92"/>
  <c r="Y227" i="92"/>
  <c r="V227" i="92"/>
  <c r="AA227" i="92"/>
  <c r="Z227" i="92"/>
  <c r="Y223" i="92"/>
  <c r="V223" i="92"/>
  <c r="AA223" i="92"/>
  <c r="Z223" i="92"/>
  <c r="Y219" i="92"/>
  <c r="V219" i="92"/>
  <c r="AA219" i="92"/>
  <c r="Z219" i="92"/>
  <c r="Y215" i="92"/>
  <c r="V215" i="92"/>
  <c r="AA215" i="92"/>
  <c r="Z215" i="92"/>
  <c r="Y211" i="92"/>
  <c r="V211" i="92"/>
  <c r="AA211" i="92"/>
  <c r="Z211" i="92"/>
  <c r="Y207" i="92"/>
  <c r="V207" i="92"/>
  <c r="AA207" i="92"/>
  <c r="Z207" i="92"/>
  <c r="Y203" i="92"/>
  <c r="V203" i="92"/>
  <c r="AA203" i="92"/>
  <c r="Z203" i="92"/>
  <c r="Y199" i="92"/>
  <c r="V199" i="92"/>
  <c r="AA199" i="92"/>
  <c r="Z199" i="92"/>
  <c r="Y195" i="92"/>
  <c r="V195" i="92"/>
  <c r="AA195" i="92"/>
  <c r="Z195" i="92"/>
  <c r="Y191" i="92"/>
  <c r="V191" i="92"/>
  <c r="AA191" i="92"/>
  <c r="Z191" i="92"/>
  <c r="Y187" i="92"/>
  <c r="V187" i="92"/>
  <c r="AA187" i="92"/>
  <c r="Z187" i="92"/>
  <c r="Y183" i="92"/>
  <c r="V183" i="92"/>
  <c r="AA183" i="92"/>
  <c r="Z183" i="92"/>
  <c r="Y179" i="92"/>
  <c r="V179" i="92"/>
  <c r="AA179" i="92"/>
  <c r="Z179" i="92"/>
  <c r="Y175" i="92"/>
  <c r="V175" i="92"/>
  <c r="AA175" i="92"/>
  <c r="Z175" i="92"/>
  <c r="Y171" i="92"/>
  <c r="V171" i="92"/>
  <c r="AA171" i="92"/>
  <c r="Z171" i="92"/>
  <c r="Y167" i="92"/>
  <c r="V167" i="92"/>
  <c r="AA167" i="92"/>
  <c r="Z167" i="92"/>
  <c r="Y163" i="92"/>
  <c r="V163" i="92"/>
  <c r="AA163" i="92"/>
  <c r="Z163" i="92"/>
  <c r="Y159" i="92"/>
  <c r="V159" i="92"/>
  <c r="AA159" i="92"/>
  <c r="Z159" i="92"/>
  <c r="Y155" i="92"/>
  <c r="V155" i="92"/>
  <c r="AA155" i="92"/>
  <c r="Z155" i="92"/>
  <c r="Y151" i="92"/>
  <c r="V151" i="92"/>
  <c r="AA151" i="92"/>
  <c r="Z151" i="92"/>
  <c r="Y147" i="92"/>
  <c r="V147" i="92"/>
  <c r="AA147" i="92"/>
  <c r="Z147" i="92"/>
  <c r="Y143" i="92"/>
  <c r="V143" i="92"/>
  <c r="AA143" i="92"/>
  <c r="Z143" i="92"/>
  <c r="Y139" i="92"/>
  <c r="V139" i="92"/>
  <c r="AA139" i="92"/>
  <c r="Z139" i="92"/>
  <c r="Y135" i="92"/>
  <c r="V135" i="92"/>
  <c r="AA135" i="92"/>
  <c r="Z135" i="92"/>
  <c r="Y131" i="92"/>
  <c r="V131" i="92"/>
  <c r="AA131" i="92"/>
  <c r="Z131" i="92"/>
  <c r="Y127" i="92"/>
  <c r="V127" i="92"/>
  <c r="AA127" i="92"/>
  <c r="Z127" i="92"/>
  <c r="Y123" i="92"/>
  <c r="V123" i="92"/>
  <c r="AA123" i="92"/>
  <c r="Z123" i="92"/>
  <c r="Y119" i="92"/>
  <c r="V119" i="92"/>
  <c r="AA119" i="92"/>
  <c r="Z119" i="92"/>
  <c r="Y115" i="92"/>
  <c r="V115" i="92"/>
  <c r="AA115" i="92"/>
  <c r="Z115" i="92"/>
  <c r="Y111" i="92"/>
  <c r="V111" i="92"/>
  <c r="AA111" i="92"/>
  <c r="Z111" i="92"/>
  <c r="Y107" i="92"/>
  <c r="V107" i="92"/>
  <c r="AA107" i="92"/>
  <c r="Z107" i="92"/>
  <c r="Y103" i="92"/>
  <c r="V103" i="92"/>
  <c r="AA103" i="92"/>
  <c r="Z103" i="92"/>
  <c r="Y99" i="92"/>
  <c r="V99" i="92"/>
  <c r="AA99" i="92"/>
  <c r="Z99" i="92"/>
  <c r="Y95" i="92"/>
  <c r="V95" i="92"/>
  <c r="AA95" i="92"/>
  <c r="Z95" i="92"/>
  <c r="Y91" i="92"/>
  <c r="V91" i="92"/>
  <c r="AA91" i="92"/>
  <c r="Z91" i="92"/>
  <c r="Y87" i="92"/>
  <c r="V87" i="92"/>
  <c r="AA87" i="92"/>
  <c r="Z87" i="92"/>
  <c r="Y83" i="92"/>
  <c r="V83" i="92"/>
  <c r="AA83" i="92"/>
  <c r="Z83" i="92"/>
  <c r="Y896" i="92"/>
  <c r="Y848" i="92"/>
  <c r="Y800" i="92"/>
  <c r="Y752" i="92"/>
  <c r="Y704" i="92"/>
  <c r="Y656" i="92"/>
  <c r="Y608" i="92"/>
  <c r="Y560" i="92"/>
  <c r="Y512" i="92"/>
  <c r="Y464" i="92"/>
  <c r="Y416" i="92"/>
  <c r="Y368" i="92"/>
  <c r="Y320" i="92"/>
  <c r="Y272" i="92"/>
  <c r="Y224" i="92"/>
  <c r="Y176" i="92"/>
  <c r="Y128" i="92"/>
  <c r="Z80" i="92"/>
  <c r="Z1076" i="92"/>
  <c r="Z1072" i="92"/>
  <c r="Z1068" i="92"/>
  <c r="Z1064" i="92"/>
  <c r="Z1060" i="92"/>
  <c r="Z1056" i="92"/>
  <c r="Z1052" i="92"/>
  <c r="Z1048" i="92"/>
  <c r="Z1044" i="92"/>
  <c r="Z1040" i="92"/>
  <c r="Z1036" i="92"/>
  <c r="Z1032" i="92"/>
  <c r="Z1028" i="92"/>
  <c r="Z1024" i="92"/>
  <c r="Z1020" i="92"/>
  <c r="Z1016" i="92"/>
  <c r="Z1012" i="92"/>
  <c r="Z1008" i="92"/>
  <c r="Z1004" i="92"/>
  <c r="Z1000" i="92"/>
  <c r="Z996" i="92"/>
  <c r="Z992" i="92"/>
  <c r="Z988" i="92"/>
  <c r="Z984" i="92"/>
  <c r="Z980" i="92"/>
  <c r="Z976" i="92"/>
  <c r="Z972" i="92"/>
  <c r="Z968" i="92"/>
  <c r="Z964" i="92"/>
  <c r="Z960" i="92"/>
  <c r="Z956" i="92"/>
  <c r="Z952" i="92"/>
  <c r="Z948" i="92"/>
  <c r="Z944" i="92"/>
  <c r="Z940" i="92"/>
  <c r="Z936" i="92"/>
  <c r="Z932" i="92"/>
  <c r="Z928" i="92"/>
  <c r="Z924" i="92"/>
  <c r="Z920" i="92"/>
  <c r="Z916" i="92"/>
  <c r="Z912" i="92"/>
  <c r="Z908" i="92"/>
  <c r="Z904" i="92"/>
  <c r="Z900" i="92"/>
  <c r="Z896" i="92"/>
  <c r="Z892" i="92"/>
  <c r="Z888" i="92"/>
  <c r="Z884" i="92"/>
  <c r="Z880" i="92"/>
  <c r="Z876" i="92"/>
  <c r="Z872" i="92"/>
  <c r="Z868" i="92"/>
  <c r="Z864" i="92"/>
  <c r="Z860" i="92"/>
  <c r="Z856" i="92"/>
  <c r="Z852" i="92"/>
  <c r="Z848" i="92"/>
  <c r="Z844" i="92"/>
  <c r="Z840" i="92"/>
  <c r="Z836" i="92"/>
  <c r="Z832" i="92"/>
  <c r="Z828" i="92"/>
  <c r="Z824" i="92"/>
  <c r="Z820" i="92"/>
  <c r="Z816" i="92"/>
  <c r="Z812" i="92"/>
  <c r="Z808" i="92"/>
  <c r="Z804" i="92"/>
  <c r="Z800" i="92"/>
  <c r="Z796" i="92"/>
  <c r="Z792" i="92"/>
  <c r="Z788" i="92"/>
  <c r="Z784" i="92"/>
  <c r="Z780" i="92"/>
  <c r="Z776" i="92"/>
  <c r="Z772" i="92"/>
  <c r="Z768" i="92"/>
  <c r="Z764" i="92"/>
  <c r="Z760" i="92"/>
  <c r="Z749" i="92"/>
  <c r="Z744" i="92"/>
  <c r="Y1078" i="92"/>
  <c r="V1078" i="92"/>
  <c r="AA1078" i="92"/>
  <c r="Y1074" i="92"/>
  <c r="V1074" i="92"/>
  <c r="AA1074" i="92"/>
  <c r="Y1070" i="92"/>
  <c r="V1070" i="92"/>
  <c r="AA1070" i="92"/>
  <c r="Y1066" i="92"/>
  <c r="V1066" i="92"/>
  <c r="AA1066" i="92"/>
  <c r="Y1062" i="92"/>
  <c r="V1062" i="92"/>
  <c r="AA1062" i="92"/>
  <c r="Y1058" i="92"/>
  <c r="V1058" i="92"/>
  <c r="AA1058" i="92"/>
  <c r="Y1054" i="92"/>
  <c r="V1054" i="92"/>
  <c r="AA1054" i="92"/>
  <c r="Y1050" i="92"/>
  <c r="V1050" i="92"/>
  <c r="AA1050" i="92"/>
  <c r="Y1046" i="92"/>
  <c r="V1046" i="92"/>
  <c r="AA1046" i="92"/>
  <c r="Y1042" i="92"/>
  <c r="V1042" i="92"/>
  <c r="AA1042" i="92"/>
  <c r="Y1038" i="92"/>
  <c r="V1038" i="92"/>
  <c r="AA1038" i="92"/>
  <c r="Y1034" i="92"/>
  <c r="V1034" i="92"/>
  <c r="AA1034" i="92"/>
  <c r="Y1030" i="92"/>
  <c r="V1030" i="92"/>
  <c r="AA1030" i="92"/>
  <c r="Y1026" i="92"/>
  <c r="V1026" i="92"/>
  <c r="AA1026" i="92"/>
  <c r="Y1022" i="92"/>
  <c r="V1022" i="92"/>
  <c r="AA1022" i="92"/>
  <c r="Y1018" i="92"/>
  <c r="V1018" i="92"/>
  <c r="AA1018" i="92"/>
  <c r="Y1014" i="92"/>
  <c r="V1014" i="92"/>
  <c r="AA1014" i="92"/>
  <c r="Y1010" i="92"/>
  <c r="V1010" i="92"/>
  <c r="AA1010" i="92"/>
  <c r="Y1006" i="92"/>
  <c r="V1006" i="92"/>
  <c r="AA1006" i="92"/>
  <c r="Y1002" i="92"/>
  <c r="V1002" i="92"/>
  <c r="AA1002" i="92"/>
  <c r="Y998" i="92"/>
  <c r="V998" i="92"/>
  <c r="AA998" i="92"/>
  <c r="Y994" i="92"/>
  <c r="V994" i="92"/>
  <c r="AA994" i="92"/>
  <c r="Y990" i="92"/>
  <c r="V990" i="92"/>
  <c r="AA990" i="92"/>
  <c r="Y986" i="92"/>
  <c r="V986" i="92"/>
  <c r="AA986" i="92"/>
  <c r="Y982" i="92"/>
  <c r="V982" i="92"/>
  <c r="AA982" i="92"/>
  <c r="Y978" i="92"/>
  <c r="V978" i="92"/>
  <c r="AA978" i="92"/>
  <c r="Y974" i="92"/>
  <c r="V974" i="92"/>
  <c r="AA974" i="92"/>
  <c r="Y970" i="92"/>
  <c r="V970" i="92"/>
  <c r="AA970" i="92"/>
  <c r="Y966" i="92"/>
  <c r="V966" i="92"/>
  <c r="AA966" i="92"/>
  <c r="Y962" i="92"/>
  <c r="V962" i="92"/>
  <c r="AA962" i="92"/>
  <c r="Y958" i="92"/>
  <c r="V958" i="92"/>
  <c r="AA958" i="92"/>
  <c r="Y954" i="92"/>
  <c r="V954" i="92"/>
  <c r="AA954" i="92"/>
  <c r="Y950" i="92"/>
  <c r="V950" i="92"/>
  <c r="AA950" i="92"/>
  <c r="Y946" i="92"/>
  <c r="V946" i="92"/>
  <c r="AA946" i="92"/>
  <c r="Y942" i="92"/>
  <c r="V942" i="92"/>
  <c r="AA942" i="92"/>
  <c r="Y938" i="92"/>
  <c r="V938" i="92"/>
  <c r="AA938" i="92"/>
  <c r="Y934" i="92"/>
  <c r="V934" i="92"/>
  <c r="AA934" i="92"/>
  <c r="Y930" i="92"/>
  <c r="V930" i="92"/>
  <c r="AA930" i="92"/>
  <c r="Y926" i="92"/>
  <c r="V926" i="92"/>
  <c r="AA926" i="92"/>
  <c r="Y922" i="92"/>
  <c r="V922" i="92"/>
  <c r="AA922" i="92"/>
  <c r="Y918" i="92"/>
  <c r="V918" i="92"/>
  <c r="AA918" i="92"/>
  <c r="Y914" i="92"/>
  <c r="V914" i="92"/>
  <c r="AA914" i="92"/>
  <c r="Y910" i="92"/>
  <c r="V910" i="92"/>
  <c r="AA910" i="92"/>
  <c r="Y906" i="92"/>
  <c r="V906" i="92"/>
  <c r="AA906" i="92"/>
  <c r="Y902" i="92"/>
  <c r="V902" i="92"/>
  <c r="AA902" i="92"/>
  <c r="Y898" i="92"/>
  <c r="V898" i="92"/>
  <c r="AA898" i="92"/>
  <c r="Y894" i="92"/>
  <c r="V894" i="92"/>
  <c r="AA894" i="92"/>
  <c r="Y890" i="92"/>
  <c r="V890" i="92"/>
  <c r="AA890" i="92"/>
  <c r="Y886" i="92"/>
  <c r="V886" i="92"/>
  <c r="AA886" i="92"/>
  <c r="Y882" i="92"/>
  <c r="V882" i="92"/>
  <c r="AA882" i="92"/>
  <c r="Y878" i="92"/>
  <c r="V878" i="92"/>
  <c r="AA878" i="92"/>
  <c r="Y874" i="92"/>
  <c r="V874" i="92"/>
  <c r="AA874" i="92"/>
  <c r="Y870" i="92"/>
  <c r="V870" i="92"/>
  <c r="AA870" i="92"/>
  <c r="Y866" i="92"/>
  <c r="V866" i="92"/>
  <c r="AA866" i="92"/>
  <c r="Y862" i="92"/>
  <c r="V862" i="92"/>
  <c r="AA862" i="92"/>
  <c r="Y858" i="92"/>
  <c r="V858" i="92"/>
  <c r="AA858" i="92"/>
  <c r="Y854" i="92"/>
  <c r="V854" i="92"/>
  <c r="AA854" i="92"/>
  <c r="Y850" i="92"/>
  <c r="V850" i="92"/>
  <c r="AA850" i="92"/>
  <c r="Y846" i="92"/>
  <c r="V846" i="92"/>
  <c r="AA846" i="92"/>
  <c r="Y842" i="92"/>
  <c r="V842" i="92"/>
  <c r="AA842" i="92"/>
  <c r="Y838" i="92"/>
  <c r="V838" i="92"/>
  <c r="AA838" i="92"/>
  <c r="Y834" i="92"/>
  <c r="V834" i="92"/>
  <c r="AA834" i="92"/>
  <c r="Y830" i="92"/>
  <c r="V830" i="92"/>
  <c r="AA830" i="92"/>
  <c r="Y826" i="92"/>
  <c r="V826" i="92"/>
  <c r="AA826" i="92"/>
  <c r="Y822" i="92"/>
  <c r="V822" i="92"/>
  <c r="AA822" i="92"/>
  <c r="Y818" i="92"/>
  <c r="V818" i="92"/>
  <c r="AA818" i="92"/>
  <c r="Y814" i="92"/>
  <c r="V814" i="92"/>
  <c r="AA814" i="92"/>
  <c r="Y810" i="92"/>
  <c r="V810" i="92"/>
  <c r="AA810" i="92"/>
  <c r="Y806" i="92"/>
  <c r="V806" i="92"/>
  <c r="AA806" i="92"/>
  <c r="Y802" i="92"/>
  <c r="V802" i="92"/>
  <c r="AA802" i="92"/>
  <c r="Y798" i="92"/>
  <c r="V798" i="92"/>
  <c r="AA798" i="92"/>
  <c r="Y794" i="92"/>
  <c r="V794" i="92"/>
  <c r="AA794" i="92"/>
  <c r="Y790" i="92"/>
  <c r="V790" i="92"/>
  <c r="AA790" i="92"/>
  <c r="Y786" i="92"/>
  <c r="V786" i="92"/>
  <c r="AA786" i="92"/>
  <c r="Y782" i="92"/>
  <c r="V782" i="92"/>
  <c r="AA782" i="92"/>
  <c r="Y778" i="92"/>
  <c r="V778" i="92"/>
  <c r="AA778" i="92"/>
  <c r="Y774" i="92"/>
  <c r="V774" i="92"/>
  <c r="AA774" i="92"/>
  <c r="Y770" i="92"/>
  <c r="V770" i="92"/>
  <c r="AA770" i="92"/>
  <c r="Y766" i="92"/>
  <c r="V766" i="92"/>
  <c r="AA766" i="92"/>
  <c r="Y762" i="92"/>
  <c r="V762" i="92"/>
  <c r="AA762" i="92"/>
  <c r="Y758" i="92"/>
  <c r="V758" i="92"/>
  <c r="AA758" i="92"/>
  <c r="Y754" i="92"/>
  <c r="V754" i="92"/>
  <c r="AA754" i="92"/>
  <c r="Y750" i="92"/>
  <c r="V750" i="92"/>
  <c r="AA750" i="92"/>
  <c r="Y746" i="92"/>
  <c r="V746" i="92"/>
  <c r="AA746" i="92"/>
  <c r="Y742" i="92"/>
  <c r="V742" i="92"/>
  <c r="AA742" i="92"/>
  <c r="Y738" i="92"/>
  <c r="V738" i="92"/>
  <c r="AA738" i="92"/>
  <c r="Z738" i="92"/>
  <c r="Y734" i="92"/>
  <c r="V734" i="92"/>
  <c r="AA734" i="92"/>
  <c r="Z734" i="92"/>
  <c r="Y730" i="92"/>
  <c r="V730" i="92"/>
  <c r="AA730" i="92"/>
  <c r="Z730" i="92"/>
  <c r="Y726" i="92"/>
  <c r="V726" i="92"/>
  <c r="AA726" i="92"/>
  <c r="Z726" i="92"/>
  <c r="Y722" i="92"/>
  <c r="V722" i="92"/>
  <c r="AA722" i="92"/>
  <c r="Z722" i="92"/>
  <c r="Y718" i="92"/>
  <c r="V718" i="92"/>
  <c r="AA718" i="92"/>
  <c r="Z718" i="92"/>
  <c r="Y714" i="92"/>
  <c r="V714" i="92"/>
  <c r="AA714" i="92"/>
  <c r="Z714" i="92"/>
  <c r="Y710" i="92"/>
  <c r="V710" i="92"/>
  <c r="AA710" i="92"/>
  <c r="Z710" i="92"/>
  <c r="Y706" i="92"/>
  <c r="V706" i="92"/>
  <c r="AA706" i="92"/>
  <c r="Z706" i="92"/>
  <c r="Y702" i="92"/>
  <c r="V702" i="92"/>
  <c r="AA702" i="92"/>
  <c r="Z702" i="92"/>
  <c r="Y698" i="92"/>
  <c r="V698" i="92"/>
  <c r="AA698" i="92"/>
  <c r="Z698" i="92"/>
  <c r="Y694" i="92"/>
  <c r="V694" i="92"/>
  <c r="AA694" i="92"/>
  <c r="Z694" i="92"/>
  <c r="Y690" i="92"/>
  <c r="V690" i="92"/>
  <c r="AA690" i="92"/>
  <c r="Z690" i="92"/>
  <c r="Y686" i="92"/>
  <c r="V686" i="92"/>
  <c r="AA686" i="92"/>
  <c r="Z686" i="92"/>
  <c r="Y682" i="92"/>
  <c r="V682" i="92"/>
  <c r="AA682" i="92"/>
  <c r="Z682" i="92"/>
  <c r="Y678" i="92"/>
  <c r="V678" i="92"/>
  <c r="AA678" i="92"/>
  <c r="Z678" i="92"/>
  <c r="Y674" i="92"/>
  <c r="V674" i="92"/>
  <c r="AA674" i="92"/>
  <c r="Z674" i="92"/>
  <c r="Y670" i="92"/>
  <c r="V670" i="92"/>
  <c r="AA670" i="92"/>
  <c r="Z670" i="92"/>
  <c r="Y666" i="92"/>
  <c r="V666" i="92"/>
  <c r="AA666" i="92"/>
  <c r="Z666" i="92"/>
  <c r="Y662" i="92"/>
  <c r="V662" i="92"/>
  <c r="AA662" i="92"/>
  <c r="Z662" i="92"/>
  <c r="Y658" i="92"/>
  <c r="V658" i="92"/>
  <c r="AA658" i="92"/>
  <c r="Z658" i="92"/>
  <c r="Y654" i="92"/>
  <c r="V654" i="92"/>
  <c r="AA654" i="92"/>
  <c r="Z654" i="92"/>
  <c r="Y650" i="92"/>
  <c r="V650" i="92"/>
  <c r="AA650" i="92"/>
  <c r="Z650" i="92"/>
  <c r="Y646" i="92"/>
  <c r="V646" i="92"/>
  <c r="AA646" i="92"/>
  <c r="Z646" i="92"/>
  <c r="Y642" i="92"/>
  <c r="V642" i="92"/>
  <c r="AA642" i="92"/>
  <c r="Z642" i="92"/>
  <c r="Y638" i="92"/>
  <c r="V638" i="92"/>
  <c r="AA638" i="92"/>
  <c r="Z638" i="92"/>
  <c r="Y634" i="92"/>
  <c r="V634" i="92"/>
  <c r="AA634" i="92"/>
  <c r="Z634" i="92"/>
  <c r="Y630" i="92"/>
  <c r="V630" i="92"/>
  <c r="AA630" i="92"/>
  <c r="Z630" i="92"/>
  <c r="Y626" i="92"/>
  <c r="V626" i="92"/>
  <c r="AA626" i="92"/>
  <c r="Z626" i="92"/>
  <c r="Y622" i="92"/>
  <c r="V622" i="92"/>
  <c r="AA622" i="92"/>
  <c r="Z622" i="92"/>
  <c r="Y618" i="92"/>
  <c r="V618" i="92"/>
  <c r="AA618" i="92"/>
  <c r="Z618" i="92"/>
  <c r="Y614" i="92"/>
  <c r="V614" i="92"/>
  <c r="AA614" i="92"/>
  <c r="Z614" i="92"/>
  <c r="Y610" i="92"/>
  <c r="V610" i="92"/>
  <c r="AA610" i="92"/>
  <c r="Z610" i="92"/>
  <c r="Y606" i="92"/>
  <c r="V606" i="92"/>
  <c r="AA606" i="92"/>
  <c r="Z606" i="92"/>
  <c r="Y602" i="92"/>
  <c r="V602" i="92"/>
  <c r="AA602" i="92"/>
  <c r="Z602" i="92"/>
  <c r="Y598" i="92"/>
  <c r="V598" i="92"/>
  <c r="AA598" i="92"/>
  <c r="Z598" i="92"/>
  <c r="Y594" i="92"/>
  <c r="V594" i="92"/>
  <c r="AA594" i="92"/>
  <c r="Z594" i="92"/>
  <c r="Y590" i="92"/>
  <c r="V590" i="92"/>
  <c r="AA590" i="92"/>
  <c r="Z590" i="92"/>
  <c r="Y586" i="92"/>
  <c r="V586" i="92"/>
  <c r="AA586" i="92"/>
  <c r="Z586" i="92"/>
  <c r="Y582" i="92"/>
  <c r="V582" i="92"/>
  <c r="AA582" i="92"/>
  <c r="Z582" i="92"/>
  <c r="Y578" i="92"/>
  <c r="V578" i="92"/>
  <c r="AA578" i="92"/>
  <c r="Z578" i="92"/>
  <c r="Y574" i="92"/>
  <c r="V574" i="92"/>
  <c r="AA574" i="92"/>
  <c r="Z574" i="92"/>
  <c r="Y570" i="92"/>
  <c r="V570" i="92"/>
  <c r="AA570" i="92"/>
  <c r="Z570" i="92"/>
  <c r="Y566" i="92"/>
  <c r="V566" i="92"/>
  <c r="AA566" i="92"/>
  <c r="Z566" i="92"/>
  <c r="Y562" i="92"/>
  <c r="V562" i="92"/>
  <c r="AA562" i="92"/>
  <c r="Z562" i="92"/>
  <c r="Y558" i="92"/>
  <c r="V558" i="92"/>
  <c r="AA558" i="92"/>
  <c r="Z558" i="92"/>
  <c r="Y554" i="92"/>
  <c r="V554" i="92"/>
  <c r="AA554" i="92"/>
  <c r="Z554" i="92"/>
  <c r="Y550" i="92"/>
  <c r="V550" i="92"/>
  <c r="AA550" i="92"/>
  <c r="Z550" i="92"/>
  <c r="Y546" i="92"/>
  <c r="V546" i="92"/>
  <c r="AA546" i="92"/>
  <c r="Z546" i="92"/>
  <c r="Y542" i="92"/>
  <c r="V542" i="92"/>
  <c r="AA542" i="92"/>
  <c r="Z542" i="92"/>
  <c r="Y538" i="92"/>
  <c r="V538" i="92"/>
  <c r="AA538" i="92"/>
  <c r="Z538" i="92"/>
  <c r="Y534" i="92"/>
  <c r="V534" i="92"/>
  <c r="AA534" i="92"/>
  <c r="Z534" i="92"/>
  <c r="Y530" i="92"/>
  <c r="V530" i="92"/>
  <c r="AA530" i="92"/>
  <c r="Z530" i="92"/>
  <c r="Y526" i="92"/>
  <c r="V526" i="92"/>
  <c r="AA526" i="92"/>
  <c r="Z526" i="92"/>
  <c r="Y522" i="92"/>
  <c r="V522" i="92"/>
  <c r="AA522" i="92"/>
  <c r="Z522" i="92"/>
  <c r="Y518" i="92"/>
  <c r="V518" i="92"/>
  <c r="AA518" i="92"/>
  <c r="Z518" i="92"/>
  <c r="Y514" i="92"/>
  <c r="V514" i="92"/>
  <c r="AA514" i="92"/>
  <c r="Z514" i="92"/>
  <c r="Y510" i="92"/>
  <c r="V510" i="92"/>
  <c r="AA510" i="92"/>
  <c r="Z510" i="92"/>
  <c r="Y506" i="92"/>
  <c r="V506" i="92"/>
  <c r="AA506" i="92"/>
  <c r="Z506" i="92"/>
  <c r="Y502" i="92"/>
  <c r="V502" i="92"/>
  <c r="AA502" i="92"/>
  <c r="Z502" i="92"/>
  <c r="Y498" i="92"/>
  <c r="V498" i="92"/>
  <c r="AA498" i="92"/>
  <c r="Z498" i="92"/>
  <c r="Y494" i="92"/>
  <c r="V494" i="92"/>
  <c r="AA494" i="92"/>
  <c r="Z494" i="92"/>
  <c r="Y490" i="92"/>
  <c r="V490" i="92"/>
  <c r="AA490" i="92"/>
  <c r="Z490" i="92"/>
  <c r="Y486" i="92"/>
  <c r="V486" i="92"/>
  <c r="AA486" i="92"/>
  <c r="Z486" i="92"/>
  <c r="Y482" i="92"/>
  <c r="V482" i="92"/>
  <c r="AA482" i="92"/>
  <c r="Z482" i="92"/>
  <c r="Y478" i="92"/>
  <c r="V478" i="92"/>
  <c r="AA478" i="92"/>
  <c r="Z478" i="92"/>
  <c r="Y474" i="92"/>
  <c r="V474" i="92"/>
  <c r="AA474" i="92"/>
  <c r="Z474" i="92"/>
  <c r="Y470" i="92"/>
  <c r="V470" i="92"/>
  <c r="AA470" i="92"/>
  <c r="Z470" i="92"/>
  <c r="Y466" i="92"/>
  <c r="V466" i="92"/>
  <c r="AA466" i="92"/>
  <c r="Z466" i="92"/>
  <c r="Y462" i="92"/>
  <c r="V462" i="92"/>
  <c r="AA462" i="92"/>
  <c r="Z462" i="92"/>
  <c r="Y458" i="92"/>
  <c r="V458" i="92"/>
  <c r="AA458" i="92"/>
  <c r="Z458" i="92"/>
  <c r="Y454" i="92"/>
  <c r="V454" i="92"/>
  <c r="AA454" i="92"/>
  <c r="Z454" i="92"/>
  <c r="Y450" i="92"/>
  <c r="V450" i="92"/>
  <c r="AA450" i="92"/>
  <c r="Z450" i="92"/>
  <c r="Y446" i="92"/>
  <c r="V446" i="92"/>
  <c r="AA446" i="92"/>
  <c r="Z446" i="92"/>
  <c r="Y442" i="92"/>
  <c r="V442" i="92"/>
  <c r="AA442" i="92"/>
  <c r="Z442" i="92"/>
  <c r="Y438" i="92"/>
  <c r="V438" i="92"/>
  <c r="AA438" i="92"/>
  <c r="Z438" i="92"/>
  <c r="Y434" i="92"/>
  <c r="V434" i="92"/>
  <c r="AA434" i="92"/>
  <c r="Z434" i="92"/>
  <c r="Y430" i="92"/>
  <c r="V430" i="92"/>
  <c r="AA430" i="92"/>
  <c r="Z430" i="92"/>
  <c r="Y426" i="92"/>
  <c r="V426" i="92"/>
  <c r="AA426" i="92"/>
  <c r="Z426" i="92"/>
  <c r="Y422" i="92"/>
  <c r="V422" i="92"/>
  <c r="AA422" i="92"/>
  <c r="Z422" i="92"/>
  <c r="Y418" i="92"/>
  <c r="V418" i="92"/>
  <c r="AA418" i="92"/>
  <c r="Z418" i="92"/>
  <c r="Y414" i="92"/>
  <c r="V414" i="92"/>
  <c r="AA414" i="92"/>
  <c r="Z414" i="92"/>
  <c r="Y410" i="92"/>
  <c r="V410" i="92"/>
  <c r="AA410" i="92"/>
  <c r="Z410" i="92"/>
  <c r="Y406" i="92"/>
  <c r="V406" i="92"/>
  <c r="AA406" i="92"/>
  <c r="Z406" i="92"/>
  <c r="Y402" i="92"/>
  <c r="V402" i="92"/>
  <c r="AA402" i="92"/>
  <c r="Z402" i="92"/>
  <c r="Y398" i="92"/>
  <c r="V398" i="92"/>
  <c r="AA398" i="92"/>
  <c r="Z398" i="92"/>
  <c r="Y394" i="92"/>
  <c r="V394" i="92"/>
  <c r="AA394" i="92"/>
  <c r="Z394" i="92"/>
  <c r="Y390" i="92"/>
  <c r="V390" i="92"/>
  <c r="AA390" i="92"/>
  <c r="Z390" i="92"/>
  <c r="Y386" i="92"/>
  <c r="V386" i="92"/>
  <c r="AA386" i="92"/>
  <c r="Z386" i="92"/>
  <c r="Y382" i="92"/>
  <c r="V382" i="92"/>
  <c r="AA382" i="92"/>
  <c r="Z382" i="92"/>
  <c r="Y378" i="92"/>
  <c r="V378" i="92"/>
  <c r="AA378" i="92"/>
  <c r="Z378" i="92"/>
  <c r="Y374" i="92"/>
  <c r="V374" i="92"/>
  <c r="AA374" i="92"/>
  <c r="Z374" i="92"/>
  <c r="Y370" i="92"/>
  <c r="V370" i="92"/>
  <c r="AA370" i="92"/>
  <c r="Z370" i="92"/>
  <c r="Y366" i="92"/>
  <c r="V366" i="92"/>
  <c r="AA366" i="92"/>
  <c r="Z366" i="92"/>
  <c r="Y362" i="92"/>
  <c r="V362" i="92"/>
  <c r="AA362" i="92"/>
  <c r="Z362" i="92"/>
  <c r="Y358" i="92"/>
  <c r="V358" i="92"/>
  <c r="AA358" i="92"/>
  <c r="Z358" i="92"/>
  <c r="Y354" i="92"/>
  <c r="V354" i="92"/>
  <c r="AA354" i="92"/>
  <c r="Z354" i="92"/>
  <c r="Y350" i="92"/>
  <c r="V350" i="92"/>
  <c r="AA350" i="92"/>
  <c r="Z350" i="92"/>
  <c r="Y346" i="92"/>
  <c r="V346" i="92"/>
  <c r="AA346" i="92"/>
  <c r="Z346" i="92"/>
  <c r="Y342" i="92"/>
  <c r="V342" i="92"/>
  <c r="AA342" i="92"/>
  <c r="Z342" i="92"/>
  <c r="Y338" i="92"/>
  <c r="V338" i="92"/>
  <c r="AA338" i="92"/>
  <c r="Z338" i="92"/>
  <c r="Y334" i="92"/>
  <c r="V334" i="92"/>
  <c r="AA334" i="92"/>
  <c r="Z334" i="92"/>
  <c r="Y330" i="92"/>
  <c r="V330" i="92"/>
  <c r="AA330" i="92"/>
  <c r="Z330" i="92"/>
  <c r="Y326" i="92"/>
  <c r="V326" i="92"/>
  <c r="AA326" i="92"/>
  <c r="Z326" i="92"/>
  <c r="Y322" i="92"/>
  <c r="V322" i="92"/>
  <c r="AA322" i="92"/>
  <c r="Z322" i="92"/>
  <c r="Y318" i="92"/>
  <c r="V318" i="92"/>
  <c r="AA318" i="92"/>
  <c r="Z318" i="92"/>
  <c r="Y314" i="92"/>
  <c r="V314" i="92"/>
  <c r="AA314" i="92"/>
  <c r="Z314" i="92"/>
  <c r="Y310" i="92"/>
  <c r="V310" i="92"/>
  <c r="AA310" i="92"/>
  <c r="Z310" i="92"/>
  <c r="Y306" i="92"/>
  <c r="V306" i="92"/>
  <c r="AA306" i="92"/>
  <c r="Z306" i="92"/>
  <c r="Y302" i="92"/>
  <c r="V302" i="92"/>
  <c r="AA302" i="92"/>
  <c r="Z302" i="92"/>
  <c r="Y298" i="92"/>
  <c r="V298" i="92"/>
  <c r="AA298" i="92"/>
  <c r="Z298" i="92"/>
  <c r="Y294" i="92"/>
  <c r="V294" i="92"/>
  <c r="AA294" i="92"/>
  <c r="Z294" i="92"/>
  <c r="Y290" i="92"/>
  <c r="V290" i="92"/>
  <c r="AA290" i="92"/>
  <c r="Z290" i="92"/>
  <c r="Y286" i="92"/>
  <c r="V286" i="92"/>
  <c r="AA286" i="92"/>
  <c r="Z286" i="92"/>
  <c r="Y282" i="92"/>
  <c r="V282" i="92"/>
  <c r="AA282" i="92"/>
  <c r="Z282" i="92"/>
  <c r="Y278" i="92"/>
  <c r="V278" i="92"/>
  <c r="AA278" i="92"/>
  <c r="Z278" i="92"/>
  <c r="Y274" i="92"/>
  <c r="V274" i="92"/>
  <c r="AA274" i="92"/>
  <c r="Z274" i="92"/>
  <c r="Y270" i="92"/>
  <c r="V270" i="92"/>
  <c r="AA270" i="92"/>
  <c r="Z270" i="92"/>
  <c r="Y266" i="92"/>
  <c r="V266" i="92"/>
  <c r="AA266" i="92"/>
  <c r="Z266" i="92"/>
  <c r="Y262" i="92"/>
  <c r="V262" i="92"/>
  <c r="AA262" i="92"/>
  <c r="Z262" i="92"/>
  <c r="Y258" i="92"/>
  <c r="V258" i="92"/>
  <c r="AA258" i="92"/>
  <c r="Z258" i="92"/>
  <c r="Y254" i="92"/>
  <c r="V254" i="92"/>
  <c r="AA254" i="92"/>
  <c r="Z254" i="92"/>
  <c r="Y250" i="92"/>
  <c r="V250" i="92"/>
  <c r="AA250" i="92"/>
  <c r="Z250" i="92"/>
  <c r="Y246" i="92"/>
  <c r="V246" i="92"/>
  <c r="AA246" i="92"/>
  <c r="Z246" i="92"/>
  <c r="Y242" i="92"/>
  <c r="V242" i="92"/>
  <c r="AA242" i="92"/>
  <c r="Z242" i="92"/>
  <c r="Y238" i="92"/>
  <c r="V238" i="92"/>
  <c r="AA238" i="92"/>
  <c r="Z238" i="92"/>
  <c r="Y234" i="92"/>
  <c r="V234" i="92"/>
  <c r="AA234" i="92"/>
  <c r="Z234" i="92"/>
  <c r="Y230" i="92"/>
  <c r="V230" i="92"/>
  <c r="AA230" i="92"/>
  <c r="Z230" i="92"/>
  <c r="Y226" i="92"/>
  <c r="V226" i="92"/>
  <c r="AA226" i="92"/>
  <c r="Z226" i="92"/>
  <c r="Y222" i="92"/>
  <c r="V222" i="92"/>
  <c r="AA222" i="92"/>
  <c r="Z222" i="92"/>
  <c r="Y218" i="92"/>
  <c r="V218" i="92"/>
  <c r="AA218" i="92"/>
  <c r="Z218" i="92"/>
  <c r="Y214" i="92"/>
  <c r="V214" i="92"/>
  <c r="AA214" i="92"/>
  <c r="Z214" i="92"/>
  <c r="Y210" i="92"/>
  <c r="V210" i="92"/>
  <c r="AA210" i="92"/>
  <c r="Z210" i="92"/>
  <c r="Y206" i="92"/>
  <c r="V206" i="92"/>
  <c r="AA206" i="92"/>
  <c r="Z206" i="92"/>
  <c r="Y202" i="92"/>
  <c r="V202" i="92"/>
  <c r="AA202" i="92"/>
  <c r="Z202" i="92"/>
  <c r="Y198" i="92"/>
  <c r="V198" i="92"/>
  <c r="AA198" i="92"/>
  <c r="Z198" i="92"/>
  <c r="Y194" i="92"/>
  <c r="V194" i="92"/>
  <c r="AA194" i="92"/>
  <c r="Z194" i="92"/>
  <c r="Y190" i="92"/>
  <c r="V190" i="92"/>
  <c r="AA190" i="92"/>
  <c r="Z190" i="92"/>
  <c r="Y186" i="92"/>
  <c r="V186" i="92"/>
  <c r="AA186" i="92"/>
  <c r="Z186" i="92"/>
  <c r="Y182" i="92"/>
  <c r="V182" i="92"/>
  <c r="AA182" i="92"/>
  <c r="Z182" i="92"/>
  <c r="Y178" i="92"/>
  <c r="V178" i="92"/>
  <c r="AA178" i="92"/>
  <c r="Z178" i="92"/>
  <c r="Y174" i="92"/>
  <c r="V174" i="92"/>
  <c r="AA174" i="92"/>
  <c r="Z174" i="92"/>
  <c r="Y170" i="92"/>
  <c r="V170" i="92"/>
  <c r="AA170" i="92"/>
  <c r="Z170" i="92"/>
  <c r="Y166" i="92"/>
  <c r="V166" i="92"/>
  <c r="AA166" i="92"/>
  <c r="Z166" i="92"/>
  <c r="Y162" i="92"/>
  <c r="V162" i="92"/>
  <c r="AA162" i="92"/>
  <c r="Z162" i="92"/>
  <c r="Y158" i="92"/>
  <c r="V158" i="92"/>
  <c r="AA158" i="92"/>
  <c r="Z158" i="92"/>
  <c r="Y154" i="92"/>
  <c r="V154" i="92"/>
  <c r="AA154" i="92"/>
  <c r="Z154" i="92"/>
  <c r="Y150" i="92"/>
  <c r="V150" i="92"/>
  <c r="AA150" i="92"/>
  <c r="Z150" i="92"/>
  <c r="Y146" i="92"/>
  <c r="V146" i="92"/>
  <c r="AA146" i="92"/>
  <c r="Z146" i="92"/>
  <c r="Y142" i="92"/>
  <c r="V142" i="92"/>
  <c r="AA142" i="92"/>
  <c r="Z142" i="92"/>
  <c r="Y138" i="92"/>
  <c r="V138" i="92"/>
  <c r="AA138" i="92"/>
  <c r="Z138" i="92"/>
  <c r="Y134" i="92"/>
  <c r="V134" i="92"/>
  <c r="AA134" i="92"/>
  <c r="Z134" i="92"/>
  <c r="Y130" i="92"/>
  <c r="V130" i="92"/>
  <c r="AA130" i="92"/>
  <c r="Z130" i="92"/>
  <c r="Y126" i="92"/>
  <c r="V126" i="92"/>
  <c r="AA126" i="92"/>
  <c r="Z126" i="92"/>
  <c r="Y122" i="92"/>
  <c r="V122" i="92"/>
  <c r="AA122" i="92"/>
  <c r="Z122" i="92"/>
  <c r="Y118" i="92"/>
  <c r="V118" i="92"/>
  <c r="AA118" i="92"/>
  <c r="Z118" i="92"/>
  <c r="Y114" i="92"/>
  <c r="V114" i="92"/>
  <c r="AA114" i="92"/>
  <c r="Z114" i="92"/>
  <c r="Y110" i="92"/>
  <c r="V110" i="92"/>
  <c r="AA110" i="92"/>
  <c r="Z110" i="92"/>
  <c r="Y106" i="92"/>
  <c r="V106" i="92"/>
  <c r="AA106" i="92"/>
  <c r="Z106" i="92"/>
  <c r="Y102" i="92"/>
  <c r="V102" i="92"/>
  <c r="AA102" i="92"/>
  <c r="Z102" i="92"/>
  <c r="Y98" i="92"/>
  <c r="V98" i="92"/>
  <c r="AA98" i="92"/>
  <c r="Z98" i="92"/>
  <c r="Y94" i="92"/>
  <c r="V94" i="92"/>
  <c r="AA94" i="92"/>
  <c r="Z94" i="92"/>
  <c r="Y90" i="92"/>
  <c r="V90" i="92"/>
  <c r="AA90" i="92"/>
  <c r="Z90" i="92"/>
  <c r="Y86" i="92"/>
  <c r="V86" i="92"/>
  <c r="AA86" i="92"/>
  <c r="Z86" i="92"/>
  <c r="Y82" i="92"/>
  <c r="V82" i="92"/>
  <c r="AA82" i="92"/>
  <c r="Z82" i="92"/>
  <c r="Y884" i="92"/>
  <c r="Y836" i="92"/>
  <c r="Y788" i="92"/>
  <c r="Y740" i="92"/>
  <c r="Y692" i="92"/>
  <c r="Y644" i="92"/>
  <c r="Y596" i="92"/>
  <c r="Y548" i="92"/>
  <c r="Y500" i="92"/>
  <c r="Y452" i="92"/>
  <c r="Y404" i="92"/>
  <c r="Y356" i="92"/>
  <c r="Y308" i="92"/>
  <c r="Y260" i="92"/>
  <c r="Y212" i="92"/>
  <c r="Y164" i="92"/>
  <c r="Y116" i="92"/>
  <c r="Z1079" i="92"/>
  <c r="Z1075" i="92"/>
  <c r="Z1071" i="92"/>
  <c r="Z1067" i="92"/>
  <c r="Z1063" i="92"/>
  <c r="Z1059" i="92"/>
  <c r="Z1055" i="92"/>
  <c r="Z1051" i="92"/>
  <c r="Z1047" i="92"/>
  <c r="Z1043" i="92"/>
  <c r="Z1039" i="92"/>
  <c r="Z1035" i="92"/>
  <c r="Z1031" i="92"/>
  <c r="Z1027" i="92"/>
  <c r="Z1023" i="92"/>
  <c r="Z1019" i="92"/>
  <c r="Z1015" i="92"/>
  <c r="Z1011" i="92"/>
  <c r="Z1007" i="92"/>
  <c r="Z1003" i="92"/>
  <c r="Z999" i="92"/>
  <c r="Z995" i="92"/>
  <c r="Z991" i="92"/>
  <c r="Z987" i="92"/>
  <c r="Z983" i="92"/>
  <c r="Z979" i="92"/>
  <c r="Z975" i="92"/>
  <c r="Z971" i="92"/>
  <c r="Z967" i="92"/>
  <c r="Z963" i="92"/>
  <c r="Z959" i="92"/>
  <c r="Z955" i="92"/>
  <c r="Z951" i="92"/>
  <c r="Z947" i="92"/>
  <c r="Z943" i="92"/>
  <c r="Z939" i="92"/>
  <c r="Z935" i="92"/>
  <c r="Z931" i="92"/>
  <c r="Z927" i="92"/>
  <c r="Z923" i="92"/>
  <c r="Z919" i="92"/>
  <c r="Z915" i="92"/>
  <c r="Z911" i="92"/>
  <c r="Z907" i="92"/>
  <c r="Z903" i="92"/>
  <c r="Z899" i="92"/>
  <c r="Z895" i="92"/>
  <c r="Z891" i="92"/>
  <c r="Z887" i="92"/>
  <c r="Z883" i="92"/>
  <c r="Z879" i="92"/>
  <c r="Z875" i="92"/>
  <c r="Z871" i="92"/>
  <c r="Z867" i="92"/>
  <c r="Z863" i="92"/>
  <c r="Z859" i="92"/>
  <c r="Z855" i="92"/>
  <c r="Z851" i="92"/>
  <c r="Z847" i="92"/>
  <c r="Z843" i="92"/>
  <c r="Z839" i="92"/>
  <c r="Z835" i="92"/>
  <c r="Z831" i="92"/>
  <c r="Z827" i="92"/>
  <c r="Z823" i="92"/>
  <c r="Z819" i="92"/>
  <c r="Z815" i="92"/>
  <c r="Z811" i="92"/>
  <c r="Z807" i="92"/>
  <c r="Z803" i="92"/>
  <c r="Z799" i="92"/>
  <c r="Z795" i="92"/>
  <c r="Z791" i="92"/>
  <c r="Z787" i="92"/>
  <c r="Z783" i="92"/>
  <c r="Z779" i="92"/>
  <c r="Z775" i="92"/>
  <c r="Z771" i="92"/>
  <c r="Z767" i="92"/>
  <c r="Z763" i="92"/>
  <c r="Z758" i="92"/>
  <c r="Z753" i="92"/>
  <c r="Z748" i="92"/>
  <c r="Z742" i="92"/>
  <c r="R1061" i="92"/>
  <c r="R917" i="92"/>
  <c r="R773" i="92"/>
  <c r="R629" i="92"/>
  <c r="R485" i="92"/>
  <c r="R341" i="92"/>
  <c r="S80" i="92"/>
  <c r="S1001" i="92"/>
  <c r="S857" i="92"/>
  <c r="S713" i="92"/>
  <c r="S569" i="92"/>
  <c r="S425" i="92"/>
  <c r="T941" i="92"/>
  <c r="T797" i="92"/>
  <c r="T653" i="92"/>
  <c r="T509" i="92"/>
  <c r="T365" i="92"/>
  <c r="U1025" i="92"/>
  <c r="U881" i="92"/>
  <c r="U737" i="92"/>
  <c r="U593" i="92"/>
  <c r="U449" i="92"/>
  <c r="X1049" i="92"/>
  <c r="X1023" i="92"/>
  <c r="X984" i="92"/>
  <c r="X905" i="92"/>
  <c r="X879" i="92"/>
  <c r="X840" i="92"/>
  <c r="X761" i="92"/>
  <c r="X735" i="92"/>
  <c r="X696" i="92"/>
  <c r="X617" i="92"/>
  <c r="X591" i="92"/>
  <c r="X552" i="92"/>
  <c r="X473" i="92"/>
  <c r="X447" i="92"/>
  <c r="X408" i="92"/>
  <c r="X303" i="92"/>
  <c r="X264" i="92"/>
  <c r="X159" i="92"/>
  <c r="X120" i="92"/>
  <c r="W1068" i="92"/>
  <c r="W989" i="92"/>
  <c r="W963" i="92"/>
  <c r="W924" i="92"/>
  <c r="W845" i="92"/>
  <c r="W819" i="92"/>
  <c r="W780" i="92"/>
  <c r="W701" i="92"/>
  <c r="W675" i="92"/>
  <c r="W636" i="92"/>
  <c r="W557" i="92"/>
  <c r="W531" i="92"/>
  <c r="W492" i="92"/>
  <c r="W413" i="92"/>
  <c r="W387" i="92"/>
  <c r="W348" i="92"/>
  <c r="W243" i="92"/>
  <c r="W204" i="92"/>
  <c r="W111" i="92"/>
  <c r="R929" i="92"/>
  <c r="S869" i="92"/>
  <c r="T953" i="92"/>
  <c r="T809" i="92"/>
  <c r="T665" i="92"/>
  <c r="T521" i="92"/>
  <c r="T377" i="92"/>
  <c r="U1037" i="92"/>
  <c r="U893" i="92"/>
  <c r="U749" i="92"/>
  <c r="U605" i="92"/>
  <c r="U461" i="92"/>
  <c r="X1061" i="92"/>
  <c r="X917" i="92"/>
  <c r="X773" i="92"/>
  <c r="X629" i="92"/>
  <c r="X485" i="92"/>
  <c r="X341" i="92"/>
  <c r="W80" i="92"/>
  <c r="W1001" i="92"/>
  <c r="W857" i="92"/>
  <c r="W713" i="92"/>
  <c r="W569" i="92"/>
  <c r="W425" i="92"/>
  <c r="Y1064" i="92"/>
  <c r="R785" i="92"/>
  <c r="S1013" i="92"/>
  <c r="S725" i="92"/>
  <c r="S581" i="92"/>
  <c r="S437" i="92"/>
  <c r="R941" i="92"/>
  <c r="R797" i="92"/>
  <c r="R653" i="92"/>
  <c r="R509" i="92"/>
  <c r="R365" i="92"/>
  <c r="S1025" i="92"/>
  <c r="S881" i="92"/>
  <c r="S737" i="92"/>
  <c r="S593" i="92"/>
  <c r="S449" i="92"/>
  <c r="T965" i="92"/>
  <c r="T821" i="92"/>
  <c r="T677" i="92"/>
  <c r="T533" i="92"/>
  <c r="T389" i="92"/>
  <c r="U1049" i="92"/>
  <c r="U905" i="92"/>
  <c r="U761" i="92"/>
  <c r="U617" i="92"/>
  <c r="U473" i="92"/>
  <c r="X1073" i="92"/>
  <c r="X1047" i="92"/>
  <c r="X1008" i="92"/>
  <c r="X929" i="92"/>
  <c r="X903" i="92"/>
  <c r="X864" i="92"/>
  <c r="X785" i="92"/>
  <c r="X759" i="92"/>
  <c r="X720" i="92"/>
  <c r="X641" i="92"/>
  <c r="X615" i="92"/>
  <c r="X576" i="92"/>
  <c r="X497" i="92"/>
  <c r="X471" i="92"/>
  <c r="X432" i="92"/>
  <c r="X353" i="92"/>
  <c r="X327" i="92"/>
  <c r="X288" i="92"/>
  <c r="X183" i="92"/>
  <c r="X144" i="92"/>
  <c r="W1013" i="92"/>
  <c r="W987" i="92"/>
  <c r="W948" i="92"/>
  <c r="W869" i="92"/>
  <c r="W843" i="92"/>
  <c r="W804" i="92"/>
  <c r="W725" i="92"/>
  <c r="W699" i="92"/>
  <c r="W660" i="92"/>
  <c r="W581" i="92"/>
  <c r="W555" i="92"/>
  <c r="W516" i="92"/>
  <c r="W437" i="92"/>
  <c r="W411" i="92"/>
  <c r="W372" i="92"/>
  <c r="W267" i="92"/>
  <c r="W228" i="92"/>
  <c r="W123" i="92"/>
  <c r="W96" i="92"/>
  <c r="R1073" i="92"/>
  <c r="R953" i="92"/>
  <c r="R809" i="92"/>
  <c r="R665" i="92"/>
  <c r="R521" i="92"/>
  <c r="R377" i="92"/>
  <c r="S1037" i="92"/>
  <c r="S893" i="92"/>
  <c r="S749" i="92"/>
  <c r="S605" i="92"/>
  <c r="S461" i="92"/>
  <c r="T977" i="92"/>
  <c r="T833" i="92"/>
  <c r="T689" i="92"/>
  <c r="T545" i="92"/>
  <c r="T401" i="92"/>
  <c r="U1061" i="92"/>
  <c r="U917" i="92"/>
  <c r="U773" i="92"/>
  <c r="U629" i="92"/>
  <c r="U485" i="92"/>
  <c r="U341" i="92"/>
  <c r="X1059" i="92"/>
  <c r="X1020" i="92"/>
  <c r="X941" i="92"/>
  <c r="X915" i="92"/>
  <c r="X876" i="92"/>
  <c r="X797" i="92"/>
  <c r="X771" i="92"/>
  <c r="X732" i="92"/>
  <c r="X653" i="92"/>
  <c r="X627" i="92"/>
  <c r="X588" i="92"/>
  <c r="X509" i="92"/>
  <c r="X483" i="92"/>
  <c r="X444" i="92"/>
  <c r="X365" i="92"/>
  <c r="X339" i="92"/>
  <c r="X300" i="92"/>
  <c r="X195" i="92"/>
  <c r="X156" i="92"/>
  <c r="W1038" i="92"/>
  <c r="W1025" i="92"/>
  <c r="W999" i="92"/>
  <c r="W960" i="92"/>
  <c r="W881" i="92"/>
  <c r="W855" i="92"/>
  <c r="W816" i="92"/>
  <c r="W737" i="92"/>
  <c r="W711" i="92"/>
  <c r="W672" i="92"/>
  <c r="W593" i="92"/>
  <c r="W567" i="92"/>
  <c r="W528" i="92"/>
  <c r="W449" i="92"/>
  <c r="W423" i="92"/>
  <c r="W384" i="92"/>
  <c r="W279" i="92"/>
  <c r="W240" i="92"/>
  <c r="W135" i="92"/>
  <c r="W108" i="92"/>
  <c r="R389" i="92"/>
  <c r="S617" i="92"/>
  <c r="S473" i="92"/>
  <c r="T989" i="92"/>
  <c r="T845" i="92"/>
  <c r="T701" i="92"/>
  <c r="T557" i="92"/>
  <c r="T413" i="92"/>
  <c r="U1073" i="92"/>
  <c r="U929" i="92"/>
  <c r="U785" i="92"/>
  <c r="U641" i="92"/>
  <c r="U497" i="92"/>
  <c r="U353" i="92"/>
  <c r="X953" i="92"/>
  <c r="X809" i="92"/>
  <c r="X665" i="92"/>
  <c r="X521" i="92"/>
  <c r="X377" i="92"/>
  <c r="W1037" i="92"/>
  <c r="W893" i="92"/>
  <c r="W749" i="92"/>
  <c r="W605" i="92"/>
  <c r="W461" i="92"/>
  <c r="Y84" i="92"/>
  <c r="W84" i="92"/>
  <c r="R821" i="92"/>
  <c r="R533" i="92"/>
  <c r="S1049" i="92"/>
  <c r="S905" i="92"/>
  <c r="S761" i="92"/>
  <c r="R977" i="92"/>
  <c r="R833" i="92"/>
  <c r="R689" i="92"/>
  <c r="R545" i="92"/>
  <c r="R401" i="92"/>
  <c r="S1061" i="92"/>
  <c r="S917" i="92"/>
  <c r="S773" i="92"/>
  <c r="S629" i="92"/>
  <c r="S485" i="92"/>
  <c r="S341" i="92"/>
  <c r="T80" i="92"/>
  <c r="T1001" i="92"/>
  <c r="T857" i="92"/>
  <c r="T713" i="92"/>
  <c r="T569" i="92"/>
  <c r="T425" i="92"/>
  <c r="U941" i="92"/>
  <c r="U797" i="92"/>
  <c r="U653" i="92"/>
  <c r="U509" i="92"/>
  <c r="U365" i="92"/>
  <c r="X1044" i="92"/>
  <c r="X965" i="92"/>
  <c r="X939" i="92"/>
  <c r="X900" i="92"/>
  <c r="X821" i="92"/>
  <c r="X795" i="92"/>
  <c r="X756" i="92"/>
  <c r="X677" i="92"/>
  <c r="X651" i="92"/>
  <c r="X612" i="92"/>
  <c r="X533" i="92"/>
  <c r="X507" i="92"/>
  <c r="X468" i="92"/>
  <c r="X389" i="92"/>
  <c r="X363" i="92"/>
  <c r="X324" i="92"/>
  <c r="X219" i="92"/>
  <c r="X180" i="92"/>
  <c r="W1049" i="92"/>
  <c r="W1023" i="92"/>
  <c r="W984" i="92"/>
  <c r="W905" i="92"/>
  <c r="W879" i="92"/>
  <c r="W840" i="92"/>
  <c r="W761" i="92"/>
  <c r="W735" i="92"/>
  <c r="W696" i="92"/>
  <c r="W617" i="92"/>
  <c r="W591" i="92"/>
  <c r="W552" i="92"/>
  <c r="W473" i="92"/>
  <c r="W447" i="92"/>
  <c r="W408" i="92"/>
  <c r="W303" i="92"/>
  <c r="W264" i="92"/>
  <c r="W159" i="92"/>
  <c r="W120" i="92"/>
  <c r="R965" i="92"/>
  <c r="R677" i="92"/>
  <c r="R989" i="92"/>
  <c r="R845" i="92"/>
  <c r="R701" i="92"/>
  <c r="R557" i="92"/>
  <c r="R413" i="92"/>
  <c r="S1073" i="92"/>
  <c r="S929" i="92"/>
  <c r="S785" i="92"/>
  <c r="S641" i="92"/>
  <c r="S497" i="92"/>
  <c r="S353" i="92"/>
  <c r="T1013" i="92"/>
  <c r="T869" i="92"/>
  <c r="T725" i="92"/>
  <c r="T581" i="92"/>
  <c r="T437" i="92"/>
  <c r="U953" i="92"/>
  <c r="U809" i="92"/>
  <c r="U665" i="92"/>
  <c r="U521" i="92"/>
  <c r="U377" i="92"/>
  <c r="X977" i="92"/>
  <c r="X833" i="92"/>
  <c r="X689" i="92"/>
  <c r="X545" i="92"/>
  <c r="X401" i="92"/>
  <c r="W1061" i="92"/>
  <c r="W1035" i="92"/>
  <c r="W996" i="92"/>
  <c r="W917" i="92"/>
  <c r="W891" i="92"/>
  <c r="W852" i="92"/>
  <c r="W773" i="92"/>
  <c r="W747" i="92"/>
  <c r="W708" i="92"/>
  <c r="W629" i="92"/>
  <c r="W603" i="92"/>
  <c r="W564" i="92"/>
  <c r="W485" i="92"/>
  <c r="W459" i="92"/>
  <c r="W420" i="92"/>
  <c r="W341" i="92"/>
  <c r="W315" i="92"/>
  <c r="W276" i="92"/>
  <c r="W171" i="92"/>
  <c r="W132" i="92"/>
  <c r="R1001" i="92"/>
  <c r="R857" i="92"/>
  <c r="R713" i="92"/>
  <c r="R569" i="92"/>
  <c r="R425" i="92"/>
  <c r="S941" i="92"/>
  <c r="S797" i="92"/>
  <c r="S653" i="92"/>
  <c r="S509" i="92"/>
  <c r="S365" i="92"/>
  <c r="T1025" i="92"/>
  <c r="T881" i="92"/>
  <c r="T737" i="92"/>
  <c r="T593" i="92"/>
  <c r="T449" i="92"/>
  <c r="U965" i="92"/>
  <c r="U821" i="92"/>
  <c r="U677" i="92"/>
  <c r="U533" i="92"/>
  <c r="U389" i="92"/>
  <c r="X989" i="92"/>
  <c r="X845" i="92"/>
  <c r="X701" i="92"/>
  <c r="X557" i="92"/>
  <c r="X413" i="92"/>
  <c r="W1073" i="92"/>
  <c r="W1047" i="92"/>
  <c r="W929" i="92"/>
  <c r="W903" i="92"/>
  <c r="W785" i="92"/>
  <c r="W759" i="92"/>
  <c r="W641" i="92"/>
  <c r="W615" i="92"/>
  <c r="W497" i="92"/>
  <c r="W471" i="92"/>
  <c r="W353" i="92"/>
  <c r="W327" i="92"/>
  <c r="W288" i="92"/>
  <c r="W183" i="92"/>
  <c r="W144" i="92"/>
  <c r="R1013" i="92"/>
  <c r="R869" i="92"/>
  <c r="R725" i="92"/>
  <c r="R581" i="92"/>
  <c r="R437" i="92"/>
  <c r="S953" i="92"/>
  <c r="S809" i="92"/>
  <c r="S665" i="92"/>
  <c r="S521" i="92"/>
  <c r="S377" i="92"/>
  <c r="T1037" i="92"/>
  <c r="T893" i="92"/>
  <c r="T749" i="92"/>
  <c r="T605" i="92"/>
  <c r="T461" i="92"/>
  <c r="U977" i="92"/>
  <c r="U833" i="92"/>
  <c r="U689" i="92"/>
  <c r="U545" i="92"/>
  <c r="U401" i="92"/>
  <c r="X80" i="92"/>
  <c r="X1001" i="92"/>
  <c r="X857" i="92"/>
  <c r="X713" i="92"/>
  <c r="X569" i="92"/>
  <c r="X425" i="92"/>
  <c r="W1059" i="92"/>
  <c r="W1020" i="92"/>
  <c r="W941" i="92"/>
  <c r="W915" i="92"/>
  <c r="W876" i="92"/>
  <c r="W797" i="92"/>
  <c r="W771" i="92"/>
  <c r="W732" i="92"/>
  <c r="W653" i="92"/>
  <c r="W627" i="92"/>
  <c r="W588" i="92"/>
  <c r="W509" i="92"/>
  <c r="W483" i="92"/>
  <c r="W444" i="92"/>
  <c r="W365" i="92"/>
  <c r="W339" i="92"/>
  <c r="W300" i="92"/>
  <c r="W195" i="92"/>
  <c r="W156" i="92"/>
  <c r="Y980" i="92"/>
  <c r="R1025" i="92"/>
  <c r="R881" i="92"/>
  <c r="R737" i="92"/>
  <c r="R593" i="92"/>
  <c r="R449" i="92"/>
  <c r="S965" i="92"/>
  <c r="S821" i="92"/>
  <c r="S677" i="92"/>
  <c r="S533" i="92"/>
  <c r="S389" i="92"/>
  <c r="T1049" i="92"/>
  <c r="T905" i="92"/>
  <c r="T761" i="92"/>
  <c r="T617" i="92"/>
  <c r="T473" i="92"/>
  <c r="U989" i="92"/>
  <c r="U845" i="92"/>
  <c r="U701" i="92"/>
  <c r="U557" i="92"/>
  <c r="U413" i="92"/>
  <c r="X1013" i="92"/>
  <c r="X987" i="92"/>
  <c r="X948" i="92"/>
  <c r="X869" i="92"/>
  <c r="X843" i="92"/>
  <c r="X804" i="92"/>
  <c r="X725" i="92"/>
  <c r="X699" i="92"/>
  <c r="X660" i="92"/>
  <c r="X581" i="92"/>
  <c r="X555" i="92"/>
  <c r="X516" i="92"/>
  <c r="X437" i="92"/>
  <c r="X411" i="92"/>
  <c r="X372" i="92"/>
  <c r="X267" i="92"/>
  <c r="X228" i="92"/>
  <c r="X123" i="92"/>
  <c r="X84" i="92"/>
  <c r="W1071" i="92"/>
  <c r="W1032" i="92"/>
  <c r="W953" i="92"/>
  <c r="W927" i="92"/>
  <c r="W888" i="92"/>
  <c r="W809" i="92"/>
  <c r="W783" i="92"/>
  <c r="W744" i="92"/>
  <c r="W665" i="92"/>
  <c r="W639" i="92"/>
  <c r="W600" i="92"/>
  <c r="W521" i="92"/>
  <c r="W495" i="92"/>
  <c r="W456" i="92"/>
  <c r="W377" i="92"/>
  <c r="W351" i="92"/>
  <c r="W312" i="92"/>
  <c r="W207" i="92"/>
  <c r="W168" i="92"/>
  <c r="R1037" i="92"/>
  <c r="R893" i="92"/>
  <c r="R749" i="92"/>
  <c r="R605" i="92"/>
  <c r="R461" i="92"/>
  <c r="S977" i="92"/>
  <c r="S833" i="92"/>
  <c r="S689" i="92"/>
  <c r="S545" i="92"/>
  <c r="S401" i="92"/>
  <c r="T1061" i="92"/>
  <c r="T917" i="92"/>
  <c r="T773" i="92"/>
  <c r="T629" i="92"/>
  <c r="T485" i="92"/>
  <c r="T341" i="92"/>
  <c r="U80" i="92"/>
  <c r="U1001" i="92"/>
  <c r="U857" i="92"/>
  <c r="U713" i="92"/>
  <c r="U569" i="92"/>
  <c r="U425" i="92"/>
  <c r="X1025" i="92"/>
  <c r="X881" i="92"/>
  <c r="X737" i="92"/>
  <c r="X593" i="92"/>
  <c r="X449" i="92"/>
  <c r="W965" i="92"/>
  <c r="W939" i="92"/>
  <c r="W821" i="92"/>
  <c r="W795" i="92"/>
  <c r="W677" i="92"/>
  <c r="W651" i="92"/>
  <c r="W533" i="92"/>
  <c r="W507" i="92"/>
  <c r="W389" i="92"/>
  <c r="W363" i="92"/>
  <c r="W219" i="92"/>
  <c r="W87" i="92"/>
  <c r="W1016" i="92"/>
  <c r="X1016" i="92"/>
  <c r="U1016" i="92"/>
  <c r="T1016" i="92"/>
  <c r="S1016" i="92"/>
  <c r="W896" i="92"/>
  <c r="X896" i="92"/>
  <c r="U896" i="92"/>
  <c r="T896" i="92"/>
  <c r="S896" i="92"/>
  <c r="W824" i="92"/>
  <c r="X824" i="92"/>
  <c r="U824" i="92"/>
  <c r="T824" i="92"/>
  <c r="S824" i="92"/>
  <c r="W752" i="92"/>
  <c r="X752" i="92"/>
  <c r="U752" i="92"/>
  <c r="T752" i="92"/>
  <c r="S752" i="92"/>
  <c r="W716" i="92"/>
  <c r="X716" i="92"/>
  <c r="U716" i="92"/>
  <c r="T716" i="92"/>
  <c r="S716" i="92"/>
  <c r="W668" i="92"/>
  <c r="X668" i="92"/>
  <c r="U668" i="92"/>
  <c r="T668" i="92"/>
  <c r="S668" i="92"/>
  <c r="W644" i="92"/>
  <c r="X644" i="92"/>
  <c r="U644" i="92"/>
  <c r="T644" i="92"/>
  <c r="S644" i="92"/>
  <c r="W608" i="92"/>
  <c r="X608" i="92"/>
  <c r="U608" i="92"/>
  <c r="T608" i="92"/>
  <c r="S608" i="92"/>
  <c r="W584" i="92"/>
  <c r="X584" i="92"/>
  <c r="U584" i="92"/>
  <c r="T584" i="92"/>
  <c r="S584" i="92"/>
  <c r="W560" i="92"/>
  <c r="X560" i="92"/>
  <c r="U560" i="92"/>
  <c r="T560" i="92"/>
  <c r="S560" i="92"/>
  <c r="W548" i="92"/>
  <c r="X548" i="92"/>
  <c r="U548" i="92"/>
  <c r="T548" i="92"/>
  <c r="S548" i="92"/>
  <c r="W536" i="92"/>
  <c r="X536" i="92"/>
  <c r="U536" i="92"/>
  <c r="T536" i="92"/>
  <c r="S536" i="92"/>
  <c r="W524" i="92"/>
  <c r="X524" i="92"/>
  <c r="U524" i="92"/>
  <c r="T524" i="92"/>
  <c r="S524" i="92"/>
  <c r="W512" i="92"/>
  <c r="X512" i="92"/>
  <c r="U512" i="92"/>
  <c r="T512" i="92"/>
  <c r="S512" i="92"/>
  <c r="W500" i="92"/>
  <c r="X500" i="92"/>
  <c r="U500" i="92"/>
  <c r="T500" i="92"/>
  <c r="S500" i="92"/>
  <c r="W488" i="92"/>
  <c r="X488" i="92"/>
  <c r="U488" i="92"/>
  <c r="T488" i="92"/>
  <c r="S488" i="92"/>
  <c r="W476" i="92"/>
  <c r="X476" i="92"/>
  <c r="U476" i="92"/>
  <c r="T476" i="92"/>
  <c r="S476" i="92"/>
  <c r="W464" i="92"/>
  <c r="X464" i="92"/>
  <c r="U464" i="92"/>
  <c r="T464" i="92"/>
  <c r="S464" i="92"/>
  <c r="W452" i="92"/>
  <c r="X452" i="92"/>
  <c r="U452" i="92"/>
  <c r="T452" i="92"/>
  <c r="S452" i="92"/>
  <c r="W440" i="92"/>
  <c r="X440" i="92"/>
  <c r="U440" i="92"/>
  <c r="T440" i="92"/>
  <c r="S440" i="92"/>
  <c r="W428" i="92"/>
  <c r="X428" i="92"/>
  <c r="U428" i="92"/>
  <c r="T428" i="92"/>
  <c r="S428" i="92"/>
  <c r="W416" i="92"/>
  <c r="X416" i="92"/>
  <c r="U416" i="92"/>
  <c r="T416" i="92"/>
  <c r="S416" i="92"/>
  <c r="W404" i="92"/>
  <c r="X404" i="92"/>
  <c r="U404" i="92"/>
  <c r="T404" i="92"/>
  <c r="S404" i="92"/>
  <c r="W392" i="92"/>
  <c r="X392" i="92"/>
  <c r="U392" i="92"/>
  <c r="T392" i="92"/>
  <c r="S392" i="92"/>
  <c r="W380" i="92"/>
  <c r="X380" i="92"/>
  <c r="U380" i="92"/>
  <c r="T380" i="92"/>
  <c r="S380" i="92"/>
  <c r="W368" i="92"/>
  <c r="X368" i="92"/>
  <c r="U368" i="92"/>
  <c r="T368" i="92"/>
  <c r="S368" i="92"/>
  <c r="W356" i="92"/>
  <c r="X356" i="92"/>
  <c r="U356" i="92"/>
  <c r="T356" i="92"/>
  <c r="S356" i="92"/>
  <c r="W344" i="92"/>
  <c r="X344" i="92"/>
  <c r="U344" i="92"/>
  <c r="T344" i="92"/>
  <c r="S344" i="92"/>
  <c r="W332" i="92"/>
  <c r="X332" i="92"/>
  <c r="U332" i="92"/>
  <c r="T332" i="92"/>
  <c r="S332" i="92"/>
  <c r="W320" i="92"/>
  <c r="X320" i="92"/>
  <c r="U320" i="92"/>
  <c r="T320" i="92"/>
  <c r="S320" i="92"/>
  <c r="W308" i="92"/>
  <c r="X308" i="92"/>
  <c r="U308" i="92"/>
  <c r="T308" i="92"/>
  <c r="S308" i="92"/>
  <c r="W296" i="92"/>
  <c r="X296" i="92"/>
  <c r="U296" i="92"/>
  <c r="T296" i="92"/>
  <c r="S296" i="92"/>
  <c r="W284" i="92"/>
  <c r="X284" i="92"/>
  <c r="U284" i="92"/>
  <c r="T284" i="92"/>
  <c r="S284" i="92"/>
  <c r="W272" i="92"/>
  <c r="X272" i="92"/>
  <c r="U272" i="92"/>
  <c r="T272" i="92"/>
  <c r="S272" i="92"/>
  <c r="W260" i="92"/>
  <c r="X260" i="92"/>
  <c r="U260" i="92"/>
  <c r="T260" i="92"/>
  <c r="S260" i="92"/>
  <c r="W248" i="92"/>
  <c r="X248" i="92"/>
  <c r="U248" i="92"/>
  <c r="T248" i="92"/>
  <c r="S248" i="92"/>
  <c r="W236" i="92"/>
  <c r="X236" i="92"/>
  <c r="U236" i="92"/>
  <c r="T236" i="92"/>
  <c r="S236" i="92"/>
  <c r="W224" i="92"/>
  <c r="X224" i="92"/>
  <c r="U224" i="92"/>
  <c r="T224" i="92"/>
  <c r="S224" i="92"/>
  <c r="U92" i="92"/>
  <c r="W92" i="92"/>
  <c r="X92" i="92"/>
  <c r="R92" i="92"/>
  <c r="T92" i="92"/>
  <c r="S92" i="92"/>
  <c r="W968" i="92"/>
  <c r="X968" i="92"/>
  <c r="U968" i="92"/>
  <c r="T968" i="92"/>
  <c r="S968" i="92"/>
  <c r="W848" i="92"/>
  <c r="X848" i="92"/>
  <c r="U848" i="92"/>
  <c r="T848" i="92"/>
  <c r="S848" i="92"/>
  <c r="W680" i="92"/>
  <c r="X680" i="92"/>
  <c r="U680" i="92"/>
  <c r="T680" i="92"/>
  <c r="S680" i="92"/>
  <c r="W152" i="92"/>
  <c r="X152" i="92"/>
  <c r="U152" i="92"/>
  <c r="R152" i="92"/>
  <c r="T152" i="92"/>
  <c r="S152" i="92"/>
  <c r="W956" i="92"/>
  <c r="X956" i="92"/>
  <c r="U956" i="92"/>
  <c r="T956" i="92"/>
  <c r="S956" i="92"/>
  <c r="W740" i="92"/>
  <c r="X740" i="92"/>
  <c r="U740" i="92"/>
  <c r="T740" i="92"/>
  <c r="S740" i="92"/>
  <c r="W200" i="92"/>
  <c r="X200" i="92"/>
  <c r="U200" i="92"/>
  <c r="T200" i="92"/>
  <c r="S200" i="92"/>
  <c r="W992" i="92"/>
  <c r="X992" i="92"/>
  <c r="U992" i="92"/>
  <c r="T992" i="92"/>
  <c r="S992" i="92"/>
  <c r="W188" i="92"/>
  <c r="X188" i="92"/>
  <c r="U188" i="92"/>
  <c r="T188" i="92"/>
  <c r="S188" i="92"/>
  <c r="W1004" i="92"/>
  <c r="X1004" i="92"/>
  <c r="U1004" i="92"/>
  <c r="T1004" i="92"/>
  <c r="S1004" i="92"/>
  <c r="W872" i="92"/>
  <c r="X872" i="92"/>
  <c r="U872" i="92"/>
  <c r="T872" i="92"/>
  <c r="S872" i="92"/>
  <c r="W788" i="92"/>
  <c r="X788" i="92"/>
  <c r="U788" i="92"/>
  <c r="T788" i="92"/>
  <c r="S788" i="92"/>
  <c r="W692" i="92"/>
  <c r="X692" i="92"/>
  <c r="U692" i="92"/>
  <c r="T692" i="92"/>
  <c r="S692" i="92"/>
  <c r="W596" i="92"/>
  <c r="X596" i="92"/>
  <c r="U596" i="92"/>
  <c r="T596" i="92"/>
  <c r="S596" i="92"/>
  <c r="U104" i="92"/>
  <c r="W104" i="92"/>
  <c r="X104" i="92"/>
  <c r="R104" i="92"/>
  <c r="T104" i="92"/>
  <c r="S104" i="92"/>
  <c r="W1052" i="92"/>
  <c r="X1052" i="92"/>
  <c r="U1052" i="92"/>
  <c r="T1052" i="92"/>
  <c r="S1052" i="92"/>
  <c r="W164" i="92"/>
  <c r="X164" i="92"/>
  <c r="U164" i="92"/>
  <c r="R164" i="92"/>
  <c r="T164" i="92"/>
  <c r="S164" i="92"/>
  <c r="W1040" i="92"/>
  <c r="X1040" i="92"/>
  <c r="U1040" i="92"/>
  <c r="T1040" i="92"/>
  <c r="S1040" i="92"/>
  <c r="W920" i="92"/>
  <c r="X920" i="92"/>
  <c r="U920" i="92"/>
  <c r="T920" i="92"/>
  <c r="S920" i="92"/>
  <c r="W860" i="92"/>
  <c r="X860" i="92"/>
  <c r="U860" i="92"/>
  <c r="T860" i="92"/>
  <c r="S860" i="92"/>
  <c r="W776" i="92"/>
  <c r="X776" i="92"/>
  <c r="U776" i="92"/>
  <c r="T776" i="92"/>
  <c r="S776" i="92"/>
  <c r="W620" i="92"/>
  <c r="X620" i="92"/>
  <c r="U620" i="92"/>
  <c r="T620" i="92"/>
  <c r="S620" i="92"/>
  <c r="W128" i="92"/>
  <c r="U128" i="92"/>
  <c r="X128" i="92"/>
  <c r="R128" i="92"/>
  <c r="T128" i="92"/>
  <c r="S128" i="92"/>
  <c r="W1076" i="92"/>
  <c r="X1076" i="92"/>
  <c r="U1076" i="92"/>
  <c r="T1076" i="92"/>
  <c r="S1076" i="92"/>
  <c r="W932" i="92"/>
  <c r="X932" i="92"/>
  <c r="U932" i="92"/>
  <c r="T932" i="92"/>
  <c r="S932" i="92"/>
  <c r="W812" i="92"/>
  <c r="X812" i="92"/>
  <c r="U812" i="92"/>
  <c r="T812" i="92"/>
  <c r="S812" i="92"/>
  <c r="W656" i="92"/>
  <c r="X656" i="92"/>
  <c r="U656" i="92"/>
  <c r="T656" i="92"/>
  <c r="S656" i="92"/>
  <c r="W176" i="92"/>
  <c r="X176" i="92"/>
  <c r="U176" i="92"/>
  <c r="T176" i="92"/>
  <c r="S176" i="92"/>
  <c r="W1028" i="92"/>
  <c r="X1028" i="92"/>
  <c r="U1028" i="92"/>
  <c r="T1028" i="92"/>
  <c r="S1028" i="92"/>
  <c r="W908" i="92"/>
  <c r="X908" i="92"/>
  <c r="U908" i="92"/>
  <c r="T908" i="92"/>
  <c r="S908" i="92"/>
  <c r="W836" i="92"/>
  <c r="X836" i="92"/>
  <c r="U836" i="92"/>
  <c r="T836" i="92"/>
  <c r="S836" i="92"/>
  <c r="W764" i="92"/>
  <c r="X764" i="92"/>
  <c r="U764" i="92"/>
  <c r="T764" i="92"/>
  <c r="S764" i="92"/>
  <c r="W632" i="92"/>
  <c r="X632" i="92"/>
  <c r="U632" i="92"/>
  <c r="T632" i="92"/>
  <c r="S632" i="92"/>
  <c r="W140" i="92"/>
  <c r="U140" i="92"/>
  <c r="X140" i="92"/>
  <c r="R140" i="92"/>
  <c r="T140" i="92"/>
  <c r="S140" i="92"/>
  <c r="W944" i="92"/>
  <c r="X944" i="92"/>
  <c r="U944" i="92"/>
  <c r="T944" i="92"/>
  <c r="S944" i="92"/>
  <c r="W728" i="92"/>
  <c r="X728" i="92"/>
  <c r="U728" i="92"/>
  <c r="T728" i="92"/>
  <c r="S728" i="92"/>
  <c r="W212" i="92"/>
  <c r="X212" i="92"/>
  <c r="U212" i="92"/>
  <c r="T212" i="92"/>
  <c r="S212" i="92"/>
  <c r="R1076" i="92"/>
  <c r="R1052" i="92"/>
  <c r="R1040" i="92"/>
  <c r="R1028" i="92"/>
  <c r="R1016" i="92"/>
  <c r="R1004" i="92"/>
  <c r="R992" i="92"/>
  <c r="R968" i="92"/>
  <c r="R956" i="92"/>
  <c r="R944" i="92"/>
  <c r="R932" i="92"/>
  <c r="R920" i="92"/>
  <c r="R908" i="92"/>
  <c r="R896" i="92"/>
  <c r="R872" i="92"/>
  <c r="R860" i="92"/>
  <c r="R848" i="92"/>
  <c r="R836" i="92"/>
  <c r="R824" i="92"/>
  <c r="R812" i="92"/>
  <c r="R788" i="92"/>
  <c r="R776" i="92"/>
  <c r="R764" i="92"/>
  <c r="R752" i="92"/>
  <c r="R740" i="92"/>
  <c r="R728" i="92"/>
  <c r="R716" i="92"/>
  <c r="R692" i="92"/>
  <c r="R680" i="92"/>
  <c r="R668" i="92"/>
  <c r="R656" i="92"/>
  <c r="R644" i="92"/>
  <c r="R632" i="92"/>
  <c r="R620" i="92"/>
  <c r="R608" i="92"/>
  <c r="R596" i="92"/>
  <c r="R584" i="92"/>
  <c r="R560" i="92"/>
  <c r="R548" i="92"/>
  <c r="R536" i="92"/>
  <c r="R524" i="92"/>
  <c r="R512" i="92"/>
  <c r="R500" i="92"/>
  <c r="R488" i="92"/>
  <c r="R476" i="92"/>
  <c r="R464" i="92"/>
  <c r="R452" i="92"/>
  <c r="R440" i="92"/>
  <c r="R428" i="92"/>
  <c r="R416" i="92"/>
  <c r="R404" i="92"/>
  <c r="R392" i="92"/>
  <c r="R380" i="92"/>
  <c r="R368" i="92"/>
  <c r="R356" i="92"/>
  <c r="R344" i="92"/>
  <c r="R332" i="92"/>
  <c r="R320" i="92"/>
  <c r="R308" i="92"/>
  <c r="R296" i="92"/>
  <c r="R284" i="92"/>
  <c r="R272" i="92"/>
  <c r="R260" i="92"/>
  <c r="R248" i="92"/>
  <c r="R236" i="92"/>
  <c r="R224" i="92"/>
  <c r="R212" i="92"/>
  <c r="R200" i="92"/>
  <c r="R188" i="92"/>
  <c r="R176" i="92"/>
  <c r="W1064" i="92"/>
  <c r="X1064" i="92"/>
  <c r="U1064" i="92"/>
  <c r="T1064" i="92"/>
  <c r="S1064" i="92"/>
  <c r="W980" i="92"/>
  <c r="X980" i="92"/>
  <c r="U980" i="92"/>
  <c r="T980" i="92"/>
  <c r="S980" i="92"/>
  <c r="W884" i="92"/>
  <c r="X884" i="92"/>
  <c r="U884" i="92"/>
  <c r="T884" i="92"/>
  <c r="S884" i="92"/>
  <c r="W800" i="92"/>
  <c r="X800" i="92"/>
  <c r="U800" i="92"/>
  <c r="T800" i="92"/>
  <c r="S800" i="92"/>
  <c r="W704" i="92"/>
  <c r="X704" i="92"/>
  <c r="U704" i="92"/>
  <c r="T704" i="92"/>
  <c r="S704" i="92"/>
  <c r="W572" i="92"/>
  <c r="X572" i="92"/>
  <c r="U572" i="92"/>
  <c r="T572" i="92"/>
  <c r="S572" i="92"/>
  <c r="U116" i="92"/>
  <c r="W116" i="92"/>
  <c r="X116" i="92"/>
  <c r="R116" i="92"/>
  <c r="T116" i="92"/>
  <c r="S116" i="92"/>
  <c r="AK28" i="92" l="1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H35" i="92" s="1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H47" i="92" s="1"/>
  <c r="AI48" i="92"/>
  <c r="AH48" i="92" s="1"/>
  <c r="AI49" i="92"/>
  <c r="AI50" i="92"/>
  <c r="AI51" i="92"/>
  <c r="AI52" i="92"/>
  <c r="AI53" i="92"/>
  <c r="AI54" i="92"/>
  <c r="AH54" i="92" s="1"/>
  <c r="AI55" i="92"/>
  <c r="AI56" i="92"/>
  <c r="AI57" i="92"/>
  <c r="AI58" i="92"/>
  <c r="AI59" i="92"/>
  <c r="AH59" i="92" s="1"/>
  <c r="AI60" i="92"/>
  <c r="AH60" i="92" s="1"/>
  <c r="AI61" i="92"/>
  <c r="AI62" i="92"/>
  <c r="AI63" i="92"/>
  <c r="AI64" i="92"/>
  <c r="AI65" i="92"/>
  <c r="AI66" i="92"/>
  <c r="AI67" i="92"/>
  <c r="AI68" i="92"/>
  <c r="AI69" i="92"/>
  <c r="AI70" i="92"/>
  <c r="AI71" i="92"/>
  <c r="AH71" i="92" s="1"/>
  <c r="AI72" i="92"/>
  <c r="AH72" i="92" s="1"/>
  <c r="AI73" i="92"/>
  <c r="AI74" i="92"/>
  <c r="AI75" i="92"/>
  <c r="AI76" i="92"/>
  <c r="AI27" i="92"/>
  <c r="AH42" i="92" l="1"/>
  <c r="AH30" i="92"/>
  <c r="AH65" i="92"/>
  <c r="AH53" i="92"/>
  <c r="AH29" i="92"/>
  <c r="AH41" i="92"/>
  <c r="AH36" i="92"/>
  <c r="AH66" i="92"/>
  <c r="AH76" i="92"/>
  <c r="AH64" i="92"/>
  <c r="AH52" i="92"/>
  <c r="AH40" i="92"/>
  <c r="AH28" i="92"/>
  <c r="AH75" i="92"/>
  <c r="AH63" i="92"/>
  <c r="AH51" i="92"/>
  <c r="AH39" i="92"/>
  <c r="AH74" i="92"/>
  <c r="AH62" i="92"/>
  <c r="AH50" i="92"/>
  <c r="AH38" i="92"/>
  <c r="AH73" i="92"/>
  <c r="AH61" i="92"/>
  <c r="AH49" i="92"/>
  <c r="AH37" i="92"/>
  <c r="AH67" i="92"/>
  <c r="AH55" i="92"/>
  <c r="AH43" i="92"/>
  <c r="AH31" i="92"/>
  <c r="AI23" i="92"/>
  <c r="AJ24" i="92"/>
  <c r="AK24" i="92"/>
  <c r="AH70" i="92"/>
  <c r="AH58" i="92"/>
  <c r="AH46" i="92"/>
  <c r="AH34" i="92"/>
  <c r="AH57" i="92"/>
  <c r="AH45" i="92"/>
  <c r="AH33" i="92"/>
  <c r="AH69" i="92"/>
  <c r="AH68" i="92"/>
  <c r="AH56" i="92"/>
  <c r="AH44" i="92"/>
  <c r="AH32" i="92"/>
  <c r="AE6" i="92" s="1"/>
  <c r="AH27" i="92"/>
  <c r="AI24" i="92"/>
  <c r="AE9" i="92"/>
  <c r="AE7" i="92" l="1"/>
  <c r="AE8" i="92"/>
  <c r="AE10" i="92"/>
  <c r="Z7" i="92"/>
  <c r="Z8" i="92"/>
  <c r="Z9" i="92"/>
  <c r="Z10" i="92"/>
  <c r="Z6" i="92"/>
  <c r="P25" i="92" l="1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Q2" i="92"/>
  <c r="P2" i="92"/>
  <c r="O2" i="92"/>
  <c r="N25" i="92" l="1"/>
  <c r="E15" i="92" l="1"/>
  <c r="N15" i="92" s="1"/>
  <c r="E16" i="92"/>
  <c r="N16" i="92" s="1"/>
  <c r="E11" i="92"/>
  <c r="N11" i="92" s="1"/>
  <c r="E12" i="92"/>
  <c r="N12" i="92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E7" i="92"/>
  <c r="N7" i="92" s="1"/>
  <c r="E8" i="92"/>
  <c r="N8" i="92" s="1"/>
  <c r="E9" i="92"/>
  <c r="N9" i="92" s="1"/>
  <c r="E10" i="92"/>
  <c r="N10" i="92" s="1"/>
  <c r="E13" i="92"/>
  <c r="N13" i="92" s="1"/>
  <c r="E14" i="92"/>
  <c r="N14" i="92" s="1"/>
  <c r="E17" i="92"/>
  <c r="E18" i="92"/>
  <c r="E19" i="92"/>
  <c r="E20" i="92"/>
  <c r="E5" i="92"/>
  <c r="N5" i="92" s="1"/>
  <c r="AK6" i="83" l="1"/>
  <c r="AK7" i="83"/>
  <c r="AK8" i="83"/>
  <c r="AK9" i="83"/>
  <c r="AK10" i="83"/>
  <c r="AK11" i="83"/>
  <c r="AK12" i="83"/>
  <c r="AK13" i="83"/>
  <c r="AK14" i="83"/>
  <c r="AK15" i="83"/>
  <c r="AK16" i="83"/>
  <c r="AK17" i="83"/>
  <c r="AK18" i="83"/>
  <c r="AK19" i="83"/>
  <c r="AK20" i="83"/>
  <c r="AK21" i="83"/>
  <c r="AK22" i="83"/>
  <c r="AK23" i="83"/>
  <c r="AK24" i="83"/>
  <c r="AK25" i="83"/>
  <c r="AK26" i="83"/>
  <c r="AK27" i="83"/>
  <c r="AK28" i="83"/>
  <c r="AK29" i="83"/>
  <c r="AK30" i="83"/>
  <c r="AK31" i="83"/>
  <c r="AK32" i="83"/>
  <c r="AK33" i="83"/>
  <c r="AK34" i="83"/>
  <c r="AK35" i="83"/>
  <c r="AK36" i="83"/>
  <c r="AK37" i="83"/>
  <c r="AK38" i="83"/>
  <c r="AK39" i="83"/>
  <c r="AK40" i="83"/>
  <c r="AK41" i="83"/>
  <c r="AK42" i="83"/>
  <c r="AK43" i="83"/>
  <c r="AK44" i="83"/>
  <c r="AK45" i="83"/>
  <c r="AK46" i="83"/>
  <c r="AK47" i="83"/>
  <c r="AK48" i="83"/>
  <c r="AK49" i="83"/>
  <c r="AK50" i="83"/>
  <c r="AK51" i="83"/>
  <c r="AK52" i="83"/>
  <c r="AK53" i="83"/>
  <c r="AK54" i="83"/>
  <c r="AK55" i="83"/>
  <c r="AK56" i="83"/>
  <c r="AK57" i="83"/>
  <c r="AK58" i="83"/>
  <c r="AK59" i="83"/>
  <c r="AK60" i="83"/>
  <c r="AK61" i="83"/>
  <c r="AK62" i="83"/>
  <c r="AK63" i="83"/>
  <c r="AK64" i="83"/>
  <c r="AK65" i="83"/>
  <c r="AK66" i="83"/>
  <c r="AK67" i="83"/>
  <c r="AK68" i="83"/>
  <c r="AK69" i="83"/>
  <c r="AK70" i="83"/>
  <c r="AK71" i="83"/>
  <c r="AK72" i="83"/>
  <c r="AK73" i="83"/>
  <c r="AK74" i="83"/>
  <c r="AK75" i="83"/>
  <c r="AK76" i="83"/>
  <c r="AK77" i="83"/>
  <c r="AK78" i="83"/>
  <c r="AK79" i="83"/>
  <c r="AK80" i="83"/>
  <c r="AK81" i="83"/>
  <c r="AK82" i="83"/>
  <c r="AK83" i="83"/>
  <c r="AK84" i="83"/>
  <c r="AK85" i="83"/>
  <c r="AK86" i="83"/>
  <c r="AK87" i="83"/>
  <c r="AK88" i="83"/>
  <c r="AK89" i="83"/>
  <c r="AK90" i="83"/>
  <c r="AK91" i="83"/>
  <c r="AK92" i="83"/>
  <c r="AK93" i="83"/>
  <c r="AK94" i="83"/>
  <c r="AK95" i="83"/>
  <c r="AK96" i="83"/>
  <c r="AK97" i="83"/>
  <c r="AK98" i="83"/>
  <c r="AK99" i="83"/>
  <c r="AK100" i="83"/>
  <c r="AK101" i="83"/>
  <c r="AK102" i="83"/>
  <c r="AK103" i="83"/>
  <c r="AK104" i="83"/>
  <c r="AA6" i="83"/>
  <c r="AA7" i="83"/>
  <c r="AA8" i="83"/>
  <c r="AA9" i="83"/>
  <c r="AA10" i="83"/>
  <c r="AA11" i="83"/>
  <c r="AA12" i="83"/>
  <c r="AA13" i="83"/>
  <c r="AA14" i="83"/>
  <c r="AA15" i="83"/>
  <c r="AA16" i="83"/>
  <c r="AA17" i="83"/>
  <c r="AA18" i="83"/>
  <c r="AA19" i="83"/>
  <c r="AA20" i="83"/>
  <c r="AA21" i="83"/>
  <c r="AA22" i="83"/>
  <c r="AA23" i="83"/>
  <c r="AA24" i="83"/>
  <c r="AA25" i="83"/>
  <c r="AA26" i="83"/>
  <c r="AA27" i="83"/>
  <c r="AA28" i="83"/>
  <c r="AA29" i="83"/>
  <c r="AA30" i="83"/>
  <c r="AA31" i="83"/>
  <c r="AA32" i="83"/>
  <c r="AA33" i="83"/>
  <c r="AA34" i="83"/>
  <c r="AA35" i="83"/>
  <c r="AA36" i="83"/>
  <c r="AA37" i="83"/>
  <c r="AA38" i="83"/>
  <c r="AA39" i="83"/>
  <c r="AA40" i="83"/>
  <c r="AA41" i="83"/>
  <c r="AA42" i="83"/>
  <c r="AA43" i="83"/>
  <c r="AA44" i="83"/>
  <c r="AA45" i="83"/>
  <c r="AA46" i="83"/>
  <c r="AA47" i="83"/>
  <c r="AA48" i="83"/>
  <c r="AA49" i="83"/>
  <c r="AA50" i="83"/>
  <c r="AA51" i="83"/>
  <c r="AA52" i="83"/>
  <c r="AA53" i="83"/>
  <c r="AA54" i="83"/>
  <c r="AA55" i="83"/>
  <c r="AA56" i="83"/>
  <c r="AA57" i="83"/>
  <c r="AA58" i="83"/>
  <c r="AA59" i="83"/>
  <c r="AA60" i="83"/>
  <c r="AA61" i="83"/>
  <c r="AA62" i="83"/>
  <c r="AA63" i="83"/>
  <c r="AA64" i="83"/>
  <c r="AA65" i="83"/>
  <c r="AA66" i="83"/>
  <c r="AA67" i="83"/>
  <c r="AA68" i="83"/>
  <c r="AA69" i="83"/>
  <c r="AA70" i="83"/>
  <c r="AA71" i="83"/>
  <c r="AA72" i="83"/>
  <c r="AA73" i="83"/>
  <c r="AA74" i="83"/>
  <c r="AA75" i="83"/>
  <c r="AA76" i="83"/>
  <c r="AA77" i="83"/>
  <c r="AA78" i="83"/>
  <c r="AA79" i="83"/>
  <c r="AA80" i="83"/>
  <c r="AA81" i="83"/>
  <c r="AA82" i="83"/>
  <c r="AA83" i="83"/>
  <c r="AA84" i="83"/>
  <c r="AA85" i="83"/>
  <c r="AA86" i="83"/>
  <c r="AA87" i="83"/>
  <c r="AA88" i="83"/>
  <c r="AA89" i="83"/>
  <c r="AA90" i="83"/>
  <c r="AA91" i="83"/>
  <c r="AA92" i="83"/>
  <c r="AA93" i="83"/>
  <c r="AA94" i="83"/>
  <c r="AA95" i="83"/>
  <c r="AA96" i="83"/>
  <c r="AA97" i="83"/>
  <c r="AA98" i="83"/>
  <c r="AA99" i="83"/>
  <c r="AA100" i="83"/>
  <c r="AA101" i="83"/>
  <c r="AA102" i="83"/>
  <c r="AA103" i="83"/>
  <c r="AA104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63" i="83"/>
  <c r="Q64" i="83"/>
  <c r="Q65" i="83"/>
  <c r="Q66" i="83"/>
  <c r="Q67" i="83"/>
  <c r="Q68" i="83"/>
  <c r="Q69" i="83"/>
  <c r="Q70" i="83"/>
  <c r="Q71" i="83"/>
  <c r="Q72" i="83"/>
  <c r="Q73" i="83"/>
  <c r="Q74" i="83"/>
  <c r="Q75" i="83"/>
  <c r="Q76" i="83"/>
  <c r="Q77" i="83"/>
  <c r="Q78" i="83"/>
  <c r="Q79" i="83"/>
  <c r="Q80" i="83"/>
  <c r="Q81" i="83"/>
  <c r="Q82" i="83"/>
  <c r="Q83" i="83"/>
  <c r="Q84" i="83"/>
  <c r="Q85" i="83"/>
  <c r="Q86" i="83"/>
  <c r="Q87" i="83"/>
  <c r="Q88" i="83"/>
  <c r="Q89" i="83"/>
  <c r="Q90" i="83"/>
  <c r="Q91" i="83"/>
  <c r="Q92" i="83"/>
  <c r="Q93" i="83"/>
  <c r="Q94" i="83"/>
  <c r="Q95" i="83"/>
  <c r="Q96" i="83"/>
  <c r="Q97" i="83"/>
  <c r="Q98" i="83"/>
  <c r="Q99" i="83"/>
  <c r="Q100" i="83"/>
  <c r="Q101" i="83"/>
  <c r="Q102" i="83"/>
  <c r="Q103" i="83"/>
  <c r="Q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K5" i="83"/>
  <c r="AA5" i="83"/>
  <c r="Q5" i="83"/>
  <c r="G5" i="83"/>
  <c r="B17" i="85" l="1"/>
  <c r="B12" i="85"/>
  <c r="N254" i="90" l="1"/>
  <c r="N398" i="90"/>
  <c r="L38" i="90"/>
  <c r="L39" i="90"/>
  <c r="L40" i="90"/>
  <c r="P40" i="90" s="1"/>
  <c r="L41" i="90"/>
  <c r="L42" i="90"/>
  <c r="L43" i="90"/>
  <c r="L44" i="90"/>
  <c r="L45" i="90"/>
  <c r="P45" i="90" s="1"/>
  <c r="L46" i="90"/>
  <c r="N46" i="90" s="1"/>
  <c r="L47" i="90"/>
  <c r="L48" i="90"/>
  <c r="N48" i="90" s="1"/>
  <c r="L49" i="90"/>
  <c r="L50" i="90"/>
  <c r="L51" i="90"/>
  <c r="N51" i="90" s="1"/>
  <c r="L52" i="90"/>
  <c r="L53" i="90"/>
  <c r="L54" i="90"/>
  <c r="L55" i="90"/>
  <c r="L56" i="90"/>
  <c r="N56" i="90" s="1"/>
  <c r="L57" i="90"/>
  <c r="P57" i="90" s="1"/>
  <c r="L58" i="90"/>
  <c r="N58" i="90" s="1"/>
  <c r="L59" i="90"/>
  <c r="L60" i="90"/>
  <c r="N60" i="90" s="1"/>
  <c r="L61" i="90"/>
  <c r="L62" i="90"/>
  <c r="L63" i="90"/>
  <c r="L64" i="90"/>
  <c r="L65" i="90"/>
  <c r="L66" i="90"/>
  <c r="L67" i="90"/>
  <c r="L68" i="90"/>
  <c r="N68" i="90" s="1"/>
  <c r="L69" i="90"/>
  <c r="P69" i="90" s="1"/>
  <c r="L70" i="90"/>
  <c r="L71" i="90"/>
  <c r="L72" i="90"/>
  <c r="L73" i="90"/>
  <c r="L74" i="90"/>
  <c r="L75" i="90"/>
  <c r="L76" i="90"/>
  <c r="L77" i="90"/>
  <c r="L78" i="90"/>
  <c r="L79" i="90"/>
  <c r="L80" i="90"/>
  <c r="N80" i="90" s="1"/>
  <c r="L81" i="90"/>
  <c r="P81" i="90" s="1"/>
  <c r="L82" i="90"/>
  <c r="N82" i="90" s="1"/>
  <c r="L83" i="90"/>
  <c r="L84" i="90"/>
  <c r="N84" i="90" s="1"/>
  <c r="L85" i="90"/>
  <c r="L86" i="90"/>
  <c r="L87" i="90"/>
  <c r="N87" i="90" s="1"/>
  <c r="L88" i="90"/>
  <c r="P88" i="90" s="1"/>
  <c r="L89" i="90"/>
  <c r="L90" i="90"/>
  <c r="L91" i="90"/>
  <c r="L92" i="90"/>
  <c r="N92" i="90" s="1"/>
  <c r="L93" i="90"/>
  <c r="P93" i="90" s="1"/>
  <c r="L94" i="90"/>
  <c r="N94" i="90" s="1"/>
  <c r="L95" i="90"/>
  <c r="L96" i="90"/>
  <c r="N96" i="90" s="1"/>
  <c r="L97" i="90"/>
  <c r="L98" i="90"/>
  <c r="L99" i="90"/>
  <c r="L100" i="90"/>
  <c r="L101" i="90"/>
  <c r="L102" i="90"/>
  <c r="L103" i="90"/>
  <c r="L104" i="90"/>
  <c r="N104" i="90" s="1"/>
  <c r="L105" i="90"/>
  <c r="P105" i="90" s="1"/>
  <c r="L106" i="90"/>
  <c r="L107" i="90"/>
  <c r="L108" i="90"/>
  <c r="L109" i="90"/>
  <c r="L110" i="90"/>
  <c r="L111" i="90"/>
  <c r="L112" i="90"/>
  <c r="L113" i="90"/>
  <c r="L114" i="90"/>
  <c r="L115" i="90"/>
  <c r="L116" i="90"/>
  <c r="N116" i="90" s="1"/>
  <c r="L117" i="90"/>
  <c r="P117" i="90" s="1"/>
  <c r="L118" i="90"/>
  <c r="N118" i="90" s="1"/>
  <c r="L119" i="90"/>
  <c r="L120" i="90"/>
  <c r="N120" i="90" s="1"/>
  <c r="L121" i="90"/>
  <c r="L122" i="90"/>
  <c r="L123" i="90"/>
  <c r="N123" i="90" s="1"/>
  <c r="L124" i="90"/>
  <c r="L125" i="90"/>
  <c r="L126" i="90"/>
  <c r="L127" i="90"/>
  <c r="L128" i="90"/>
  <c r="N128" i="90" s="1"/>
  <c r="L129" i="90"/>
  <c r="P129" i="90" s="1"/>
  <c r="L130" i="90"/>
  <c r="N130" i="90" s="1"/>
  <c r="L131" i="90"/>
  <c r="L132" i="90"/>
  <c r="N132" i="90" s="1"/>
  <c r="L133" i="90"/>
  <c r="L134" i="90"/>
  <c r="L135" i="90"/>
  <c r="L136" i="90"/>
  <c r="P136" i="90" s="1"/>
  <c r="L137" i="90"/>
  <c r="L138" i="90"/>
  <c r="L139" i="90"/>
  <c r="L140" i="90"/>
  <c r="N140" i="90" s="1"/>
  <c r="L141" i="90"/>
  <c r="P141" i="90" s="1"/>
  <c r="L142" i="90"/>
  <c r="Q142" i="90" s="1"/>
  <c r="L143" i="90"/>
  <c r="L144" i="90"/>
  <c r="L145" i="90"/>
  <c r="L146" i="90"/>
  <c r="L147" i="90"/>
  <c r="L148" i="90"/>
  <c r="L149" i="90"/>
  <c r="L150" i="90"/>
  <c r="L151" i="90"/>
  <c r="L152" i="90"/>
  <c r="N152" i="90" s="1"/>
  <c r="L153" i="90"/>
  <c r="P153" i="90" s="1"/>
  <c r="L154" i="90"/>
  <c r="N154" i="90" s="1"/>
  <c r="L155" i="90"/>
  <c r="L156" i="90"/>
  <c r="N156" i="90" s="1"/>
  <c r="L157" i="90"/>
  <c r="L158" i="90"/>
  <c r="L159" i="90"/>
  <c r="N159" i="90" s="1"/>
  <c r="L160" i="90"/>
  <c r="L161" i="90"/>
  <c r="L162" i="90"/>
  <c r="L163" i="90"/>
  <c r="L164" i="90"/>
  <c r="N164" i="90" s="1"/>
  <c r="L165" i="90"/>
  <c r="P165" i="90" s="1"/>
  <c r="L166" i="90"/>
  <c r="N166" i="90" s="1"/>
  <c r="L167" i="90"/>
  <c r="L168" i="90"/>
  <c r="N168" i="90" s="1"/>
  <c r="L169" i="90"/>
  <c r="L170" i="90"/>
  <c r="L171" i="90"/>
  <c r="L172" i="90"/>
  <c r="L173" i="90"/>
  <c r="L174" i="90"/>
  <c r="L175" i="90"/>
  <c r="L176" i="90"/>
  <c r="N176" i="90" s="1"/>
  <c r="L177" i="90"/>
  <c r="P177" i="90" s="1"/>
  <c r="L178" i="90"/>
  <c r="L179" i="90"/>
  <c r="L180" i="90"/>
  <c r="L181" i="90"/>
  <c r="L182" i="90"/>
  <c r="L183" i="90"/>
  <c r="L184" i="90"/>
  <c r="P184" i="90" s="1"/>
  <c r="L185" i="90"/>
  <c r="L186" i="90"/>
  <c r="L187" i="90"/>
  <c r="L188" i="90"/>
  <c r="N188" i="90" s="1"/>
  <c r="L189" i="90"/>
  <c r="P189" i="90" s="1"/>
  <c r="L190" i="90"/>
  <c r="N190" i="90" s="1"/>
  <c r="L191" i="90"/>
  <c r="L192" i="90"/>
  <c r="N192" i="90" s="1"/>
  <c r="L193" i="90"/>
  <c r="L194" i="90"/>
  <c r="L195" i="90"/>
  <c r="N195" i="90" s="1"/>
  <c r="L196" i="90"/>
  <c r="L197" i="90"/>
  <c r="L198" i="90"/>
  <c r="L199" i="90"/>
  <c r="L200" i="90"/>
  <c r="N200" i="90" s="1"/>
  <c r="L201" i="90"/>
  <c r="P201" i="90" s="1"/>
  <c r="L202" i="90"/>
  <c r="N202" i="90" s="1"/>
  <c r="L203" i="90"/>
  <c r="L204" i="90"/>
  <c r="N204" i="90" s="1"/>
  <c r="L205" i="90"/>
  <c r="R205" i="90" s="1"/>
  <c r="S205" i="90" s="1"/>
  <c r="L206" i="90"/>
  <c r="L207" i="90"/>
  <c r="L208" i="90"/>
  <c r="L209" i="90"/>
  <c r="L210" i="90"/>
  <c r="L211" i="90"/>
  <c r="L212" i="90"/>
  <c r="N212" i="90" s="1"/>
  <c r="L213" i="90"/>
  <c r="P213" i="90" s="1"/>
  <c r="L214" i="90"/>
  <c r="N214" i="90" s="1"/>
  <c r="L215" i="90"/>
  <c r="L216" i="90"/>
  <c r="N216" i="90" s="1"/>
  <c r="L217" i="90"/>
  <c r="N217" i="90" s="1"/>
  <c r="L218" i="90"/>
  <c r="N218" i="90" s="1"/>
  <c r="L219" i="90"/>
  <c r="L220" i="90"/>
  <c r="L221" i="90"/>
  <c r="L222" i="90"/>
  <c r="L223" i="90"/>
  <c r="L224" i="90"/>
  <c r="N224" i="90" s="1"/>
  <c r="L225" i="90"/>
  <c r="N225" i="90" s="1"/>
  <c r="L226" i="90"/>
  <c r="N226" i="90" s="1"/>
  <c r="L227" i="90"/>
  <c r="L228" i="90"/>
  <c r="N228" i="90" s="1"/>
  <c r="L229" i="90"/>
  <c r="N229" i="90" s="1"/>
  <c r="L230" i="90"/>
  <c r="N230" i="90" s="1"/>
  <c r="L231" i="90"/>
  <c r="N231" i="90" s="1"/>
  <c r="L232" i="90"/>
  <c r="P232" i="90" s="1"/>
  <c r="L233" i="90"/>
  <c r="L234" i="90"/>
  <c r="L235" i="90"/>
  <c r="L236" i="90"/>
  <c r="N236" i="90" s="1"/>
  <c r="L237" i="90"/>
  <c r="N237" i="90" s="1"/>
  <c r="L238" i="90"/>
  <c r="L239" i="90"/>
  <c r="N239" i="90" s="1"/>
  <c r="L240" i="90"/>
  <c r="N240" i="90" s="1"/>
  <c r="L241" i="90"/>
  <c r="N241" i="90" s="1"/>
  <c r="L242" i="90"/>
  <c r="N242" i="90" s="1"/>
  <c r="L243" i="90"/>
  <c r="N243" i="90" s="1"/>
  <c r="L244" i="90"/>
  <c r="N244" i="90" s="1"/>
  <c r="L245" i="90"/>
  <c r="L246" i="90"/>
  <c r="L247" i="90"/>
  <c r="L248" i="90"/>
  <c r="N248" i="90" s="1"/>
  <c r="L249" i="90"/>
  <c r="P249" i="90" s="1"/>
  <c r="L250" i="90"/>
  <c r="N250" i="90" s="1"/>
  <c r="L251" i="90"/>
  <c r="L252" i="90"/>
  <c r="L253" i="90"/>
  <c r="N253" i="90" s="1"/>
  <c r="L254" i="90"/>
  <c r="L255" i="90"/>
  <c r="L256" i="90"/>
  <c r="N256" i="90" s="1"/>
  <c r="L257" i="90"/>
  <c r="L258" i="90"/>
  <c r="L259" i="90"/>
  <c r="L260" i="90"/>
  <c r="N260" i="90" s="1"/>
  <c r="L261" i="90"/>
  <c r="N261" i="90" s="1"/>
  <c r="L262" i="90"/>
  <c r="N262" i="90" s="1"/>
  <c r="L263" i="90"/>
  <c r="N263" i="90" s="1"/>
  <c r="L264" i="90"/>
  <c r="N264" i="90" s="1"/>
  <c r="L265" i="90"/>
  <c r="N265" i="90" s="1"/>
  <c r="L266" i="90"/>
  <c r="N266" i="90" s="1"/>
  <c r="L267" i="90"/>
  <c r="N267" i="90" s="1"/>
  <c r="L268" i="90"/>
  <c r="N268" i="90" s="1"/>
  <c r="L269" i="90"/>
  <c r="L270" i="90"/>
  <c r="L271" i="90"/>
  <c r="L272" i="90"/>
  <c r="N272" i="90" s="1"/>
  <c r="L273" i="90"/>
  <c r="N273" i="90" s="1"/>
  <c r="L274" i="90"/>
  <c r="N274" i="90" s="1"/>
  <c r="L275" i="90"/>
  <c r="N275" i="90" s="1"/>
  <c r="L276" i="90"/>
  <c r="N276" i="90" s="1"/>
  <c r="L277" i="90"/>
  <c r="N277" i="90" s="1"/>
  <c r="L278" i="90"/>
  <c r="N278" i="90" s="1"/>
  <c r="L279" i="90"/>
  <c r="N279" i="90" s="1"/>
  <c r="L280" i="90"/>
  <c r="P280" i="90" s="1"/>
  <c r="L281" i="90"/>
  <c r="L282" i="90"/>
  <c r="L283" i="90"/>
  <c r="L284" i="90"/>
  <c r="N284" i="90" s="1"/>
  <c r="L285" i="90"/>
  <c r="N285" i="90" s="1"/>
  <c r="L286" i="90"/>
  <c r="L287" i="90"/>
  <c r="L288" i="90"/>
  <c r="N288" i="90" s="1"/>
  <c r="L289" i="90"/>
  <c r="Q289" i="90" s="1"/>
  <c r="L290" i="90"/>
  <c r="N290" i="90" s="1"/>
  <c r="L291" i="90"/>
  <c r="N291" i="90" s="1"/>
  <c r="L292" i="90"/>
  <c r="N292" i="90" s="1"/>
  <c r="L293" i="90"/>
  <c r="L294" i="90"/>
  <c r="L295" i="90"/>
  <c r="L296" i="90"/>
  <c r="N296" i="90" s="1"/>
  <c r="L297" i="90"/>
  <c r="P297" i="90" s="1"/>
  <c r="L298" i="90"/>
  <c r="N298" i="90" s="1"/>
  <c r="L299" i="90"/>
  <c r="N299" i="90" s="1"/>
  <c r="L300" i="90"/>
  <c r="L301" i="90"/>
  <c r="N301" i="90" s="1"/>
  <c r="L302" i="90"/>
  <c r="N302" i="90" s="1"/>
  <c r="L303" i="90"/>
  <c r="L304" i="90"/>
  <c r="N304" i="90" s="1"/>
  <c r="L305" i="90"/>
  <c r="L306" i="90"/>
  <c r="L307" i="90"/>
  <c r="L308" i="90"/>
  <c r="N308" i="90" s="1"/>
  <c r="L309" i="90"/>
  <c r="N309" i="90" s="1"/>
  <c r="L310" i="90"/>
  <c r="N310" i="90" s="1"/>
  <c r="L311" i="90"/>
  <c r="N311" i="90" s="1"/>
  <c r="L312" i="90"/>
  <c r="N312" i="90" s="1"/>
  <c r="L313" i="90"/>
  <c r="N313" i="90" s="1"/>
  <c r="L314" i="90"/>
  <c r="N314" i="90" s="1"/>
  <c r="L315" i="90"/>
  <c r="N315" i="90" s="1"/>
  <c r="L316" i="90"/>
  <c r="N316" i="90" s="1"/>
  <c r="L317" i="90"/>
  <c r="L318" i="90"/>
  <c r="L319" i="90"/>
  <c r="L320" i="90"/>
  <c r="N320" i="90" s="1"/>
  <c r="L321" i="90"/>
  <c r="N321" i="90" s="1"/>
  <c r="L322" i="90"/>
  <c r="N322" i="90" s="1"/>
  <c r="L323" i="90"/>
  <c r="L324" i="90"/>
  <c r="N324" i="90" s="1"/>
  <c r="L325" i="90"/>
  <c r="N325" i="90" s="1"/>
  <c r="L326" i="90"/>
  <c r="N326" i="90" s="1"/>
  <c r="L327" i="90"/>
  <c r="N327" i="90" s="1"/>
  <c r="L328" i="90"/>
  <c r="P328" i="90" s="1"/>
  <c r="L329" i="90"/>
  <c r="L330" i="90"/>
  <c r="L331" i="90"/>
  <c r="L332" i="90"/>
  <c r="N332" i="90" s="1"/>
  <c r="L333" i="90"/>
  <c r="N333" i="90" s="1"/>
  <c r="L334" i="90"/>
  <c r="L335" i="90"/>
  <c r="N335" i="90" s="1"/>
  <c r="L336" i="90"/>
  <c r="N336" i="90" s="1"/>
  <c r="L337" i="90"/>
  <c r="N337" i="90" s="1"/>
  <c r="L338" i="90"/>
  <c r="N338" i="90" s="1"/>
  <c r="L339" i="90"/>
  <c r="N339" i="90" s="1"/>
  <c r="L340" i="90"/>
  <c r="N340" i="90" s="1"/>
  <c r="L341" i="90"/>
  <c r="L342" i="90"/>
  <c r="L343" i="90"/>
  <c r="L344" i="90"/>
  <c r="N344" i="90" s="1"/>
  <c r="L345" i="90"/>
  <c r="P345" i="90" s="1"/>
  <c r="L346" i="90"/>
  <c r="N346" i="90" s="1"/>
  <c r="L347" i="90"/>
  <c r="N347" i="90" s="1"/>
  <c r="L348" i="90"/>
  <c r="L349" i="90"/>
  <c r="N349" i="90" s="1"/>
  <c r="L350" i="90"/>
  <c r="N350" i="90" s="1"/>
  <c r="L351" i="90"/>
  <c r="L352" i="90"/>
  <c r="N352" i="90" s="1"/>
  <c r="L353" i="90"/>
  <c r="L354" i="90"/>
  <c r="L355" i="90"/>
  <c r="L356" i="90"/>
  <c r="N356" i="90" s="1"/>
  <c r="L357" i="90"/>
  <c r="N357" i="90" s="1"/>
  <c r="L358" i="90"/>
  <c r="N358" i="90" s="1"/>
  <c r="L359" i="90"/>
  <c r="L360" i="90"/>
  <c r="N360" i="90" s="1"/>
  <c r="L361" i="90"/>
  <c r="N361" i="90" s="1"/>
  <c r="L362" i="90"/>
  <c r="N362" i="90" s="1"/>
  <c r="L363" i="90"/>
  <c r="N363" i="90" s="1"/>
  <c r="L364" i="90"/>
  <c r="N364" i="90" s="1"/>
  <c r="L365" i="90"/>
  <c r="L366" i="90"/>
  <c r="L367" i="90"/>
  <c r="L368" i="90"/>
  <c r="N368" i="90" s="1"/>
  <c r="L369" i="90"/>
  <c r="N369" i="90" s="1"/>
  <c r="L370" i="90"/>
  <c r="N370" i="90" s="1"/>
  <c r="L371" i="90"/>
  <c r="N371" i="90" s="1"/>
  <c r="L372" i="90"/>
  <c r="N372" i="90" s="1"/>
  <c r="L373" i="90"/>
  <c r="N373" i="90" s="1"/>
  <c r="L374" i="90"/>
  <c r="N374" i="90" s="1"/>
  <c r="L375" i="90"/>
  <c r="N375" i="90" s="1"/>
  <c r="L376" i="90"/>
  <c r="P376" i="90" s="1"/>
  <c r="L377" i="90"/>
  <c r="L378" i="90"/>
  <c r="L379" i="90"/>
  <c r="L380" i="90"/>
  <c r="L381" i="90"/>
  <c r="N381" i="90" s="1"/>
  <c r="L382" i="90"/>
  <c r="L383" i="90"/>
  <c r="L384" i="90"/>
  <c r="N384" i="90" s="1"/>
  <c r="L385" i="90"/>
  <c r="N385" i="90" s="1"/>
  <c r="L386" i="90"/>
  <c r="N386" i="90" s="1"/>
  <c r="L387" i="90"/>
  <c r="N387" i="90" s="1"/>
  <c r="L388" i="90"/>
  <c r="N388" i="90" s="1"/>
  <c r="L389" i="90"/>
  <c r="L390" i="90"/>
  <c r="L391" i="90"/>
  <c r="L392" i="90"/>
  <c r="N392" i="90" s="1"/>
  <c r="L393" i="90"/>
  <c r="P393" i="90" s="1"/>
  <c r="L394" i="90"/>
  <c r="N394" i="90" s="1"/>
  <c r="L395" i="90"/>
  <c r="N395" i="90" s="1"/>
  <c r="L396" i="90"/>
  <c r="R396" i="90" s="1"/>
  <c r="S396" i="90" s="1"/>
  <c r="L397" i="90"/>
  <c r="N397" i="90" s="1"/>
  <c r="L398" i="90"/>
  <c r="L399" i="90"/>
  <c r="L400" i="90"/>
  <c r="N400" i="90" s="1"/>
  <c r="L401" i="90"/>
  <c r="L402" i="90"/>
  <c r="L403" i="90"/>
  <c r="L404" i="90"/>
  <c r="L405" i="90"/>
  <c r="N405" i="90" s="1"/>
  <c r="L406" i="90"/>
  <c r="N406" i="90" s="1"/>
  <c r="L407" i="90"/>
  <c r="N407" i="90" s="1"/>
  <c r="L408" i="90"/>
  <c r="N408" i="90" s="1"/>
  <c r="L409" i="90"/>
  <c r="N409" i="90" s="1"/>
  <c r="L410" i="90"/>
  <c r="N410" i="90" s="1"/>
  <c r="L411" i="90"/>
  <c r="N411" i="90" s="1"/>
  <c r="L412" i="90"/>
  <c r="N412" i="90" s="1"/>
  <c r="L413" i="90"/>
  <c r="L414" i="90"/>
  <c r="L415" i="90"/>
  <c r="L416" i="90"/>
  <c r="N416" i="90" s="1"/>
  <c r="L417" i="90"/>
  <c r="N417" i="90" s="1"/>
  <c r="L418" i="90"/>
  <c r="N418" i="90" s="1"/>
  <c r="L419" i="90"/>
  <c r="L420" i="90"/>
  <c r="N420" i="90" s="1"/>
  <c r="L421" i="90"/>
  <c r="N421" i="90" s="1"/>
  <c r="L422" i="90"/>
  <c r="N422" i="90" s="1"/>
  <c r="L423" i="90"/>
  <c r="N423" i="90" s="1"/>
  <c r="L424" i="90"/>
  <c r="P424" i="90" s="1"/>
  <c r="L425" i="90"/>
  <c r="L426" i="90"/>
  <c r="L427" i="90"/>
  <c r="L428" i="90"/>
  <c r="L429" i="90"/>
  <c r="N429" i="90" s="1"/>
  <c r="L430" i="90"/>
  <c r="L431" i="90"/>
  <c r="L432" i="90"/>
  <c r="N432" i="90" s="1"/>
  <c r="L433" i="90"/>
  <c r="N433" i="90" s="1"/>
  <c r="L434" i="90"/>
  <c r="N434" i="90" s="1"/>
  <c r="L435" i="90"/>
  <c r="N435" i="90" s="1"/>
  <c r="L436" i="90"/>
  <c r="N436" i="90" s="1"/>
  <c r="L437" i="90"/>
  <c r="L438" i="90"/>
  <c r="L439" i="90"/>
  <c r="L440" i="90"/>
  <c r="L441" i="90"/>
  <c r="P441" i="90" s="1"/>
  <c r="L442" i="90"/>
  <c r="L443" i="90"/>
  <c r="N443" i="90" s="1"/>
  <c r="L444" i="90"/>
  <c r="L445" i="90"/>
  <c r="N445" i="90" s="1"/>
  <c r="L446" i="90"/>
  <c r="N446" i="90" s="1"/>
  <c r="L447" i="90"/>
  <c r="L448" i="90"/>
  <c r="N448" i="90" s="1"/>
  <c r="L449" i="90"/>
  <c r="L450" i="90"/>
  <c r="L451" i="90"/>
  <c r="L452" i="90"/>
  <c r="N452" i="90" s="1"/>
  <c r="L453" i="90"/>
  <c r="N453" i="90" s="1"/>
  <c r="L454" i="90"/>
  <c r="N454" i="90" s="1"/>
  <c r="L455" i="90"/>
  <c r="N455" i="90" s="1"/>
  <c r="L456" i="90"/>
  <c r="N456" i="90" s="1"/>
  <c r="L457" i="90"/>
  <c r="N457" i="90" s="1"/>
  <c r="L458" i="90"/>
  <c r="N458" i="90" s="1"/>
  <c r="L459" i="90"/>
  <c r="N459" i="90" s="1"/>
  <c r="L460" i="90"/>
  <c r="P460" i="90" s="1"/>
  <c r="L461" i="90"/>
  <c r="L462" i="90"/>
  <c r="L463" i="90"/>
  <c r="L464" i="90"/>
  <c r="L465" i="90"/>
  <c r="L466" i="90"/>
  <c r="N466" i="90" s="1"/>
  <c r="L467" i="90"/>
  <c r="L468" i="90"/>
  <c r="N468" i="90" s="1"/>
  <c r="L469" i="90"/>
  <c r="N469" i="90" s="1"/>
  <c r="L470" i="90"/>
  <c r="N470" i="90" s="1"/>
  <c r="L471" i="90"/>
  <c r="N471" i="90" s="1"/>
  <c r="L472" i="90"/>
  <c r="P472" i="90" s="1"/>
  <c r="L473" i="90"/>
  <c r="L474" i="90"/>
  <c r="L475" i="90"/>
  <c r="L476" i="90"/>
  <c r="L477" i="90"/>
  <c r="N477" i="90" s="1"/>
  <c r="L37" i="90"/>
  <c r="R37" i="90" s="1"/>
  <c r="S37" i="90" s="1"/>
  <c r="U401" i="90" l="1"/>
  <c r="T401" i="90"/>
  <c r="P401" i="90"/>
  <c r="T305" i="90"/>
  <c r="P305" i="90"/>
  <c r="T197" i="90"/>
  <c r="U197" i="90"/>
  <c r="N197" i="90"/>
  <c r="P197" i="90"/>
  <c r="T65" i="90"/>
  <c r="U65" i="90"/>
  <c r="N65" i="90"/>
  <c r="P65" i="90"/>
  <c r="T431" i="90"/>
  <c r="P431" i="90"/>
  <c r="U359" i="90"/>
  <c r="T359" i="90"/>
  <c r="P359" i="90"/>
  <c r="T287" i="90"/>
  <c r="P287" i="90"/>
  <c r="T203" i="90"/>
  <c r="P203" i="90"/>
  <c r="N203" i="90"/>
  <c r="T95" i="90"/>
  <c r="P95" i="90"/>
  <c r="N95" i="90"/>
  <c r="T442" i="90"/>
  <c r="U442" i="90"/>
  <c r="P442" i="90"/>
  <c r="U465" i="90"/>
  <c r="T465" i="90"/>
  <c r="T476" i="90"/>
  <c r="P476" i="90"/>
  <c r="U464" i="90"/>
  <c r="T464" i="90"/>
  <c r="P464" i="90"/>
  <c r="T440" i="90"/>
  <c r="U440" i="90"/>
  <c r="P440" i="90"/>
  <c r="U428" i="90"/>
  <c r="T428" i="90"/>
  <c r="P428" i="90"/>
  <c r="U404" i="90"/>
  <c r="T404" i="90"/>
  <c r="P404" i="90"/>
  <c r="T380" i="90"/>
  <c r="U380" i="90"/>
  <c r="P380" i="90"/>
  <c r="T475" i="90"/>
  <c r="P475" i="90"/>
  <c r="U463" i="90"/>
  <c r="T463" i="90"/>
  <c r="P463" i="90"/>
  <c r="T451" i="90"/>
  <c r="U451" i="90"/>
  <c r="P451" i="90"/>
  <c r="T439" i="90"/>
  <c r="U439" i="90"/>
  <c r="P439" i="90"/>
  <c r="T427" i="90"/>
  <c r="U427" i="90"/>
  <c r="P427" i="90"/>
  <c r="T415" i="90"/>
  <c r="P415" i="90"/>
  <c r="Q415" i="90"/>
  <c r="R415" i="90"/>
  <c r="S415" i="90" s="1"/>
  <c r="U403" i="90"/>
  <c r="T403" i="90"/>
  <c r="P403" i="90"/>
  <c r="T391" i="90"/>
  <c r="P391" i="90"/>
  <c r="T379" i="90"/>
  <c r="U379" i="90"/>
  <c r="P379" i="90"/>
  <c r="U367" i="90"/>
  <c r="T367" i="90"/>
  <c r="P367" i="90"/>
  <c r="U355" i="90"/>
  <c r="T355" i="90"/>
  <c r="P355" i="90"/>
  <c r="T343" i="90"/>
  <c r="U343" i="90"/>
  <c r="P343" i="90"/>
  <c r="T331" i="90"/>
  <c r="U331" i="90"/>
  <c r="P331" i="90"/>
  <c r="O331" i="90"/>
  <c r="R331" i="90"/>
  <c r="S331" i="90" s="1"/>
  <c r="U319" i="90"/>
  <c r="T319" i="90"/>
  <c r="P319" i="90"/>
  <c r="T307" i="90"/>
  <c r="P307" i="90"/>
  <c r="U295" i="90"/>
  <c r="T295" i="90"/>
  <c r="P295" i="90"/>
  <c r="T283" i="90"/>
  <c r="U283" i="90"/>
  <c r="P283" i="90"/>
  <c r="T271" i="90"/>
  <c r="U271" i="90"/>
  <c r="P271" i="90"/>
  <c r="U259" i="90"/>
  <c r="T259" i="90"/>
  <c r="P259" i="90"/>
  <c r="U247" i="90"/>
  <c r="T247" i="90"/>
  <c r="P247" i="90"/>
  <c r="O247" i="90"/>
  <c r="R247" i="90"/>
  <c r="S247" i="90" s="1"/>
  <c r="Q247" i="90"/>
  <c r="T235" i="90"/>
  <c r="U235" i="90"/>
  <c r="P235" i="90"/>
  <c r="T223" i="90"/>
  <c r="P223" i="90"/>
  <c r="U211" i="90"/>
  <c r="T211" i="90"/>
  <c r="P211" i="90"/>
  <c r="T199" i="90"/>
  <c r="U199" i="90"/>
  <c r="P199" i="90"/>
  <c r="N199" i="90"/>
  <c r="T187" i="90"/>
  <c r="U187" i="90"/>
  <c r="P187" i="90"/>
  <c r="N187" i="90"/>
  <c r="T175" i="90"/>
  <c r="P175" i="90"/>
  <c r="N175" i="90"/>
  <c r="U175" i="90"/>
  <c r="T163" i="90"/>
  <c r="R163" i="90"/>
  <c r="S163" i="90" s="1"/>
  <c r="P163" i="90"/>
  <c r="Q163" i="90"/>
  <c r="N163" i="90"/>
  <c r="U163" i="90"/>
  <c r="U151" i="90"/>
  <c r="T151" i="90"/>
  <c r="P151" i="90"/>
  <c r="N151" i="90"/>
  <c r="T139" i="90"/>
  <c r="P139" i="90"/>
  <c r="N139" i="90"/>
  <c r="T127" i="90"/>
  <c r="U127" i="90"/>
  <c r="P127" i="90"/>
  <c r="N127" i="90"/>
  <c r="U115" i="90"/>
  <c r="T115" i="90"/>
  <c r="P115" i="90"/>
  <c r="N115" i="90"/>
  <c r="U103" i="90"/>
  <c r="T103" i="90"/>
  <c r="P103" i="90"/>
  <c r="N103" i="90"/>
  <c r="T91" i="90"/>
  <c r="U91" i="90"/>
  <c r="P91" i="90"/>
  <c r="N91" i="90"/>
  <c r="T79" i="90"/>
  <c r="R79" i="90"/>
  <c r="S79" i="90" s="1"/>
  <c r="U79" i="90"/>
  <c r="P79" i="90"/>
  <c r="O79" i="90"/>
  <c r="N79" i="90"/>
  <c r="U67" i="90"/>
  <c r="T67" i="90"/>
  <c r="P67" i="90"/>
  <c r="N67" i="90"/>
  <c r="T55" i="90"/>
  <c r="P55" i="90"/>
  <c r="N55" i="90"/>
  <c r="U43" i="90"/>
  <c r="T43" i="90"/>
  <c r="P43" i="90"/>
  <c r="N43" i="90"/>
  <c r="N472" i="90"/>
  <c r="N460" i="90"/>
  <c r="N424" i="90"/>
  <c r="N376" i="90"/>
  <c r="N328" i="90"/>
  <c r="N280" i="90"/>
  <c r="N232" i="90"/>
  <c r="P477" i="90"/>
  <c r="P429" i="90"/>
  <c r="P381" i="90"/>
  <c r="P333" i="90"/>
  <c r="P285" i="90"/>
  <c r="P237" i="90"/>
  <c r="R459" i="90"/>
  <c r="S459" i="90" s="1"/>
  <c r="T437" i="90"/>
  <c r="U437" i="90"/>
  <c r="R437" i="90"/>
  <c r="S437" i="90" s="1"/>
  <c r="P437" i="90"/>
  <c r="U467" i="90"/>
  <c r="T467" i="90"/>
  <c r="P467" i="90"/>
  <c r="U419" i="90"/>
  <c r="T419" i="90"/>
  <c r="P419" i="90"/>
  <c r="U383" i="90"/>
  <c r="T383" i="90"/>
  <c r="P383" i="90"/>
  <c r="U323" i="90"/>
  <c r="T323" i="90"/>
  <c r="P323" i="90"/>
  <c r="U251" i="90"/>
  <c r="T251" i="90"/>
  <c r="P251" i="90"/>
  <c r="U215" i="90"/>
  <c r="T215" i="90"/>
  <c r="P215" i="90"/>
  <c r="N215" i="90"/>
  <c r="U131" i="90"/>
  <c r="T131" i="90"/>
  <c r="P131" i="90"/>
  <c r="N131" i="90"/>
  <c r="T474" i="90"/>
  <c r="U462" i="90"/>
  <c r="T462" i="90"/>
  <c r="T450" i="90"/>
  <c r="U450" i="90"/>
  <c r="T438" i="90"/>
  <c r="U438" i="90"/>
  <c r="R438" i="90"/>
  <c r="S438" i="90" s="1"/>
  <c r="T426" i="90"/>
  <c r="U426" i="90"/>
  <c r="T414" i="90"/>
  <c r="U402" i="90"/>
  <c r="T402" i="90"/>
  <c r="T390" i="90"/>
  <c r="T378" i="90"/>
  <c r="U378" i="90"/>
  <c r="U366" i="90"/>
  <c r="T366" i="90"/>
  <c r="U354" i="90"/>
  <c r="T354" i="90"/>
  <c r="R354" i="90"/>
  <c r="S354" i="90" s="1"/>
  <c r="T342" i="90"/>
  <c r="U342" i="90"/>
  <c r="T330" i="90"/>
  <c r="T318" i="90"/>
  <c r="U318" i="90"/>
  <c r="T306" i="90"/>
  <c r="U294" i="90"/>
  <c r="T294" i="90"/>
  <c r="T282" i="90"/>
  <c r="U282" i="90"/>
  <c r="T270" i="90"/>
  <c r="U270" i="90"/>
  <c r="R270" i="90"/>
  <c r="S270" i="90" s="1"/>
  <c r="U258" i="90"/>
  <c r="T258" i="90"/>
  <c r="T246" i="90"/>
  <c r="T234" i="90"/>
  <c r="U234" i="90"/>
  <c r="T222" i="90"/>
  <c r="U210" i="90"/>
  <c r="T210" i="90"/>
  <c r="T198" i="90"/>
  <c r="U198" i="90"/>
  <c r="N198" i="90"/>
  <c r="T186" i="90"/>
  <c r="R186" i="90"/>
  <c r="S186" i="90" s="1"/>
  <c r="U186" i="90"/>
  <c r="N186" i="90"/>
  <c r="T174" i="90"/>
  <c r="U174" i="90"/>
  <c r="N174" i="90"/>
  <c r="T162" i="90"/>
  <c r="N162" i="90"/>
  <c r="U150" i="90"/>
  <c r="T150" i="90"/>
  <c r="N150" i="90"/>
  <c r="T138" i="90"/>
  <c r="N138" i="90"/>
  <c r="T126" i="90"/>
  <c r="U126" i="90"/>
  <c r="N126" i="90"/>
  <c r="U114" i="90"/>
  <c r="T114" i="90"/>
  <c r="N114" i="90"/>
  <c r="U102" i="90"/>
  <c r="T102" i="90"/>
  <c r="R102" i="90"/>
  <c r="S102" i="90" s="1"/>
  <c r="N102" i="90"/>
  <c r="T90" i="90"/>
  <c r="U90" i="90"/>
  <c r="N90" i="90"/>
  <c r="T78" i="90"/>
  <c r="N78" i="90"/>
  <c r="T66" i="90"/>
  <c r="U66" i="90"/>
  <c r="N66" i="90"/>
  <c r="T54" i="90"/>
  <c r="N54" i="90"/>
  <c r="U42" i="90"/>
  <c r="T42" i="90"/>
  <c r="N42" i="90"/>
  <c r="N447" i="90"/>
  <c r="N399" i="90"/>
  <c r="N351" i="90"/>
  <c r="N303" i="90"/>
  <c r="N255" i="90"/>
  <c r="P474" i="90"/>
  <c r="P426" i="90"/>
  <c r="P378" i="90"/>
  <c r="P330" i="90"/>
  <c r="P282" i="90"/>
  <c r="P234" i="90"/>
  <c r="P186" i="90"/>
  <c r="P138" i="90"/>
  <c r="P90" i="90"/>
  <c r="P42" i="90"/>
  <c r="R312" i="90"/>
  <c r="S312" i="90" s="1"/>
  <c r="T317" i="90"/>
  <c r="U317" i="90"/>
  <c r="P317" i="90"/>
  <c r="T77" i="90"/>
  <c r="N77" i="90"/>
  <c r="P77" i="90"/>
  <c r="R310" i="90"/>
  <c r="S310" i="90" s="1"/>
  <c r="T425" i="90"/>
  <c r="U425" i="90"/>
  <c r="P425" i="90"/>
  <c r="T269" i="90"/>
  <c r="U269" i="90"/>
  <c r="R269" i="90"/>
  <c r="S269" i="90" s="1"/>
  <c r="P269" i="90"/>
  <c r="T137" i="90"/>
  <c r="N137" i="90"/>
  <c r="P137" i="90"/>
  <c r="T448" i="90"/>
  <c r="U448" i="90"/>
  <c r="T436" i="90"/>
  <c r="U436" i="90"/>
  <c r="R436" i="90"/>
  <c r="S436" i="90" s="1"/>
  <c r="Q436" i="90"/>
  <c r="O436" i="90"/>
  <c r="T424" i="90"/>
  <c r="U424" i="90"/>
  <c r="T412" i="90"/>
  <c r="U400" i="90"/>
  <c r="T400" i="90"/>
  <c r="T388" i="90"/>
  <c r="U388" i="90"/>
  <c r="T376" i="90"/>
  <c r="U376" i="90"/>
  <c r="T364" i="90"/>
  <c r="U364" i="90"/>
  <c r="T352" i="90"/>
  <c r="Q352" i="90"/>
  <c r="R352" i="90"/>
  <c r="S352" i="90" s="1"/>
  <c r="O352" i="90"/>
  <c r="U352" i="90"/>
  <c r="T340" i="90"/>
  <c r="U340" i="90"/>
  <c r="T328" i="90"/>
  <c r="T316" i="90"/>
  <c r="U316" i="90"/>
  <c r="U304" i="90"/>
  <c r="T304" i="90"/>
  <c r="U292" i="90"/>
  <c r="T292" i="90"/>
  <c r="T280" i="90"/>
  <c r="U280" i="90"/>
  <c r="T268" i="90"/>
  <c r="U268" i="90"/>
  <c r="R268" i="90"/>
  <c r="S268" i="90" s="1"/>
  <c r="Q268" i="90"/>
  <c r="U256" i="90"/>
  <c r="T256" i="90"/>
  <c r="T244" i="90"/>
  <c r="T232" i="90"/>
  <c r="U232" i="90"/>
  <c r="T220" i="90"/>
  <c r="U220" i="90"/>
  <c r="T208" i="90"/>
  <c r="U208" i="90"/>
  <c r="T196" i="90"/>
  <c r="U196" i="90"/>
  <c r="N196" i="90"/>
  <c r="T184" i="90"/>
  <c r="R184" i="90"/>
  <c r="S184" i="90" s="1"/>
  <c r="U184" i="90"/>
  <c r="N184" i="90"/>
  <c r="Q184" i="90"/>
  <c r="O184" i="90"/>
  <c r="T172" i="90"/>
  <c r="U172" i="90"/>
  <c r="N172" i="90"/>
  <c r="T160" i="90"/>
  <c r="N160" i="90"/>
  <c r="U148" i="90"/>
  <c r="T148" i="90"/>
  <c r="N148" i="90"/>
  <c r="T136" i="90"/>
  <c r="U136" i="90"/>
  <c r="N136" i="90"/>
  <c r="T124" i="90"/>
  <c r="U124" i="90"/>
  <c r="N124" i="90"/>
  <c r="T112" i="90"/>
  <c r="N112" i="90"/>
  <c r="U112" i="90"/>
  <c r="T100" i="90"/>
  <c r="R100" i="90"/>
  <c r="S100" i="90" s="1"/>
  <c r="Q100" i="90"/>
  <c r="U100" i="90"/>
  <c r="N100" i="90"/>
  <c r="O100" i="90"/>
  <c r="T88" i="90"/>
  <c r="U88" i="90"/>
  <c r="N88" i="90"/>
  <c r="T76" i="90"/>
  <c r="N76" i="90"/>
  <c r="T64" i="90"/>
  <c r="U64" i="90"/>
  <c r="N64" i="90"/>
  <c r="U52" i="90"/>
  <c r="T52" i="90"/>
  <c r="N52" i="90"/>
  <c r="U40" i="90"/>
  <c r="T40" i="90"/>
  <c r="N40" i="90"/>
  <c r="N289" i="90"/>
  <c r="P465" i="90"/>
  <c r="P417" i="90"/>
  <c r="P369" i="90"/>
  <c r="P321" i="90"/>
  <c r="P273" i="90"/>
  <c r="P225" i="90"/>
  <c r="Q394" i="90"/>
  <c r="T389" i="90"/>
  <c r="P389" i="90"/>
  <c r="U257" i="90"/>
  <c r="T257" i="90"/>
  <c r="P257" i="90"/>
  <c r="T125" i="90"/>
  <c r="U125" i="90"/>
  <c r="N125" i="90"/>
  <c r="P125" i="90"/>
  <c r="T447" i="90"/>
  <c r="U447" i="90"/>
  <c r="P447" i="90"/>
  <c r="T423" i="90"/>
  <c r="U423" i="90"/>
  <c r="P423" i="90"/>
  <c r="T411" i="90"/>
  <c r="P411" i="90"/>
  <c r="U399" i="90"/>
  <c r="T399" i="90"/>
  <c r="P399" i="90"/>
  <c r="T387" i="90"/>
  <c r="U387" i="90"/>
  <c r="P387" i="90"/>
  <c r="T375" i="90"/>
  <c r="U375" i="90"/>
  <c r="P375" i="90"/>
  <c r="T363" i="90"/>
  <c r="U363" i="90"/>
  <c r="P363" i="90"/>
  <c r="T351" i="90"/>
  <c r="P351" i="90"/>
  <c r="T339" i="90"/>
  <c r="U339" i="90"/>
  <c r="P339" i="90"/>
  <c r="T327" i="90"/>
  <c r="P327" i="90"/>
  <c r="T315" i="90"/>
  <c r="U315" i="90"/>
  <c r="P315" i="90"/>
  <c r="U303" i="90"/>
  <c r="T303" i="90"/>
  <c r="P303" i="90"/>
  <c r="U291" i="90"/>
  <c r="T291" i="90"/>
  <c r="P291" i="90"/>
  <c r="T279" i="90"/>
  <c r="U279" i="90"/>
  <c r="P279" i="90"/>
  <c r="T267" i="90"/>
  <c r="P267" i="90"/>
  <c r="T255" i="90"/>
  <c r="U255" i="90"/>
  <c r="P255" i="90"/>
  <c r="T243" i="90"/>
  <c r="P243" i="90"/>
  <c r="T231" i="90"/>
  <c r="U231" i="90"/>
  <c r="P231" i="90"/>
  <c r="T219" i="90"/>
  <c r="U219" i="90"/>
  <c r="P219" i="90"/>
  <c r="T207" i="90"/>
  <c r="R207" i="90"/>
  <c r="S207" i="90" s="1"/>
  <c r="U207" i="90"/>
  <c r="P207" i="90"/>
  <c r="T195" i="90"/>
  <c r="U195" i="90"/>
  <c r="P195" i="90"/>
  <c r="T183" i="90"/>
  <c r="P183" i="90"/>
  <c r="T171" i="90"/>
  <c r="U171" i="90"/>
  <c r="P171" i="90"/>
  <c r="T159" i="90"/>
  <c r="P159" i="90"/>
  <c r="U147" i="90"/>
  <c r="T147" i="90"/>
  <c r="P147" i="90"/>
  <c r="T135" i="90"/>
  <c r="U135" i="90"/>
  <c r="P135" i="90"/>
  <c r="T123" i="90"/>
  <c r="R123" i="90"/>
  <c r="S123" i="90" s="1"/>
  <c r="U123" i="90"/>
  <c r="P123" i="90"/>
  <c r="T111" i="90"/>
  <c r="U111" i="90"/>
  <c r="P111" i="90"/>
  <c r="T99" i="90"/>
  <c r="P99" i="90"/>
  <c r="T87" i="90"/>
  <c r="U87" i="90"/>
  <c r="P87" i="90"/>
  <c r="T75" i="90"/>
  <c r="P75" i="90"/>
  <c r="T63" i="90"/>
  <c r="U63" i="90"/>
  <c r="P63" i="90"/>
  <c r="U51" i="90"/>
  <c r="T51" i="90"/>
  <c r="P51" i="90"/>
  <c r="U39" i="90"/>
  <c r="T39" i="90"/>
  <c r="R39" i="90"/>
  <c r="S39" i="90" s="1"/>
  <c r="P39" i="90"/>
  <c r="N444" i="90"/>
  <c r="N396" i="90"/>
  <c r="N348" i="90"/>
  <c r="N300" i="90"/>
  <c r="N252" i="90"/>
  <c r="N213" i="90"/>
  <c r="P462" i="90"/>
  <c r="P414" i="90"/>
  <c r="P366" i="90"/>
  <c r="P318" i="90"/>
  <c r="P270" i="90"/>
  <c r="P222" i="90"/>
  <c r="P174" i="90"/>
  <c r="P126" i="90"/>
  <c r="P78" i="90"/>
  <c r="Q331" i="90"/>
  <c r="T377" i="90"/>
  <c r="U377" i="90"/>
  <c r="P377" i="90"/>
  <c r="U293" i="90"/>
  <c r="T293" i="90"/>
  <c r="P293" i="90"/>
  <c r="T209" i="90"/>
  <c r="N209" i="90"/>
  <c r="U209" i="90"/>
  <c r="P209" i="90"/>
  <c r="U149" i="90"/>
  <c r="T149" i="90"/>
  <c r="N149" i="90"/>
  <c r="P149" i="90"/>
  <c r="T89" i="90"/>
  <c r="U89" i="90"/>
  <c r="N89" i="90"/>
  <c r="P89" i="90"/>
  <c r="T472" i="90"/>
  <c r="U472" i="90"/>
  <c r="T471" i="90"/>
  <c r="U471" i="90"/>
  <c r="P471" i="90"/>
  <c r="T470" i="90"/>
  <c r="U470" i="90"/>
  <c r="P470" i="90"/>
  <c r="T434" i="90"/>
  <c r="P434" i="90"/>
  <c r="T410" i="90"/>
  <c r="P410" i="90"/>
  <c r="T386" i="90"/>
  <c r="U386" i="90"/>
  <c r="P386" i="90"/>
  <c r="T362" i="90"/>
  <c r="U362" i="90"/>
  <c r="P362" i="90"/>
  <c r="T350" i="90"/>
  <c r="P350" i="90"/>
  <c r="T338" i="90"/>
  <c r="U338" i="90"/>
  <c r="P338" i="90"/>
  <c r="T326" i="90"/>
  <c r="P326" i="90"/>
  <c r="T314" i="90"/>
  <c r="U314" i="90"/>
  <c r="P314" i="90"/>
  <c r="U302" i="90"/>
  <c r="T302" i="90"/>
  <c r="P302" i="90"/>
  <c r="U290" i="90"/>
  <c r="T290" i="90"/>
  <c r="R290" i="90"/>
  <c r="S290" i="90" s="1"/>
  <c r="P290" i="90"/>
  <c r="T278" i="90"/>
  <c r="U278" i="90"/>
  <c r="P278" i="90"/>
  <c r="T266" i="90"/>
  <c r="P266" i="90"/>
  <c r="T254" i="90"/>
  <c r="U254" i="90"/>
  <c r="P254" i="90"/>
  <c r="T242" i="90"/>
  <c r="P242" i="90"/>
  <c r="T230" i="90"/>
  <c r="U230" i="90"/>
  <c r="P230" i="90"/>
  <c r="T218" i="90"/>
  <c r="U218" i="90"/>
  <c r="P218" i="90"/>
  <c r="T206" i="90"/>
  <c r="R206" i="90"/>
  <c r="S206" i="90" s="1"/>
  <c r="U206" i="90"/>
  <c r="P206" i="90"/>
  <c r="T194" i="90"/>
  <c r="U194" i="90"/>
  <c r="N194" i="90"/>
  <c r="P194" i="90"/>
  <c r="T182" i="90"/>
  <c r="N182" i="90"/>
  <c r="P182" i="90"/>
  <c r="T170" i="90"/>
  <c r="U170" i="90"/>
  <c r="N170" i="90"/>
  <c r="P170" i="90"/>
  <c r="T158" i="90"/>
  <c r="N158" i="90"/>
  <c r="P158" i="90"/>
  <c r="T146" i="90"/>
  <c r="N146" i="90"/>
  <c r="U146" i="90"/>
  <c r="P146" i="90"/>
  <c r="T134" i="90"/>
  <c r="U134" i="90"/>
  <c r="N134" i="90"/>
  <c r="P134" i="90"/>
  <c r="T122" i="90"/>
  <c r="R122" i="90"/>
  <c r="S122" i="90" s="1"/>
  <c r="U122" i="90"/>
  <c r="N122" i="90"/>
  <c r="P122" i="90"/>
  <c r="T110" i="90"/>
  <c r="U110" i="90"/>
  <c r="N110" i="90"/>
  <c r="P110" i="90"/>
  <c r="T98" i="90"/>
  <c r="N98" i="90"/>
  <c r="P98" i="90"/>
  <c r="T86" i="90"/>
  <c r="U86" i="90"/>
  <c r="N86" i="90"/>
  <c r="P86" i="90"/>
  <c r="T74" i="90"/>
  <c r="N74" i="90"/>
  <c r="P74" i="90"/>
  <c r="T62" i="90"/>
  <c r="U62" i="90"/>
  <c r="N62" i="90"/>
  <c r="P62" i="90"/>
  <c r="U50" i="90"/>
  <c r="T50" i="90"/>
  <c r="N50" i="90"/>
  <c r="P50" i="90"/>
  <c r="U38" i="90"/>
  <c r="T38" i="90"/>
  <c r="R38" i="90"/>
  <c r="S38" i="90" s="1"/>
  <c r="N38" i="90"/>
  <c r="P38" i="90"/>
  <c r="N467" i="90"/>
  <c r="N431" i="90"/>
  <c r="N419" i="90"/>
  <c r="N383" i="90"/>
  <c r="N359" i="90"/>
  <c r="N323" i="90"/>
  <c r="N287" i="90"/>
  <c r="N251" i="90"/>
  <c r="P412" i="90"/>
  <c r="P364" i="90"/>
  <c r="P316" i="90"/>
  <c r="P268" i="90"/>
  <c r="P220" i="90"/>
  <c r="P172" i="90"/>
  <c r="P124" i="90"/>
  <c r="P76" i="90"/>
  <c r="R394" i="90"/>
  <c r="S394" i="90" s="1"/>
  <c r="T449" i="90"/>
  <c r="U449" i="90"/>
  <c r="P449" i="90"/>
  <c r="T329" i="90"/>
  <c r="P329" i="90"/>
  <c r="T221" i="90"/>
  <c r="N221" i="90"/>
  <c r="P221" i="90"/>
  <c r="U113" i="90"/>
  <c r="T113" i="90"/>
  <c r="N113" i="90"/>
  <c r="P113" i="90"/>
  <c r="T460" i="90"/>
  <c r="U460" i="90"/>
  <c r="T459" i="90"/>
  <c r="U459" i="90"/>
  <c r="P459" i="90"/>
  <c r="T435" i="90"/>
  <c r="P435" i="90"/>
  <c r="T458" i="90"/>
  <c r="U458" i="90"/>
  <c r="R458" i="90"/>
  <c r="S458" i="90" s="1"/>
  <c r="P458" i="90"/>
  <c r="T446" i="90"/>
  <c r="U446" i="90"/>
  <c r="P446" i="90"/>
  <c r="T422" i="90"/>
  <c r="U422" i="90"/>
  <c r="P422" i="90"/>
  <c r="T398" i="90"/>
  <c r="P398" i="90"/>
  <c r="U398" i="90"/>
  <c r="T374" i="90"/>
  <c r="U374" i="90"/>
  <c r="R374" i="90"/>
  <c r="S374" i="90" s="1"/>
  <c r="P374" i="90"/>
  <c r="U469" i="90"/>
  <c r="T469" i="90"/>
  <c r="P469" i="90"/>
  <c r="U457" i="90"/>
  <c r="R457" i="90"/>
  <c r="S457" i="90" s="1"/>
  <c r="Q457" i="90"/>
  <c r="P457" i="90"/>
  <c r="U445" i="90"/>
  <c r="T445" i="90"/>
  <c r="P445" i="90"/>
  <c r="T433" i="90"/>
  <c r="P433" i="90"/>
  <c r="U421" i="90"/>
  <c r="P421" i="90"/>
  <c r="U409" i="90"/>
  <c r="P409" i="90"/>
  <c r="T409" i="90"/>
  <c r="U397" i="90"/>
  <c r="P397" i="90"/>
  <c r="T397" i="90"/>
  <c r="U385" i="90"/>
  <c r="P385" i="90"/>
  <c r="T385" i="90"/>
  <c r="U373" i="90"/>
  <c r="R373" i="90"/>
  <c r="S373" i="90" s="1"/>
  <c r="Q373" i="90"/>
  <c r="P373" i="90"/>
  <c r="T373" i="90"/>
  <c r="O373" i="90"/>
  <c r="U361" i="90"/>
  <c r="T361" i="90"/>
  <c r="P361" i="90"/>
  <c r="T349" i="90"/>
  <c r="P349" i="90"/>
  <c r="U337" i="90"/>
  <c r="T337" i="90"/>
  <c r="P337" i="90"/>
  <c r="U325" i="90"/>
  <c r="T325" i="90"/>
  <c r="P325" i="90"/>
  <c r="U313" i="90"/>
  <c r="T313" i="90"/>
  <c r="P313" i="90"/>
  <c r="T301" i="90"/>
  <c r="U301" i="90"/>
  <c r="P301" i="90"/>
  <c r="T289" i="90"/>
  <c r="R289" i="90"/>
  <c r="S289" i="90" s="1"/>
  <c r="U289" i="90"/>
  <c r="O289" i="90"/>
  <c r="P289" i="90"/>
  <c r="U277" i="90"/>
  <c r="P277" i="90"/>
  <c r="P265" i="90"/>
  <c r="T265" i="90"/>
  <c r="U253" i="90"/>
  <c r="P253" i="90"/>
  <c r="T253" i="90"/>
  <c r="U241" i="90"/>
  <c r="P241" i="90"/>
  <c r="T241" i="90"/>
  <c r="U229" i="90"/>
  <c r="P229" i="90"/>
  <c r="T229" i="90"/>
  <c r="U217" i="90"/>
  <c r="T217" i="90"/>
  <c r="P217" i="90"/>
  <c r="U205" i="90"/>
  <c r="T205" i="90"/>
  <c r="Q205" i="90"/>
  <c r="P205" i="90"/>
  <c r="U193" i="90"/>
  <c r="N193" i="90"/>
  <c r="T193" i="90"/>
  <c r="P193" i="90"/>
  <c r="N181" i="90"/>
  <c r="T181" i="90"/>
  <c r="P181" i="90"/>
  <c r="U169" i="90"/>
  <c r="N169" i="90"/>
  <c r="T169" i="90"/>
  <c r="P169" i="90"/>
  <c r="U157" i="90"/>
  <c r="N157" i="90"/>
  <c r="T157" i="90"/>
  <c r="P157" i="90"/>
  <c r="U145" i="90"/>
  <c r="T145" i="90"/>
  <c r="N145" i="90"/>
  <c r="P145" i="90"/>
  <c r="U133" i="90"/>
  <c r="N133" i="90"/>
  <c r="P133" i="90"/>
  <c r="U121" i="90"/>
  <c r="N121" i="90"/>
  <c r="Q121" i="90"/>
  <c r="R121" i="90"/>
  <c r="S121" i="90" s="1"/>
  <c r="P121" i="90"/>
  <c r="O121" i="90"/>
  <c r="T121" i="90"/>
  <c r="U109" i="90"/>
  <c r="N109" i="90"/>
  <c r="P109" i="90"/>
  <c r="T109" i="90"/>
  <c r="N97" i="90"/>
  <c r="P97" i="90"/>
  <c r="T97" i="90"/>
  <c r="U85" i="90"/>
  <c r="N85" i="90"/>
  <c r="P85" i="90"/>
  <c r="T85" i="90"/>
  <c r="U73" i="90"/>
  <c r="N73" i="90"/>
  <c r="T73" i="90"/>
  <c r="P73" i="90"/>
  <c r="U61" i="90"/>
  <c r="N61" i="90"/>
  <c r="T61" i="90"/>
  <c r="P61" i="90"/>
  <c r="U49" i="90"/>
  <c r="N49" i="90"/>
  <c r="T49" i="90"/>
  <c r="P49" i="90"/>
  <c r="N37" i="90"/>
  <c r="N442" i="90"/>
  <c r="N430" i="90"/>
  <c r="N382" i="90"/>
  <c r="N334" i="90"/>
  <c r="N286" i="90"/>
  <c r="N238" i="90"/>
  <c r="N211" i="90"/>
  <c r="N39" i="90"/>
  <c r="P453" i="90"/>
  <c r="P405" i="90"/>
  <c r="P357" i="90"/>
  <c r="P309" i="90"/>
  <c r="P261" i="90"/>
  <c r="R291" i="90"/>
  <c r="S291" i="90" s="1"/>
  <c r="T457" i="90"/>
  <c r="T473" i="90"/>
  <c r="P473" i="90"/>
  <c r="U353" i="90"/>
  <c r="T353" i="90"/>
  <c r="R353" i="90"/>
  <c r="S353" i="90" s="1"/>
  <c r="P353" i="90"/>
  <c r="T245" i="90"/>
  <c r="P245" i="90"/>
  <c r="T185" i="90"/>
  <c r="R185" i="90"/>
  <c r="S185" i="90" s="1"/>
  <c r="U185" i="90"/>
  <c r="N185" i="90"/>
  <c r="P185" i="90"/>
  <c r="U101" i="90"/>
  <c r="T101" i="90"/>
  <c r="R101" i="90"/>
  <c r="S101" i="90" s="1"/>
  <c r="N101" i="90"/>
  <c r="P101" i="90"/>
  <c r="U468" i="90"/>
  <c r="T468" i="90"/>
  <c r="P468" i="90"/>
  <c r="T456" i="90"/>
  <c r="P456" i="90"/>
  <c r="T444" i="90"/>
  <c r="U444" i="90"/>
  <c r="P444" i="90"/>
  <c r="T432" i="90"/>
  <c r="P432" i="90"/>
  <c r="U420" i="90"/>
  <c r="T420" i="90"/>
  <c r="P420" i="90"/>
  <c r="U408" i="90"/>
  <c r="T408" i="90"/>
  <c r="P408" i="90"/>
  <c r="U396" i="90"/>
  <c r="T396" i="90"/>
  <c r="P396" i="90"/>
  <c r="U384" i="90"/>
  <c r="T384" i="90"/>
  <c r="P384" i="90"/>
  <c r="T372" i="90"/>
  <c r="P372" i="90"/>
  <c r="U360" i="90"/>
  <c r="T360" i="90"/>
  <c r="P360" i="90"/>
  <c r="T348" i="90"/>
  <c r="P348" i="90"/>
  <c r="U336" i="90"/>
  <c r="T336" i="90"/>
  <c r="P336" i="90"/>
  <c r="U324" i="90"/>
  <c r="T324" i="90"/>
  <c r="P324" i="90"/>
  <c r="U312" i="90"/>
  <c r="T312" i="90"/>
  <c r="P312" i="90"/>
  <c r="U300" i="90"/>
  <c r="T300" i="90"/>
  <c r="P300" i="90"/>
  <c r="T288" i="90"/>
  <c r="P288" i="90"/>
  <c r="U276" i="90"/>
  <c r="T276" i="90"/>
  <c r="P276" i="90"/>
  <c r="T264" i="90"/>
  <c r="P264" i="90"/>
  <c r="U252" i="90"/>
  <c r="T252" i="90"/>
  <c r="P252" i="90"/>
  <c r="U240" i="90"/>
  <c r="T240" i="90"/>
  <c r="P240" i="90"/>
  <c r="U228" i="90"/>
  <c r="T228" i="90"/>
  <c r="P228" i="90"/>
  <c r="U216" i="90"/>
  <c r="T216" i="90"/>
  <c r="P216" i="90"/>
  <c r="T204" i="90"/>
  <c r="P204" i="90"/>
  <c r="T192" i="90"/>
  <c r="P192" i="90"/>
  <c r="U192" i="90"/>
  <c r="T180" i="90"/>
  <c r="P180" i="90"/>
  <c r="U168" i="90"/>
  <c r="T168" i="90"/>
  <c r="P168" i="90"/>
  <c r="U156" i="90"/>
  <c r="T156" i="90"/>
  <c r="P156" i="90"/>
  <c r="U144" i="90"/>
  <c r="T144" i="90"/>
  <c r="R144" i="90"/>
  <c r="S144" i="90" s="1"/>
  <c r="P144" i="90"/>
  <c r="U132" i="90"/>
  <c r="T132" i="90"/>
  <c r="P132" i="90"/>
  <c r="T120" i="90"/>
  <c r="P120" i="90"/>
  <c r="U108" i="90"/>
  <c r="T108" i="90"/>
  <c r="P108" i="90"/>
  <c r="T96" i="90"/>
  <c r="P96" i="90"/>
  <c r="U84" i="90"/>
  <c r="T84" i="90"/>
  <c r="P84" i="90"/>
  <c r="U72" i="90"/>
  <c r="T72" i="90"/>
  <c r="P72" i="90"/>
  <c r="U60" i="90"/>
  <c r="T60" i="90"/>
  <c r="R60" i="90"/>
  <c r="S60" i="90" s="1"/>
  <c r="P60" i="90"/>
  <c r="U48" i="90"/>
  <c r="T48" i="90"/>
  <c r="P48" i="90"/>
  <c r="N465" i="90"/>
  <c r="N441" i="90"/>
  <c r="N393" i="90"/>
  <c r="N345" i="90"/>
  <c r="N297" i="90"/>
  <c r="N249" i="90"/>
  <c r="N210" i="90"/>
  <c r="N183" i="90"/>
  <c r="N147" i="90"/>
  <c r="N111" i="90"/>
  <c r="N75" i="90"/>
  <c r="O457" i="90"/>
  <c r="P450" i="90"/>
  <c r="P402" i="90"/>
  <c r="P354" i="90"/>
  <c r="P306" i="90"/>
  <c r="P258" i="90"/>
  <c r="P210" i="90"/>
  <c r="P162" i="90"/>
  <c r="P114" i="90"/>
  <c r="P66" i="90"/>
  <c r="Q79" i="90"/>
  <c r="T421" i="90"/>
  <c r="U59" i="90"/>
  <c r="T59" i="90"/>
  <c r="R59" i="90"/>
  <c r="S59" i="90" s="1"/>
  <c r="P59" i="90"/>
  <c r="N59" i="90"/>
  <c r="U47" i="90"/>
  <c r="T47" i="90"/>
  <c r="P47" i="90"/>
  <c r="N47" i="90"/>
  <c r="N476" i="90"/>
  <c r="N464" i="90"/>
  <c r="N440" i="90"/>
  <c r="N428" i="90"/>
  <c r="N404" i="90"/>
  <c r="N380" i="90"/>
  <c r="N223" i="90"/>
  <c r="N208" i="90"/>
  <c r="N180" i="90"/>
  <c r="N144" i="90"/>
  <c r="N108" i="90"/>
  <c r="N72" i="90"/>
  <c r="O415" i="90"/>
  <c r="P448" i="90"/>
  <c r="P400" i="90"/>
  <c r="P352" i="90"/>
  <c r="P304" i="90"/>
  <c r="P256" i="90"/>
  <c r="P208" i="90"/>
  <c r="P160" i="90"/>
  <c r="P112" i="90"/>
  <c r="P64" i="90"/>
  <c r="T277" i="90"/>
  <c r="U365" i="90"/>
  <c r="T365" i="90"/>
  <c r="P365" i="90"/>
  <c r="T281" i="90"/>
  <c r="U281" i="90"/>
  <c r="P281" i="90"/>
  <c r="T173" i="90"/>
  <c r="U173" i="90"/>
  <c r="N173" i="90"/>
  <c r="P173" i="90"/>
  <c r="U41" i="90"/>
  <c r="T41" i="90"/>
  <c r="N41" i="90"/>
  <c r="P41" i="90"/>
  <c r="T443" i="90"/>
  <c r="U443" i="90"/>
  <c r="P443" i="90"/>
  <c r="T371" i="90"/>
  <c r="P371" i="90"/>
  <c r="U299" i="90"/>
  <c r="T299" i="90"/>
  <c r="P299" i="90"/>
  <c r="U239" i="90"/>
  <c r="T239" i="90"/>
  <c r="P239" i="90"/>
  <c r="T179" i="90"/>
  <c r="P179" i="90"/>
  <c r="N179" i="90"/>
  <c r="U107" i="90"/>
  <c r="T107" i="90"/>
  <c r="P107" i="90"/>
  <c r="N107" i="90"/>
  <c r="T37" i="90"/>
  <c r="O37" i="90"/>
  <c r="U37" i="90"/>
  <c r="P37" i="90"/>
  <c r="Q37" i="90"/>
  <c r="U430" i="90"/>
  <c r="T430" i="90"/>
  <c r="P430" i="90"/>
  <c r="U418" i="90"/>
  <c r="T418" i="90"/>
  <c r="P418" i="90"/>
  <c r="U406" i="90"/>
  <c r="T406" i="90"/>
  <c r="P406" i="90"/>
  <c r="U394" i="90"/>
  <c r="T394" i="90"/>
  <c r="P394" i="90"/>
  <c r="O394" i="90"/>
  <c r="U382" i="90"/>
  <c r="T382" i="90"/>
  <c r="P382" i="90"/>
  <c r="T370" i="90"/>
  <c r="P370" i="90"/>
  <c r="U358" i="90"/>
  <c r="T358" i="90"/>
  <c r="P358" i="90"/>
  <c r="T346" i="90"/>
  <c r="U346" i="90"/>
  <c r="P346" i="90"/>
  <c r="T334" i="90"/>
  <c r="U334" i="90"/>
  <c r="P334" i="90"/>
  <c r="U322" i="90"/>
  <c r="T322" i="90"/>
  <c r="P322" i="90"/>
  <c r="U310" i="90"/>
  <c r="T310" i="90"/>
  <c r="P310" i="90"/>
  <c r="O310" i="90"/>
  <c r="Q310" i="90"/>
  <c r="U298" i="90"/>
  <c r="T298" i="90"/>
  <c r="P298" i="90"/>
  <c r="T286" i="90"/>
  <c r="P286" i="90"/>
  <c r="U274" i="90"/>
  <c r="T274" i="90"/>
  <c r="P274" i="90"/>
  <c r="U262" i="90"/>
  <c r="T262" i="90"/>
  <c r="P262" i="90"/>
  <c r="U250" i="90"/>
  <c r="T250" i="90"/>
  <c r="P250" i="90"/>
  <c r="T238" i="90"/>
  <c r="U238" i="90"/>
  <c r="P238" i="90"/>
  <c r="T226" i="90"/>
  <c r="O226" i="90"/>
  <c r="P226" i="90"/>
  <c r="Q226" i="90"/>
  <c r="U214" i="90"/>
  <c r="T214" i="90"/>
  <c r="P214" i="90"/>
  <c r="T202" i="90"/>
  <c r="P202" i="90"/>
  <c r="T190" i="90"/>
  <c r="U190" i="90"/>
  <c r="P190" i="90"/>
  <c r="U178" i="90"/>
  <c r="T178" i="90"/>
  <c r="P178" i="90"/>
  <c r="U166" i="90"/>
  <c r="T166" i="90"/>
  <c r="P166" i="90"/>
  <c r="U154" i="90"/>
  <c r="T154" i="90"/>
  <c r="P154" i="90"/>
  <c r="U142" i="90"/>
  <c r="T142" i="90"/>
  <c r="R142" i="90"/>
  <c r="S142" i="90" s="1"/>
  <c r="P142" i="90"/>
  <c r="O142" i="90"/>
  <c r="U130" i="90"/>
  <c r="T130" i="90"/>
  <c r="P130" i="90"/>
  <c r="T118" i="90"/>
  <c r="P118" i="90"/>
  <c r="U106" i="90"/>
  <c r="T106" i="90"/>
  <c r="P106" i="90"/>
  <c r="T94" i="90"/>
  <c r="U94" i="90"/>
  <c r="P94" i="90"/>
  <c r="T82" i="90"/>
  <c r="U82" i="90"/>
  <c r="P82" i="90"/>
  <c r="U70" i="90"/>
  <c r="T70" i="90"/>
  <c r="P70" i="90"/>
  <c r="U58" i="90"/>
  <c r="T58" i="90"/>
  <c r="R58" i="90"/>
  <c r="S58" i="90" s="1"/>
  <c r="P58" i="90"/>
  <c r="O58" i="90"/>
  <c r="Q58" i="90"/>
  <c r="U46" i="90"/>
  <c r="T46" i="90"/>
  <c r="P46" i="90"/>
  <c r="N475" i="90"/>
  <c r="N463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2" i="90"/>
  <c r="N207" i="90"/>
  <c r="N178" i="90"/>
  <c r="N142" i="90"/>
  <c r="N106" i="90"/>
  <c r="N70" i="90"/>
  <c r="O268" i="90"/>
  <c r="R375" i="90"/>
  <c r="S375" i="90" s="1"/>
  <c r="T133" i="90"/>
  <c r="T461" i="90"/>
  <c r="U461" i="90"/>
  <c r="P461" i="90"/>
  <c r="T341" i="90"/>
  <c r="U341" i="90"/>
  <c r="P341" i="90"/>
  <c r="T233" i="90"/>
  <c r="U233" i="90"/>
  <c r="P233" i="90"/>
  <c r="T161" i="90"/>
  <c r="N161" i="90"/>
  <c r="P161" i="90"/>
  <c r="T53" i="90"/>
  <c r="N53" i="90"/>
  <c r="P53" i="90"/>
  <c r="U407" i="90"/>
  <c r="T407" i="90"/>
  <c r="P407" i="90"/>
  <c r="T335" i="90"/>
  <c r="P335" i="90"/>
  <c r="U335" i="90"/>
  <c r="U275" i="90"/>
  <c r="T275" i="90"/>
  <c r="P275" i="90"/>
  <c r="T191" i="90"/>
  <c r="U191" i="90"/>
  <c r="P191" i="90"/>
  <c r="N191" i="90"/>
  <c r="U71" i="90"/>
  <c r="T71" i="90"/>
  <c r="P71" i="90"/>
  <c r="N71" i="90"/>
  <c r="T454" i="90"/>
  <c r="P454" i="90"/>
  <c r="T453" i="90"/>
  <c r="T441" i="90"/>
  <c r="U441" i="90"/>
  <c r="U429" i="90"/>
  <c r="T429" i="90"/>
  <c r="U417" i="90"/>
  <c r="T417" i="90"/>
  <c r="R417" i="90"/>
  <c r="S417" i="90" s="1"/>
  <c r="U405" i="90"/>
  <c r="T405" i="90"/>
  <c r="T393" i="90"/>
  <c r="T381" i="90"/>
  <c r="U381" i="90"/>
  <c r="T369" i="90"/>
  <c r="U357" i="90"/>
  <c r="T357" i="90"/>
  <c r="T345" i="90"/>
  <c r="U345" i="90"/>
  <c r="T333" i="90"/>
  <c r="U333" i="90"/>
  <c r="R333" i="90"/>
  <c r="S333" i="90" s="1"/>
  <c r="U321" i="90"/>
  <c r="T321" i="90"/>
  <c r="T309" i="90"/>
  <c r="U297" i="90"/>
  <c r="T297" i="90"/>
  <c r="T285" i="90"/>
  <c r="U273" i="90"/>
  <c r="T273" i="90"/>
  <c r="U261" i="90"/>
  <c r="T261" i="90"/>
  <c r="U249" i="90"/>
  <c r="T249" i="90"/>
  <c r="R249" i="90"/>
  <c r="S249" i="90" s="1"/>
  <c r="T237" i="90"/>
  <c r="U237" i="90"/>
  <c r="T225" i="90"/>
  <c r="U213" i="90"/>
  <c r="T213" i="90"/>
  <c r="T201" i="90"/>
  <c r="N201" i="90"/>
  <c r="T189" i="90"/>
  <c r="U189" i="90"/>
  <c r="N189" i="90"/>
  <c r="U177" i="90"/>
  <c r="T177" i="90"/>
  <c r="N177" i="90"/>
  <c r="U165" i="90"/>
  <c r="T165" i="90"/>
  <c r="R165" i="90"/>
  <c r="S165" i="90" s="1"/>
  <c r="N165" i="90"/>
  <c r="U153" i="90"/>
  <c r="T153" i="90"/>
  <c r="N153" i="90"/>
  <c r="T141" i="90"/>
  <c r="N141" i="90"/>
  <c r="T129" i="90"/>
  <c r="U129" i="90"/>
  <c r="N129" i="90"/>
  <c r="T117" i="90"/>
  <c r="N117" i="90"/>
  <c r="U105" i="90"/>
  <c r="T105" i="90"/>
  <c r="N105" i="90"/>
  <c r="T93" i="90"/>
  <c r="U93" i="90"/>
  <c r="N93" i="90"/>
  <c r="T81" i="90"/>
  <c r="R81" i="90"/>
  <c r="S81" i="90" s="1"/>
  <c r="U81" i="90"/>
  <c r="N81" i="90"/>
  <c r="U69" i="90"/>
  <c r="T69" i="90"/>
  <c r="N69" i="90"/>
  <c r="T57" i="90"/>
  <c r="N57" i="90"/>
  <c r="U45" i="90"/>
  <c r="T45" i="90"/>
  <c r="N45" i="90"/>
  <c r="N474" i="90"/>
  <c r="N462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O205" i="90"/>
  <c r="P438" i="90"/>
  <c r="P390" i="90"/>
  <c r="P342" i="90"/>
  <c r="P294" i="90"/>
  <c r="P246" i="90"/>
  <c r="P198" i="90"/>
  <c r="P150" i="90"/>
  <c r="P102" i="90"/>
  <c r="P54" i="90"/>
  <c r="R228" i="90"/>
  <c r="S228" i="90" s="1"/>
  <c r="U415" i="90"/>
  <c r="T413" i="90"/>
  <c r="P413" i="90"/>
  <c r="T455" i="90"/>
  <c r="P455" i="90"/>
  <c r="U395" i="90"/>
  <c r="T395" i="90"/>
  <c r="P395" i="90"/>
  <c r="R395" i="90"/>
  <c r="S395" i="90" s="1"/>
  <c r="T347" i="90"/>
  <c r="P347" i="90"/>
  <c r="U311" i="90"/>
  <c r="T311" i="90"/>
  <c r="P311" i="90"/>
  <c r="R311" i="90"/>
  <c r="S311" i="90" s="1"/>
  <c r="T263" i="90"/>
  <c r="P263" i="90"/>
  <c r="U227" i="90"/>
  <c r="T227" i="90"/>
  <c r="P227" i="90"/>
  <c r="R227" i="90"/>
  <c r="S227" i="90" s="1"/>
  <c r="N227" i="90"/>
  <c r="U167" i="90"/>
  <c r="T167" i="90"/>
  <c r="P167" i="90"/>
  <c r="N167" i="90"/>
  <c r="U155" i="90"/>
  <c r="T155" i="90"/>
  <c r="P155" i="90"/>
  <c r="N155" i="90"/>
  <c r="U143" i="90"/>
  <c r="T143" i="90"/>
  <c r="R143" i="90"/>
  <c r="S143" i="90" s="1"/>
  <c r="P143" i="90"/>
  <c r="N143" i="90"/>
  <c r="T119" i="90"/>
  <c r="P119" i="90"/>
  <c r="N119" i="90"/>
  <c r="T83" i="90"/>
  <c r="U83" i="90"/>
  <c r="P83" i="90"/>
  <c r="N83" i="90"/>
  <c r="U466" i="90"/>
  <c r="T466" i="90"/>
  <c r="P466" i="90"/>
  <c r="T477" i="90"/>
  <c r="T452" i="90"/>
  <c r="P452" i="90"/>
  <c r="U416" i="90"/>
  <c r="T416" i="90"/>
  <c r="P416" i="90"/>
  <c r="R416" i="90"/>
  <c r="S416" i="90" s="1"/>
  <c r="T392" i="90"/>
  <c r="P392" i="90"/>
  <c r="T368" i="90"/>
  <c r="P368" i="90"/>
  <c r="U356" i="90"/>
  <c r="T356" i="90"/>
  <c r="P356" i="90"/>
  <c r="T344" i="90"/>
  <c r="U344" i="90"/>
  <c r="P344" i="90"/>
  <c r="T332" i="90"/>
  <c r="U332" i="90"/>
  <c r="P332" i="90"/>
  <c r="R332" i="90"/>
  <c r="S332" i="90" s="1"/>
  <c r="U320" i="90"/>
  <c r="T320" i="90"/>
  <c r="P320" i="90"/>
  <c r="T308" i="90"/>
  <c r="P308" i="90"/>
  <c r="U296" i="90"/>
  <c r="T296" i="90"/>
  <c r="P296" i="90"/>
  <c r="T284" i="90"/>
  <c r="P284" i="90"/>
  <c r="T272" i="90"/>
  <c r="P272" i="90"/>
  <c r="U272" i="90"/>
  <c r="U260" i="90"/>
  <c r="T260" i="90"/>
  <c r="P260" i="90"/>
  <c r="U248" i="90"/>
  <c r="T248" i="90"/>
  <c r="P248" i="90"/>
  <c r="R248" i="90"/>
  <c r="S248" i="90" s="1"/>
  <c r="T236" i="90"/>
  <c r="U236" i="90"/>
  <c r="P236" i="90"/>
  <c r="T224" i="90"/>
  <c r="P224" i="90"/>
  <c r="U212" i="90"/>
  <c r="T212" i="90"/>
  <c r="P212" i="90"/>
  <c r="T200" i="90"/>
  <c r="P200" i="90"/>
  <c r="T188" i="90"/>
  <c r="U188" i="90"/>
  <c r="P188" i="90"/>
  <c r="U176" i="90"/>
  <c r="T176" i="90"/>
  <c r="P176" i="90"/>
  <c r="U164" i="90"/>
  <c r="T164" i="90"/>
  <c r="R164" i="90"/>
  <c r="S164" i="90" s="1"/>
  <c r="P164" i="90"/>
  <c r="U152" i="90"/>
  <c r="T152" i="90"/>
  <c r="P152" i="90"/>
  <c r="T140" i="90"/>
  <c r="P140" i="90"/>
  <c r="T128" i="90"/>
  <c r="U128" i="90"/>
  <c r="P128" i="90"/>
  <c r="T116" i="90"/>
  <c r="P116" i="90"/>
  <c r="U104" i="90"/>
  <c r="T104" i="90"/>
  <c r="P104" i="90"/>
  <c r="T92" i="90"/>
  <c r="U92" i="90"/>
  <c r="P92" i="90"/>
  <c r="T80" i="90"/>
  <c r="R80" i="90"/>
  <c r="S80" i="90" s="1"/>
  <c r="U80" i="90"/>
  <c r="P80" i="90"/>
  <c r="U68" i="90"/>
  <c r="T68" i="90"/>
  <c r="P68" i="90"/>
  <c r="T56" i="90"/>
  <c r="P56" i="90"/>
  <c r="U44" i="90"/>
  <c r="T44" i="90"/>
  <c r="P44" i="90"/>
  <c r="N44" i="90"/>
  <c r="N473" i="90"/>
  <c r="N461" i="90"/>
  <c r="N449" i="90"/>
  <c r="N437" i="90"/>
  <c r="N425" i="90"/>
  <c r="N413" i="90"/>
  <c r="N401" i="90"/>
  <c r="N389" i="90"/>
  <c r="N377" i="90"/>
  <c r="N365" i="90"/>
  <c r="N353" i="90"/>
  <c r="N341" i="90"/>
  <c r="N329" i="90"/>
  <c r="N317" i="90"/>
  <c r="N305" i="90"/>
  <c r="N293" i="90"/>
  <c r="N281" i="90"/>
  <c r="N269" i="90"/>
  <c r="N257" i="90"/>
  <c r="N245" i="90"/>
  <c r="N233" i="90"/>
  <c r="N219" i="90"/>
  <c r="N205" i="90"/>
  <c r="N171" i="90"/>
  <c r="N135" i="90"/>
  <c r="N99" i="90"/>
  <c r="N63" i="90"/>
  <c r="O163" i="90"/>
  <c r="P436" i="90"/>
  <c r="P388" i="90"/>
  <c r="P340" i="90"/>
  <c r="P292" i="90"/>
  <c r="P244" i="90"/>
  <c r="P196" i="90"/>
  <c r="P148" i="90"/>
  <c r="P100" i="90"/>
  <c r="P52" i="90"/>
  <c r="R226" i="90"/>
  <c r="S226" i="90" s="1"/>
  <c r="U226" i="90"/>
  <c r="G20" i="90"/>
  <c r="J457" i="90"/>
  <c r="K457" i="90" s="1"/>
  <c r="M457" i="90"/>
  <c r="J458" i="90"/>
  <c r="K458" i="90" s="1"/>
  <c r="M458" i="90"/>
  <c r="J459" i="90"/>
  <c r="K459" i="90" s="1"/>
  <c r="M459" i="90"/>
  <c r="J460" i="90"/>
  <c r="K460" i="90" s="1"/>
  <c r="M460" i="90"/>
  <c r="R460" i="90" s="1"/>
  <c r="J461" i="90"/>
  <c r="K461" i="90" s="1"/>
  <c r="M461" i="90"/>
  <c r="R461" i="90" s="1"/>
  <c r="J462" i="90"/>
  <c r="K462" i="90" s="1"/>
  <c r="M462" i="90"/>
  <c r="R462" i="90" s="1"/>
  <c r="J463" i="90"/>
  <c r="K463" i="90" s="1"/>
  <c r="M463" i="90"/>
  <c r="R463" i="90" s="1"/>
  <c r="J464" i="90"/>
  <c r="K464" i="90" s="1"/>
  <c r="M464" i="90"/>
  <c r="R464" i="90" s="1"/>
  <c r="J465" i="90"/>
  <c r="K465" i="90" s="1"/>
  <c r="M465" i="90"/>
  <c r="R465" i="90" s="1"/>
  <c r="J466" i="90"/>
  <c r="K466" i="90" s="1"/>
  <c r="M466" i="90"/>
  <c r="R466" i="90" s="1"/>
  <c r="J467" i="90"/>
  <c r="K467" i="90" s="1"/>
  <c r="M467" i="90"/>
  <c r="R467" i="90" s="1"/>
  <c r="J468" i="90"/>
  <c r="K468" i="90" s="1"/>
  <c r="M468" i="90"/>
  <c r="R468" i="90" s="1"/>
  <c r="J469" i="90"/>
  <c r="K469" i="90" s="1"/>
  <c r="M469" i="90"/>
  <c r="R469" i="90" s="1"/>
  <c r="J470" i="90"/>
  <c r="K470" i="90" s="1"/>
  <c r="M470" i="90"/>
  <c r="R470" i="90" s="1"/>
  <c r="J471" i="90"/>
  <c r="K471" i="90" s="1"/>
  <c r="M471" i="90"/>
  <c r="R471" i="90" s="1"/>
  <c r="J472" i="90"/>
  <c r="K472" i="90" s="1"/>
  <c r="M472" i="90"/>
  <c r="R472" i="90" s="1"/>
  <c r="J473" i="90"/>
  <c r="K473" i="90" s="1"/>
  <c r="M473" i="90"/>
  <c r="R473" i="90" s="1"/>
  <c r="J474" i="90"/>
  <c r="K474" i="90" s="1"/>
  <c r="M474" i="90"/>
  <c r="R474" i="90" s="1"/>
  <c r="J475" i="90"/>
  <c r="K475" i="90" s="1"/>
  <c r="M475" i="90"/>
  <c r="R475" i="90" s="1"/>
  <c r="J476" i="90"/>
  <c r="K476" i="90" s="1"/>
  <c r="M476" i="90"/>
  <c r="R476" i="90" s="1"/>
  <c r="J477" i="90"/>
  <c r="K477" i="90" s="1"/>
  <c r="M477" i="90"/>
  <c r="R477" i="90" s="1"/>
  <c r="M38" i="90" l="1"/>
  <c r="M39" i="90"/>
  <c r="M40" i="90"/>
  <c r="R40" i="90" s="1"/>
  <c r="M41" i="90"/>
  <c r="R41" i="90" s="1"/>
  <c r="M42" i="90"/>
  <c r="R42" i="90" s="1"/>
  <c r="M43" i="90"/>
  <c r="R43" i="90" s="1"/>
  <c r="M44" i="90"/>
  <c r="R44" i="90" s="1"/>
  <c r="M45" i="90"/>
  <c r="R45" i="90" s="1"/>
  <c r="M46" i="90"/>
  <c r="R46" i="90" s="1"/>
  <c r="M47" i="90"/>
  <c r="R47" i="90" s="1"/>
  <c r="M48" i="90"/>
  <c r="R48" i="90" s="1"/>
  <c r="M49" i="90"/>
  <c r="R49" i="90" s="1"/>
  <c r="M50" i="90"/>
  <c r="R50" i="90" s="1"/>
  <c r="M51" i="90"/>
  <c r="R51" i="90" s="1"/>
  <c r="M52" i="90"/>
  <c r="R52" i="90" s="1"/>
  <c r="M53" i="90"/>
  <c r="R53" i="90" s="1"/>
  <c r="M54" i="90"/>
  <c r="R54" i="90" s="1"/>
  <c r="M55" i="90"/>
  <c r="R55" i="90" s="1"/>
  <c r="M56" i="90"/>
  <c r="R56" i="90" s="1"/>
  <c r="M57" i="90"/>
  <c r="R57" i="90" s="1"/>
  <c r="M58" i="90"/>
  <c r="M59" i="90"/>
  <c r="M60" i="90"/>
  <c r="M61" i="90"/>
  <c r="R61" i="90" s="1"/>
  <c r="M62" i="90"/>
  <c r="R62" i="90" s="1"/>
  <c r="M63" i="90"/>
  <c r="R63" i="90" s="1"/>
  <c r="M64" i="90"/>
  <c r="R64" i="90" s="1"/>
  <c r="M65" i="90"/>
  <c r="R65" i="90" s="1"/>
  <c r="M66" i="90"/>
  <c r="R66" i="90" s="1"/>
  <c r="M67" i="90"/>
  <c r="R67" i="90" s="1"/>
  <c r="M68" i="90"/>
  <c r="R68" i="90" s="1"/>
  <c r="M69" i="90"/>
  <c r="R69" i="90" s="1"/>
  <c r="M70" i="90"/>
  <c r="R70" i="90" s="1"/>
  <c r="M71" i="90"/>
  <c r="R71" i="90" s="1"/>
  <c r="M72" i="90"/>
  <c r="R72" i="90" s="1"/>
  <c r="M73" i="90"/>
  <c r="R73" i="90" s="1"/>
  <c r="M74" i="90"/>
  <c r="R74" i="90" s="1"/>
  <c r="M75" i="90"/>
  <c r="R75" i="90" s="1"/>
  <c r="M76" i="90"/>
  <c r="R76" i="90" s="1"/>
  <c r="M77" i="90"/>
  <c r="R77" i="90" s="1"/>
  <c r="M78" i="90"/>
  <c r="R78" i="90" s="1"/>
  <c r="M79" i="90"/>
  <c r="M80" i="90"/>
  <c r="M81" i="90"/>
  <c r="M82" i="90"/>
  <c r="R82" i="90" s="1"/>
  <c r="M83" i="90"/>
  <c r="R83" i="90" s="1"/>
  <c r="M84" i="90"/>
  <c r="R84" i="90" s="1"/>
  <c r="M85" i="90"/>
  <c r="R85" i="90" s="1"/>
  <c r="M86" i="90"/>
  <c r="R86" i="90" s="1"/>
  <c r="M87" i="90"/>
  <c r="R87" i="90" s="1"/>
  <c r="M88" i="90"/>
  <c r="R88" i="90" s="1"/>
  <c r="M89" i="90"/>
  <c r="R89" i="90" s="1"/>
  <c r="M90" i="90"/>
  <c r="R90" i="90" s="1"/>
  <c r="M91" i="90"/>
  <c r="R91" i="90" s="1"/>
  <c r="M92" i="90"/>
  <c r="R92" i="90" s="1"/>
  <c r="M93" i="90"/>
  <c r="R93" i="90" s="1"/>
  <c r="M94" i="90"/>
  <c r="R94" i="90" s="1"/>
  <c r="M95" i="90"/>
  <c r="R95" i="90" s="1"/>
  <c r="M96" i="90"/>
  <c r="R96" i="90" s="1"/>
  <c r="M97" i="90"/>
  <c r="R97" i="90" s="1"/>
  <c r="M98" i="90"/>
  <c r="R98" i="90" s="1"/>
  <c r="M99" i="90"/>
  <c r="R99" i="90" s="1"/>
  <c r="M100" i="90"/>
  <c r="M101" i="90"/>
  <c r="M102" i="90"/>
  <c r="M103" i="90"/>
  <c r="R103" i="90" s="1"/>
  <c r="M104" i="90"/>
  <c r="R104" i="90" s="1"/>
  <c r="M105" i="90"/>
  <c r="R105" i="90" s="1"/>
  <c r="M106" i="90"/>
  <c r="R106" i="90" s="1"/>
  <c r="M107" i="90"/>
  <c r="R107" i="90" s="1"/>
  <c r="M108" i="90"/>
  <c r="R108" i="90" s="1"/>
  <c r="M109" i="90"/>
  <c r="R109" i="90" s="1"/>
  <c r="M110" i="90"/>
  <c r="R110" i="90" s="1"/>
  <c r="M111" i="90"/>
  <c r="R111" i="90" s="1"/>
  <c r="M112" i="90"/>
  <c r="R112" i="90" s="1"/>
  <c r="M113" i="90"/>
  <c r="R113" i="90" s="1"/>
  <c r="M114" i="90"/>
  <c r="R114" i="90" s="1"/>
  <c r="M115" i="90"/>
  <c r="R115" i="90" s="1"/>
  <c r="M116" i="90"/>
  <c r="R116" i="90" s="1"/>
  <c r="M117" i="90"/>
  <c r="R117" i="90" s="1"/>
  <c r="M118" i="90"/>
  <c r="R118" i="90" s="1"/>
  <c r="M119" i="90"/>
  <c r="R119" i="90" s="1"/>
  <c r="M120" i="90"/>
  <c r="R120" i="90" s="1"/>
  <c r="M121" i="90"/>
  <c r="M122" i="90"/>
  <c r="M123" i="90"/>
  <c r="M124" i="90"/>
  <c r="R124" i="90" s="1"/>
  <c r="M125" i="90"/>
  <c r="R125" i="90" s="1"/>
  <c r="M126" i="90"/>
  <c r="R126" i="90" s="1"/>
  <c r="M127" i="90"/>
  <c r="R127" i="90" s="1"/>
  <c r="M128" i="90"/>
  <c r="R128" i="90" s="1"/>
  <c r="M129" i="90"/>
  <c r="R129" i="90" s="1"/>
  <c r="M130" i="90"/>
  <c r="R130" i="90" s="1"/>
  <c r="M131" i="90"/>
  <c r="R131" i="90" s="1"/>
  <c r="M132" i="90"/>
  <c r="R132" i="90" s="1"/>
  <c r="M133" i="90"/>
  <c r="R133" i="90" s="1"/>
  <c r="M134" i="90"/>
  <c r="R134" i="90" s="1"/>
  <c r="M135" i="90"/>
  <c r="R135" i="90" s="1"/>
  <c r="M136" i="90"/>
  <c r="R136" i="90" s="1"/>
  <c r="M137" i="90"/>
  <c r="R137" i="90" s="1"/>
  <c r="M138" i="90"/>
  <c r="R138" i="90" s="1"/>
  <c r="M139" i="90"/>
  <c r="R139" i="90" s="1"/>
  <c r="M140" i="90"/>
  <c r="R140" i="90" s="1"/>
  <c r="M141" i="90"/>
  <c r="R141" i="90" s="1"/>
  <c r="M142" i="90"/>
  <c r="M143" i="90"/>
  <c r="M144" i="90"/>
  <c r="M145" i="90"/>
  <c r="R145" i="90" s="1"/>
  <c r="M146" i="90"/>
  <c r="R146" i="90" s="1"/>
  <c r="M147" i="90"/>
  <c r="R147" i="90" s="1"/>
  <c r="M148" i="90"/>
  <c r="R148" i="90" s="1"/>
  <c r="M149" i="90"/>
  <c r="R149" i="90" s="1"/>
  <c r="M150" i="90"/>
  <c r="R150" i="90" s="1"/>
  <c r="M151" i="90"/>
  <c r="R151" i="90" s="1"/>
  <c r="M152" i="90"/>
  <c r="R152" i="90" s="1"/>
  <c r="M153" i="90"/>
  <c r="R153" i="90" s="1"/>
  <c r="M154" i="90"/>
  <c r="R154" i="90" s="1"/>
  <c r="M155" i="90"/>
  <c r="R155" i="90" s="1"/>
  <c r="M156" i="90"/>
  <c r="R156" i="90" s="1"/>
  <c r="M157" i="90"/>
  <c r="R157" i="90" s="1"/>
  <c r="M158" i="90"/>
  <c r="R158" i="90" s="1"/>
  <c r="M159" i="90"/>
  <c r="R159" i="90" s="1"/>
  <c r="M160" i="90"/>
  <c r="R160" i="90" s="1"/>
  <c r="M161" i="90"/>
  <c r="R161" i="90" s="1"/>
  <c r="M162" i="90"/>
  <c r="R162" i="90" s="1"/>
  <c r="M163" i="90"/>
  <c r="M164" i="90"/>
  <c r="M165" i="90"/>
  <c r="M166" i="90"/>
  <c r="R166" i="90" s="1"/>
  <c r="M167" i="90"/>
  <c r="R167" i="90" s="1"/>
  <c r="M168" i="90"/>
  <c r="R168" i="90" s="1"/>
  <c r="M169" i="90"/>
  <c r="R169" i="90" s="1"/>
  <c r="M170" i="90"/>
  <c r="R170" i="90" s="1"/>
  <c r="M171" i="90"/>
  <c r="R171" i="90" s="1"/>
  <c r="M172" i="90"/>
  <c r="R172" i="90" s="1"/>
  <c r="M173" i="90"/>
  <c r="R173" i="90" s="1"/>
  <c r="M174" i="90"/>
  <c r="R174" i="90" s="1"/>
  <c r="M175" i="90"/>
  <c r="R175" i="90" s="1"/>
  <c r="M176" i="90"/>
  <c r="R176" i="90" s="1"/>
  <c r="M177" i="90"/>
  <c r="R177" i="90" s="1"/>
  <c r="M178" i="90"/>
  <c r="R178" i="90" s="1"/>
  <c r="M179" i="90"/>
  <c r="R179" i="90" s="1"/>
  <c r="M180" i="90"/>
  <c r="R180" i="90" s="1"/>
  <c r="M181" i="90"/>
  <c r="R181" i="90" s="1"/>
  <c r="M182" i="90"/>
  <c r="R182" i="90" s="1"/>
  <c r="M183" i="90"/>
  <c r="R183" i="90" s="1"/>
  <c r="M184" i="90"/>
  <c r="M185" i="90"/>
  <c r="M186" i="90"/>
  <c r="M187" i="90"/>
  <c r="R187" i="90" s="1"/>
  <c r="M188" i="90"/>
  <c r="R188" i="90" s="1"/>
  <c r="M189" i="90"/>
  <c r="R189" i="90" s="1"/>
  <c r="M190" i="90"/>
  <c r="R190" i="90" s="1"/>
  <c r="M191" i="90"/>
  <c r="R191" i="90" s="1"/>
  <c r="M192" i="90"/>
  <c r="R192" i="90" s="1"/>
  <c r="M193" i="90"/>
  <c r="R193" i="90" s="1"/>
  <c r="M194" i="90"/>
  <c r="R194" i="90" s="1"/>
  <c r="M195" i="90"/>
  <c r="R195" i="90" s="1"/>
  <c r="M196" i="90"/>
  <c r="R196" i="90" s="1"/>
  <c r="M197" i="90"/>
  <c r="R197" i="90" s="1"/>
  <c r="M198" i="90"/>
  <c r="R198" i="90" s="1"/>
  <c r="M199" i="90"/>
  <c r="R199" i="90" s="1"/>
  <c r="M200" i="90"/>
  <c r="R200" i="90" s="1"/>
  <c r="M201" i="90"/>
  <c r="R201" i="90" s="1"/>
  <c r="M202" i="90"/>
  <c r="R202" i="90" s="1"/>
  <c r="M203" i="90"/>
  <c r="R203" i="90" s="1"/>
  <c r="M204" i="90"/>
  <c r="R204" i="90" s="1"/>
  <c r="M205" i="90"/>
  <c r="M206" i="90"/>
  <c r="M207" i="90"/>
  <c r="M208" i="90"/>
  <c r="R208" i="90" s="1"/>
  <c r="M209" i="90"/>
  <c r="R209" i="90" s="1"/>
  <c r="M210" i="90"/>
  <c r="R210" i="90" s="1"/>
  <c r="M211" i="90"/>
  <c r="R211" i="90" s="1"/>
  <c r="M212" i="90"/>
  <c r="R212" i="90" s="1"/>
  <c r="M213" i="90"/>
  <c r="R213" i="90" s="1"/>
  <c r="M214" i="90"/>
  <c r="R214" i="90" s="1"/>
  <c r="M215" i="90"/>
  <c r="R215" i="90" s="1"/>
  <c r="M216" i="90"/>
  <c r="R216" i="90" s="1"/>
  <c r="M217" i="90"/>
  <c r="R217" i="90" s="1"/>
  <c r="M218" i="90"/>
  <c r="R218" i="90" s="1"/>
  <c r="M219" i="90"/>
  <c r="R219" i="90" s="1"/>
  <c r="M220" i="90"/>
  <c r="R220" i="90" s="1"/>
  <c r="M221" i="90"/>
  <c r="R221" i="90" s="1"/>
  <c r="M222" i="90"/>
  <c r="R222" i="90" s="1"/>
  <c r="M223" i="90"/>
  <c r="R223" i="90" s="1"/>
  <c r="M224" i="90"/>
  <c r="R224" i="90" s="1"/>
  <c r="M225" i="90"/>
  <c r="R225" i="90" s="1"/>
  <c r="M226" i="90"/>
  <c r="M227" i="90"/>
  <c r="M228" i="90"/>
  <c r="M229" i="90"/>
  <c r="R229" i="90" s="1"/>
  <c r="M230" i="90"/>
  <c r="R230" i="90" s="1"/>
  <c r="M231" i="90"/>
  <c r="R231" i="90" s="1"/>
  <c r="M232" i="90"/>
  <c r="R232" i="90" s="1"/>
  <c r="M233" i="90"/>
  <c r="R233" i="90" s="1"/>
  <c r="M234" i="90"/>
  <c r="R234" i="90" s="1"/>
  <c r="M235" i="90"/>
  <c r="R235" i="90" s="1"/>
  <c r="M236" i="90"/>
  <c r="R236" i="90" s="1"/>
  <c r="M237" i="90"/>
  <c r="R237" i="90" s="1"/>
  <c r="M238" i="90"/>
  <c r="R238" i="90" s="1"/>
  <c r="M239" i="90"/>
  <c r="R239" i="90" s="1"/>
  <c r="M240" i="90"/>
  <c r="R240" i="90" s="1"/>
  <c r="M241" i="90"/>
  <c r="R241" i="90" s="1"/>
  <c r="M242" i="90"/>
  <c r="R242" i="90" s="1"/>
  <c r="M243" i="90"/>
  <c r="R243" i="90" s="1"/>
  <c r="M244" i="90"/>
  <c r="R244" i="90" s="1"/>
  <c r="M245" i="90"/>
  <c r="R245" i="90" s="1"/>
  <c r="M246" i="90"/>
  <c r="R246" i="90" s="1"/>
  <c r="M247" i="90"/>
  <c r="M248" i="90"/>
  <c r="M249" i="90"/>
  <c r="M250" i="90"/>
  <c r="R250" i="90" s="1"/>
  <c r="M251" i="90"/>
  <c r="R251" i="90" s="1"/>
  <c r="M252" i="90"/>
  <c r="R252" i="90" s="1"/>
  <c r="M253" i="90"/>
  <c r="R253" i="90" s="1"/>
  <c r="M254" i="90"/>
  <c r="R254" i="90" s="1"/>
  <c r="M255" i="90"/>
  <c r="R255" i="90" s="1"/>
  <c r="M256" i="90"/>
  <c r="R256" i="90" s="1"/>
  <c r="M257" i="90"/>
  <c r="R257" i="90" s="1"/>
  <c r="M258" i="90"/>
  <c r="R258" i="90" s="1"/>
  <c r="M259" i="90"/>
  <c r="R259" i="90" s="1"/>
  <c r="M260" i="90"/>
  <c r="R260" i="90" s="1"/>
  <c r="M261" i="90"/>
  <c r="R261" i="90" s="1"/>
  <c r="M262" i="90"/>
  <c r="R262" i="90" s="1"/>
  <c r="M263" i="90"/>
  <c r="R263" i="90" s="1"/>
  <c r="M264" i="90"/>
  <c r="R264" i="90" s="1"/>
  <c r="M265" i="90"/>
  <c r="R265" i="90" s="1"/>
  <c r="M266" i="90"/>
  <c r="R266" i="90" s="1"/>
  <c r="M267" i="90"/>
  <c r="R267" i="90" s="1"/>
  <c r="M268" i="90"/>
  <c r="M269" i="90"/>
  <c r="M270" i="90"/>
  <c r="M271" i="90"/>
  <c r="R271" i="90" s="1"/>
  <c r="M272" i="90"/>
  <c r="R272" i="90" s="1"/>
  <c r="M273" i="90"/>
  <c r="R273" i="90" s="1"/>
  <c r="M274" i="90"/>
  <c r="R274" i="90" s="1"/>
  <c r="M275" i="90"/>
  <c r="R275" i="90" s="1"/>
  <c r="M276" i="90"/>
  <c r="R276" i="90" s="1"/>
  <c r="M277" i="90"/>
  <c r="R277" i="90" s="1"/>
  <c r="M278" i="90"/>
  <c r="R278" i="90" s="1"/>
  <c r="M279" i="90"/>
  <c r="R279" i="90" s="1"/>
  <c r="M280" i="90"/>
  <c r="R280" i="90" s="1"/>
  <c r="M281" i="90"/>
  <c r="R281" i="90" s="1"/>
  <c r="M282" i="90"/>
  <c r="R282" i="90" s="1"/>
  <c r="M283" i="90"/>
  <c r="R283" i="90" s="1"/>
  <c r="M284" i="90"/>
  <c r="R284" i="90" s="1"/>
  <c r="M285" i="90"/>
  <c r="R285" i="90" s="1"/>
  <c r="M286" i="90"/>
  <c r="R286" i="90" s="1"/>
  <c r="M287" i="90"/>
  <c r="R287" i="90" s="1"/>
  <c r="M288" i="90"/>
  <c r="R288" i="90" s="1"/>
  <c r="M289" i="90"/>
  <c r="M290" i="90"/>
  <c r="M291" i="90"/>
  <c r="M292" i="90"/>
  <c r="R292" i="90" s="1"/>
  <c r="M293" i="90"/>
  <c r="R293" i="90" s="1"/>
  <c r="M294" i="90"/>
  <c r="R294" i="90" s="1"/>
  <c r="M295" i="90"/>
  <c r="R295" i="90" s="1"/>
  <c r="M296" i="90"/>
  <c r="R296" i="90" s="1"/>
  <c r="M297" i="90"/>
  <c r="R297" i="90" s="1"/>
  <c r="M298" i="90"/>
  <c r="R298" i="90" s="1"/>
  <c r="M299" i="90"/>
  <c r="R299" i="90" s="1"/>
  <c r="M300" i="90"/>
  <c r="R300" i="90" s="1"/>
  <c r="M301" i="90"/>
  <c r="R301" i="90" s="1"/>
  <c r="M302" i="90"/>
  <c r="R302" i="90" s="1"/>
  <c r="M303" i="90"/>
  <c r="R303" i="90" s="1"/>
  <c r="M304" i="90"/>
  <c r="R304" i="90" s="1"/>
  <c r="M305" i="90"/>
  <c r="R305" i="90" s="1"/>
  <c r="M306" i="90"/>
  <c r="R306" i="90" s="1"/>
  <c r="M307" i="90"/>
  <c r="R307" i="90" s="1"/>
  <c r="M308" i="90"/>
  <c r="R308" i="90" s="1"/>
  <c r="M309" i="90"/>
  <c r="R309" i="90" s="1"/>
  <c r="M310" i="90"/>
  <c r="M311" i="90"/>
  <c r="M312" i="90"/>
  <c r="M313" i="90"/>
  <c r="R313" i="90" s="1"/>
  <c r="M314" i="90"/>
  <c r="R314" i="90" s="1"/>
  <c r="M315" i="90"/>
  <c r="R315" i="90" s="1"/>
  <c r="M316" i="90"/>
  <c r="R316" i="90" s="1"/>
  <c r="M317" i="90"/>
  <c r="R317" i="90" s="1"/>
  <c r="M318" i="90"/>
  <c r="R318" i="90" s="1"/>
  <c r="M319" i="90"/>
  <c r="R319" i="90" s="1"/>
  <c r="M320" i="90"/>
  <c r="R320" i="90" s="1"/>
  <c r="M321" i="90"/>
  <c r="R321" i="90" s="1"/>
  <c r="M322" i="90"/>
  <c r="R322" i="90" s="1"/>
  <c r="M323" i="90"/>
  <c r="R323" i="90" s="1"/>
  <c r="M324" i="90"/>
  <c r="R324" i="90" s="1"/>
  <c r="M325" i="90"/>
  <c r="R325" i="90" s="1"/>
  <c r="M326" i="90"/>
  <c r="R326" i="90" s="1"/>
  <c r="M327" i="90"/>
  <c r="R327" i="90" s="1"/>
  <c r="M328" i="90"/>
  <c r="R328" i="90" s="1"/>
  <c r="M329" i="90"/>
  <c r="R329" i="90" s="1"/>
  <c r="M330" i="90"/>
  <c r="R330" i="90" s="1"/>
  <c r="M331" i="90"/>
  <c r="M332" i="90"/>
  <c r="M333" i="90"/>
  <c r="M334" i="90"/>
  <c r="R334" i="90" s="1"/>
  <c r="M335" i="90"/>
  <c r="R335" i="90" s="1"/>
  <c r="M336" i="90"/>
  <c r="R336" i="90" s="1"/>
  <c r="M337" i="90"/>
  <c r="R337" i="90" s="1"/>
  <c r="M338" i="90"/>
  <c r="R338" i="90" s="1"/>
  <c r="M339" i="90"/>
  <c r="R339" i="90" s="1"/>
  <c r="M340" i="90"/>
  <c r="R340" i="90" s="1"/>
  <c r="M341" i="90"/>
  <c r="R341" i="90" s="1"/>
  <c r="M342" i="90"/>
  <c r="R342" i="90" s="1"/>
  <c r="M343" i="90"/>
  <c r="R343" i="90" s="1"/>
  <c r="M344" i="90"/>
  <c r="R344" i="90" s="1"/>
  <c r="M345" i="90"/>
  <c r="R345" i="90" s="1"/>
  <c r="M346" i="90"/>
  <c r="R346" i="90" s="1"/>
  <c r="M347" i="90"/>
  <c r="R347" i="90" s="1"/>
  <c r="M348" i="90"/>
  <c r="R348" i="90" s="1"/>
  <c r="M349" i="90"/>
  <c r="R349" i="90" s="1"/>
  <c r="M350" i="90"/>
  <c r="R350" i="90" s="1"/>
  <c r="M351" i="90"/>
  <c r="R351" i="90" s="1"/>
  <c r="M352" i="90"/>
  <c r="M353" i="90"/>
  <c r="M354" i="90"/>
  <c r="M355" i="90"/>
  <c r="R355" i="90" s="1"/>
  <c r="M356" i="90"/>
  <c r="R356" i="90" s="1"/>
  <c r="M357" i="90"/>
  <c r="R357" i="90" s="1"/>
  <c r="M358" i="90"/>
  <c r="R358" i="90" s="1"/>
  <c r="M359" i="90"/>
  <c r="R359" i="90" s="1"/>
  <c r="M360" i="90"/>
  <c r="R360" i="90" s="1"/>
  <c r="M361" i="90"/>
  <c r="R361" i="90" s="1"/>
  <c r="M362" i="90"/>
  <c r="R362" i="90" s="1"/>
  <c r="M363" i="90"/>
  <c r="R363" i="90" s="1"/>
  <c r="M364" i="90"/>
  <c r="R364" i="90" s="1"/>
  <c r="M365" i="90"/>
  <c r="R365" i="90" s="1"/>
  <c r="M366" i="90"/>
  <c r="R366" i="90" s="1"/>
  <c r="M367" i="90"/>
  <c r="R367" i="90" s="1"/>
  <c r="M368" i="90"/>
  <c r="R368" i="90" s="1"/>
  <c r="M369" i="90"/>
  <c r="R369" i="90" s="1"/>
  <c r="M370" i="90"/>
  <c r="R370" i="90" s="1"/>
  <c r="M371" i="90"/>
  <c r="R371" i="90" s="1"/>
  <c r="M372" i="90"/>
  <c r="R372" i="90" s="1"/>
  <c r="M373" i="90"/>
  <c r="M374" i="90"/>
  <c r="M375" i="90"/>
  <c r="M376" i="90"/>
  <c r="R376" i="90" s="1"/>
  <c r="M377" i="90"/>
  <c r="R377" i="90" s="1"/>
  <c r="M378" i="90"/>
  <c r="R378" i="90" s="1"/>
  <c r="M379" i="90"/>
  <c r="R379" i="90" s="1"/>
  <c r="M380" i="90"/>
  <c r="R380" i="90" s="1"/>
  <c r="M381" i="90"/>
  <c r="R381" i="90" s="1"/>
  <c r="M382" i="90"/>
  <c r="R382" i="90" s="1"/>
  <c r="M383" i="90"/>
  <c r="R383" i="90" s="1"/>
  <c r="M384" i="90"/>
  <c r="R384" i="90" s="1"/>
  <c r="M385" i="90"/>
  <c r="R385" i="90" s="1"/>
  <c r="M386" i="90"/>
  <c r="R386" i="90" s="1"/>
  <c r="M387" i="90"/>
  <c r="R387" i="90" s="1"/>
  <c r="M388" i="90"/>
  <c r="R388" i="90" s="1"/>
  <c r="M389" i="90"/>
  <c r="R389" i="90" s="1"/>
  <c r="M390" i="90"/>
  <c r="R390" i="90" s="1"/>
  <c r="M391" i="90"/>
  <c r="R391" i="90" s="1"/>
  <c r="M392" i="90"/>
  <c r="R392" i="90" s="1"/>
  <c r="M393" i="90"/>
  <c r="R393" i="90" s="1"/>
  <c r="M394" i="90"/>
  <c r="M395" i="90"/>
  <c r="M396" i="90"/>
  <c r="M397" i="90"/>
  <c r="R397" i="90" s="1"/>
  <c r="M398" i="90"/>
  <c r="R398" i="90" s="1"/>
  <c r="M399" i="90"/>
  <c r="R399" i="90" s="1"/>
  <c r="M400" i="90"/>
  <c r="R400" i="90" s="1"/>
  <c r="M401" i="90"/>
  <c r="R401" i="90" s="1"/>
  <c r="M402" i="90"/>
  <c r="R402" i="90" s="1"/>
  <c r="M403" i="90"/>
  <c r="R403" i="90" s="1"/>
  <c r="M404" i="90"/>
  <c r="R404" i="90" s="1"/>
  <c r="M405" i="90"/>
  <c r="R405" i="90" s="1"/>
  <c r="M406" i="90"/>
  <c r="R406" i="90" s="1"/>
  <c r="M407" i="90"/>
  <c r="R407" i="90" s="1"/>
  <c r="M408" i="90"/>
  <c r="R408" i="90" s="1"/>
  <c r="M409" i="90"/>
  <c r="R409" i="90" s="1"/>
  <c r="M410" i="90"/>
  <c r="R410" i="90" s="1"/>
  <c r="M411" i="90"/>
  <c r="R411" i="90" s="1"/>
  <c r="M412" i="90"/>
  <c r="R412" i="90" s="1"/>
  <c r="M413" i="90"/>
  <c r="R413" i="90" s="1"/>
  <c r="M414" i="90"/>
  <c r="R414" i="90" s="1"/>
  <c r="M415" i="90"/>
  <c r="M416" i="90"/>
  <c r="M417" i="90"/>
  <c r="M418" i="90"/>
  <c r="R418" i="90" s="1"/>
  <c r="M419" i="90"/>
  <c r="R419" i="90" s="1"/>
  <c r="M420" i="90"/>
  <c r="R420" i="90" s="1"/>
  <c r="M421" i="90"/>
  <c r="R421" i="90" s="1"/>
  <c r="M422" i="90"/>
  <c r="R422" i="90" s="1"/>
  <c r="M423" i="90"/>
  <c r="R423" i="90" s="1"/>
  <c r="M424" i="90"/>
  <c r="R424" i="90" s="1"/>
  <c r="M425" i="90"/>
  <c r="R425" i="90" s="1"/>
  <c r="M426" i="90"/>
  <c r="R426" i="90" s="1"/>
  <c r="M427" i="90"/>
  <c r="R427" i="90" s="1"/>
  <c r="M428" i="90"/>
  <c r="R428" i="90" s="1"/>
  <c r="M429" i="90"/>
  <c r="R429" i="90" s="1"/>
  <c r="M430" i="90"/>
  <c r="R430" i="90" s="1"/>
  <c r="M431" i="90"/>
  <c r="R431" i="90" s="1"/>
  <c r="M432" i="90"/>
  <c r="R432" i="90" s="1"/>
  <c r="M433" i="90"/>
  <c r="R433" i="90" s="1"/>
  <c r="M434" i="90"/>
  <c r="R434" i="90" s="1"/>
  <c r="M435" i="90"/>
  <c r="R435" i="90" s="1"/>
  <c r="M436" i="90"/>
  <c r="M437" i="90"/>
  <c r="M438" i="90"/>
  <c r="M439" i="90"/>
  <c r="R439" i="90" s="1"/>
  <c r="M440" i="90"/>
  <c r="R440" i="90" s="1"/>
  <c r="M441" i="90"/>
  <c r="R441" i="90" s="1"/>
  <c r="M442" i="90"/>
  <c r="R442" i="90" s="1"/>
  <c r="M443" i="90"/>
  <c r="R443" i="90" s="1"/>
  <c r="M444" i="90"/>
  <c r="R444" i="90" s="1"/>
  <c r="M445" i="90"/>
  <c r="R445" i="90" s="1"/>
  <c r="M446" i="90"/>
  <c r="R446" i="90" s="1"/>
  <c r="M447" i="90"/>
  <c r="R447" i="90" s="1"/>
  <c r="M448" i="90"/>
  <c r="R448" i="90" s="1"/>
  <c r="M449" i="90"/>
  <c r="R449" i="90" s="1"/>
  <c r="M450" i="90"/>
  <c r="R450" i="90" s="1"/>
  <c r="M451" i="90"/>
  <c r="R451" i="90" s="1"/>
  <c r="M452" i="90"/>
  <c r="R452" i="90" s="1"/>
  <c r="M453" i="90"/>
  <c r="R453" i="90" s="1"/>
  <c r="M454" i="90"/>
  <c r="R454" i="90" s="1"/>
  <c r="M455" i="90"/>
  <c r="R455" i="90" s="1"/>
  <c r="M456" i="90"/>
  <c r="R456" i="90" s="1"/>
  <c r="M37" i="90"/>
  <c r="J38" i="90" l="1"/>
  <c r="K38" i="90" s="1"/>
  <c r="J39" i="90"/>
  <c r="K39" i="90" s="1"/>
  <c r="J40" i="90"/>
  <c r="K40" i="90" s="1"/>
  <c r="J41" i="90"/>
  <c r="K41" i="90" s="1"/>
  <c r="J42" i="90"/>
  <c r="K42" i="90" s="1"/>
  <c r="J43" i="90"/>
  <c r="K43" i="90" s="1"/>
  <c r="J44" i="90"/>
  <c r="K44" i="90" s="1"/>
  <c r="J45" i="90"/>
  <c r="K45" i="90" s="1"/>
  <c r="J46" i="90"/>
  <c r="K46" i="90" s="1"/>
  <c r="J47" i="90"/>
  <c r="K47" i="90" s="1"/>
  <c r="J48" i="90"/>
  <c r="K48" i="90" s="1"/>
  <c r="J49" i="90"/>
  <c r="K49" i="90" s="1"/>
  <c r="J50" i="90"/>
  <c r="K50" i="90" s="1"/>
  <c r="J51" i="90"/>
  <c r="K51" i="90" s="1"/>
  <c r="J52" i="90"/>
  <c r="K52" i="90" s="1"/>
  <c r="J53" i="90"/>
  <c r="K53" i="90" s="1"/>
  <c r="J54" i="90"/>
  <c r="K54" i="90" s="1"/>
  <c r="J55" i="90"/>
  <c r="K55" i="90" s="1"/>
  <c r="J56" i="90"/>
  <c r="K56" i="90" s="1"/>
  <c r="J57" i="90"/>
  <c r="K57" i="90" s="1"/>
  <c r="J58" i="90"/>
  <c r="K58" i="90" s="1"/>
  <c r="J59" i="90"/>
  <c r="K59" i="90" s="1"/>
  <c r="J60" i="90"/>
  <c r="K60" i="90" s="1"/>
  <c r="J61" i="90"/>
  <c r="K61" i="90" s="1"/>
  <c r="J62" i="90"/>
  <c r="K62" i="90" s="1"/>
  <c r="J63" i="90"/>
  <c r="K63" i="90" s="1"/>
  <c r="J64" i="90"/>
  <c r="K64" i="90" s="1"/>
  <c r="J65" i="90"/>
  <c r="K65" i="90" s="1"/>
  <c r="J66" i="90"/>
  <c r="K66" i="90" s="1"/>
  <c r="J67" i="90"/>
  <c r="K67" i="90" s="1"/>
  <c r="J68" i="90"/>
  <c r="K68" i="90" s="1"/>
  <c r="J69" i="90"/>
  <c r="K69" i="90" s="1"/>
  <c r="J70" i="90"/>
  <c r="K70" i="90" s="1"/>
  <c r="J71" i="90"/>
  <c r="K71" i="90" s="1"/>
  <c r="J72" i="90"/>
  <c r="K72" i="90" s="1"/>
  <c r="J73" i="90"/>
  <c r="K73" i="90" s="1"/>
  <c r="J74" i="90"/>
  <c r="K74" i="90" s="1"/>
  <c r="J75" i="90"/>
  <c r="K75" i="90" s="1"/>
  <c r="J76" i="90"/>
  <c r="K76" i="90" s="1"/>
  <c r="J77" i="90"/>
  <c r="K77" i="90" s="1"/>
  <c r="J78" i="90"/>
  <c r="K78" i="90" s="1"/>
  <c r="J79" i="90"/>
  <c r="K79" i="90" s="1"/>
  <c r="J80" i="90"/>
  <c r="K80" i="90" s="1"/>
  <c r="J81" i="90"/>
  <c r="K81" i="90" s="1"/>
  <c r="J82" i="90"/>
  <c r="K82" i="90" s="1"/>
  <c r="J83" i="90"/>
  <c r="K83" i="90" s="1"/>
  <c r="J84" i="90"/>
  <c r="K84" i="90" s="1"/>
  <c r="J85" i="90"/>
  <c r="K85" i="90" s="1"/>
  <c r="J86" i="90"/>
  <c r="K86" i="90" s="1"/>
  <c r="J87" i="90"/>
  <c r="K87" i="90" s="1"/>
  <c r="J88" i="90"/>
  <c r="K88" i="90" s="1"/>
  <c r="J89" i="90"/>
  <c r="K89" i="90" s="1"/>
  <c r="J90" i="90"/>
  <c r="K90" i="90" s="1"/>
  <c r="J91" i="90"/>
  <c r="K91" i="90" s="1"/>
  <c r="J92" i="90"/>
  <c r="K92" i="90" s="1"/>
  <c r="J93" i="90"/>
  <c r="K93" i="90" s="1"/>
  <c r="J94" i="90"/>
  <c r="K94" i="90" s="1"/>
  <c r="J95" i="90"/>
  <c r="K95" i="90" s="1"/>
  <c r="J96" i="90"/>
  <c r="K96" i="90" s="1"/>
  <c r="J97" i="90"/>
  <c r="K97" i="90" s="1"/>
  <c r="J98" i="90"/>
  <c r="K98" i="90" s="1"/>
  <c r="J99" i="90"/>
  <c r="K99" i="90" s="1"/>
  <c r="J100" i="90"/>
  <c r="K100" i="90" s="1"/>
  <c r="J101" i="90"/>
  <c r="K101" i="90" s="1"/>
  <c r="J102" i="90"/>
  <c r="K102" i="90" s="1"/>
  <c r="J103" i="90"/>
  <c r="K103" i="90" s="1"/>
  <c r="J104" i="90"/>
  <c r="K104" i="90" s="1"/>
  <c r="J105" i="90"/>
  <c r="K105" i="90" s="1"/>
  <c r="J106" i="90"/>
  <c r="K106" i="90" s="1"/>
  <c r="J107" i="90"/>
  <c r="K107" i="90" s="1"/>
  <c r="J108" i="90"/>
  <c r="K108" i="90" s="1"/>
  <c r="J109" i="90"/>
  <c r="K109" i="90" s="1"/>
  <c r="J110" i="90"/>
  <c r="K110" i="90" s="1"/>
  <c r="J111" i="90"/>
  <c r="K111" i="90" s="1"/>
  <c r="J112" i="90"/>
  <c r="K112" i="90" s="1"/>
  <c r="J113" i="90"/>
  <c r="K113" i="90" s="1"/>
  <c r="J114" i="90"/>
  <c r="K114" i="90" s="1"/>
  <c r="J115" i="90"/>
  <c r="K115" i="90" s="1"/>
  <c r="J116" i="90"/>
  <c r="K116" i="90" s="1"/>
  <c r="J117" i="90"/>
  <c r="K117" i="90" s="1"/>
  <c r="J118" i="90"/>
  <c r="K118" i="90" s="1"/>
  <c r="J119" i="90"/>
  <c r="K119" i="90" s="1"/>
  <c r="J120" i="90"/>
  <c r="K120" i="90" s="1"/>
  <c r="J121" i="90"/>
  <c r="K121" i="90" s="1"/>
  <c r="J122" i="90"/>
  <c r="K122" i="90" s="1"/>
  <c r="J123" i="90"/>
  <c r="K123" i="90" s="1"/>
  <c r="J124" i="90"/>
  <c r="K124" i="90" s="1"/>
  <c r="J125" i="90"/>
  <c r="K125" i="90" s="1"/>
  <c r="J126" i="90"/>
  <c r="K126" i="90" s="1"/>
  <c r="J127" i="90"/>
  <c r="K127" i="90" s="1"/>
  <c r="J128" i="90"/>
  <c r="K128" i="90" s="1"/>
  <c r="J129" i="90"/>
  <c r="K129" i="90" s="1"/>
  <c r="J130" i="90"/>
  <c r="K130" i="90" s="1"/>
  <c r="J131" i="90"/>
  <c r="K131" i="90" s="1"/>
  <c r="J132" i="90"/>
  <c r="K132" i="90" s="1"/>
  <c r="J133" i="90"/>
  <c r="K133" i="90" s="1"/>
  <c r="J134" i="90"/>
  <c r="K134" i="90" s="1"/>
  <c r="J135" i="90"/>
  <c r="K135" i="90" s="1"/>
  <c r="J136" i="90"/>
  <c r="K136" i="90" s="1"/>
  <c r="J137" i="90"/>
  <c r="K137" i="90" s="1"/>
  <c r="J138" i="90"/>
  <c r="K138" i="90" s="1"/>
  <c r="J139" i="90"/>
  <c r="K139" i="90" s="1"/>
  <c r="J140" i="90"/>
  <c r="K140" i="90" s="1"/>
  <c r="J141" i="90"/>
  <c r="K141" i="90" s="1"/>
  <c r="J142" i="90"/>
  <c r="K142" i="90" s="1"/>
  <c r="J143" i="90"/>
  <c r="K143" i="90" s="1"/>
  <c r="J144" i="90"/>
  <c r="K144" i="90" s="1"/>
  <c r="J145" i="90"/>
  <c r="K145" i="90" s="1"/>
  <c r="J146" i="90"/>
  <c r="K146" i="90" s="1"/>
  <c r="J147" i="90"/>
  <c r="K147" i="90" s="1"/>
  <c r="J148" i="90"/>
  <c r="K148" i="90" s="1"/>
  <c r="J149" i="90"/>
  <c r="K149" i="90" s="1"/>
  <c r="J150" i="90"/>
  <c r="K150" i="90" s="1"/>
  <c r="J151" i="90"/>
  <c r="K151" i="90" s="1"/>
  <c r="J152" i="90"/>
  <c r="K152" i="90" s="1"/>
  <c r="J153" i="90"/>
  <c r="K153" i="90" s="1"/>
  <c r="J154" i="90"/>
  <c r="K154" i="90" s="1"/>
  <c r="J155" i="90"/>
  <c r="K155" i="90" s="1"/>
  <c r="J156" i="90"/>
  <c r="K156" i="90" s="1"/>
  <c r="J157" i="90"/>
  <c r="K157" i="90" s="1"/>
  <c r="J158" i="90"/>
  <c r="K158" i="90" s="1"/>
  <c r="J159" i="90"/>
  <c r="K159" i="90" s="1"/>
  <c r="J160" i="90"/>
  <c r="K160" i="90" s="1"/>
  <c r="J161" i="90"/>
  <c r="K161" i="90" s="1"/>
  <c r="J162" i="90"/>
  <c r="K162" i="90" s="1"/>
  <c r="J163" i="90"/>
  <c r="K163" i="90" s="1"/>
  <c r="J164" i="90"/>
  <c r="K164" i="90" s="1"/>
  <c r="J165" i="90"/>
  <c r="K165" i="90" s="1"/>
  <c r="J166" i="90"/>
  <c r="K166" i="90" s="1"/>
  <c r="J167" i="90"/>
  <c r="K167" i="90" s="1"/>
  <c r="J168" i="90"/>
  <c r="K168" i="90" s="1"/>
  <c r="J169" i="90"/>
  <c r="K169" i="90" s="1"/>
  <c r="J170" i="90"/>
  <c r="K170" i="90" s="1"/>
  <c r="J171" i="90"/>
  <c r="K171" i="90" s="1"/>
  <c r="J172" i="90"/>
  <c r="K172" i="90" s="1"/>
  <c r="J173" i="90"/>
  <c r="K173" i="90" s="1"/>
  <c r="J174" i="90"/>
  <c r="K174" i="90" s="1"/>
  <c r="J175" i="90"/>
  <c r="K175" i="90" s="1"/>
  <c r="J176" i="90"/>
  <c r="K176" i="90" s="1"/>
  <c r="J177" i="90"/>
  <c r="K177" i="90" s="1"/>
  <c r="J178" i="90"/>
  <c r="K178" i="90" s="1"/>
  <c r="J179" i="90"/>
  <c r="K179" i="90" s="1"/>
  <c r="J180" i="90"/>
  <c r="K180" i="90" s="1"/>
  <c r="J181" i="90"/>
  <c r="K181" i="90" s="1"/>
  <c r="J182" i="90"/>
  <c r="K182" i="90" s="1"/>
  <c r="J183" i="90"/>
  <c r="K183" i="90" s="1"/>
  <c r="J184" i="90"/>
  <c r="K184" i="90" s="1"/>
  <c r="J185" i="90"/>
  <c r="K185" i="90" s="1"/>
  <c r="J186" i="90"/>
  <c r="K186" i="90" s="1"/>
  <c r="J187" i="90"/>
  <c r="K187" i="90" s="1"/>
  <c r="J188" i="90"/>
  <c r="K188" i="90" s="1"/>
  <c r="J189" i="90"/>
  <c r="K189" i="90" s="1"/>
  <c r="J190" i="90"/>
  <c r="K190" i="90" s="1"/>
  <c r="J191" i="90"/>
  <c r="K191" i="90" s="1"/>
  <c r="J192" i="90"/>
  <c r="K192" i="90" s="1"/>
  <c r="J193" i="90"/>
  <c r="K193" i="90" s="1"/>
  <c r="J194" i="90"/>
  <c r="K194" i="90" s="1"/>
  <c r="J195" i="90"/>
  <c r="K195" i="90" s="1"/>
  <c r="J196" i="90"/>
  <c r="K196" i="90" s="1"/>
  <c r="J197" i="90"/>
  <c r="K197" i="90" s="1"/>
  <c r="J198" i="90"/>
  <c r="K198" i="90" s="1"/>
  <c r="J199" i="90"/>
  <c r="K199" i="90" s="1"/>
  <c r="J200" i="90"/>
  <c r="K200" i="90" s="1"/>
  <c r="J201" i="90"/>
  <c r="K201" i="90" s="1"/>
  <c r="J202" i="90"/>
  <c r="K202" i="90" s="1"/>
  <c r="J203" i="90"/>
  <c r="K203" i="90" s="1"/>
  <c r="J204" i="90"/>
  <c r="K204" i="90" s="1"/>
  <c r="J205" i="90"/>
  <c r="K205" i="90" s="1"/>
  <c r="J206" i="90"/>
  <c r="K206" i="90" s="1"/>
  <c r="J207" i="90"/>
  <c r="K207" i="90" s="1"/>
  <c r="J208" i="90"/>
  <c r="K208" i="90" s="1"/>
  <c r="J209" i="90"/>
  <c r="K209" i="90" s="1"/>
  <c r="J210" i="90"/>
  <c r="K210" i="90" s="1"/>
  <c r="J211" i="90"/>
  <c r="K211" i="90" s="1"/>
  <c r="J212" i="90"/>
  <c r="K212" i="90" s="1"/>
  <c r="J213" i="90"/>
  <c r="K213" i="90" s="1"/>
  <c r="J214" i="90"/>
  <c r="K214" i="90" s="1"/>
  <c r="J215" i="90"/>
  <c r="K215" i="90" s="1"/>
  <c r="J216" i="90"/>
  <c r="K216" i="90" s="1"/>
  <c r="J217" i="90"/>
  <c r="K217" i="90" s="1"/>
  <c r="J218" i="90"/>
  <c r="K218" i="90" s="1"/>
  <c r="J219" i="90"/>
  <c r="K219" i="90" s="1"/>
  <c r="J220" i="90"/>
  <c r="K220" i="90" s="1"/>
  <c r="J221" i="90"/>
  <c r="K221" i="90" s="1"/>
  <c r="J222" i="90"/>
  <c r="K222" i="90" s="1"/>
  <c r="J223" i="90"/>
  <c r="K223" i="90" s="1"/>
  <c r="J224" i="90"/>
  <c r="K224" i="90" s="1"/>
  <c r="J225" i="90"/>
  <c r="K225" i="90" s="1"/>
  <c r="J226" i="90"/>
  <c r="K226" i="90" s="1"/>
  <c r="J227" i="90"/>
  <c r="K227" i="90" s="1"/>
  <c r="J228" i="90"/>
  <c r="K228" i="90" s="1"/>
  <c r="J229" i="90"/>
  <c r="K229" i="90" s="1"/>
  <c r="J230" i="90"/>
  <c r="K230" i="90" s="1"/>
  <c r="J231" i="90"/>
  <c r="K231" i="90" s="1"/>
  <c r="J232" i="90"/>
  <c r="K232" i="90" s="1"/>
  <c r="J233" i="90"/>
  <c r="K233" i="90" s="1"/>
  <c r="J234" i="90"/>
  <c r="K234" i="90" s="1"/>
  <c r="J235" i="90"/>
  <c r="K235" i="90" s="1"/>
  <c r="J236" i="90"/>
  <c r="K236" i="90" s="1"/>
  <c r="J237" i="90"/>
  <c r="K237" i="90" s="1"/>
  <c r="J238" i="90"/>
  <c r="K238" i="90" s="1"/>
  <c r="J239" i="90"/>
  <c r="K239" i="90" s="1"/>
  <c r="J240" i="90"/>
  <c r="K240" i="90" s="1"/>
  <c r="J241" i="90"/>
  <c r="K241" i="90" s="1"/>
  <c r="J242" i="90"/>
  <c r="K242" i="90" s="1"/>
  <c r="J243" i="90"/>
  <c r="K243" i="90" s="1"/>
  <c r="J244" i="90"/>
  <c r="K244" i="90" s="1"/>
  <c r="J245" i="90"/>
  <c r="K245" i="90" s="1"/>
  <c r="J246" i="90"/>
  <c r="K246" i="90" s="1"/>
  <c r="J247" i="90"/>
  <c r="K247" i="90" s="1"/>
  <c r="J248" i="90"/>
  <c r="K248" i="90" s="1"/>
  <c r="J249" i="90"/>
  <c r="K249" i="90" s="1"/>
  <c r="J250" i="90"/>
  <c r="K250" i="90" s="1"/>
  <c r="J251" i="90"/>
  <c r="K251" i="90" s="1"/>
  <c r="J252" i="90"/>
  <c r="K252" i="90" s="1"/>
  <c r="J253" i="90"/>
  <c r="K253" i="90" s="1"/>
  <c r="J254" i="90"/>
  <c r="K254" i="90" s="1"/>
  <c r="J255" i="90"/>
  <c r="K255" i="90" s="1"/>
  <c r="J256" i="90"/>
  <c r="K256" i="90" s="1"/>
  <c r="J257" i="90"/>
  <c r="K257" i="90" s="1"/>
  <c r="J258" i="90"/>
  <c r="K258" i="90" s="1"/>
  <c r="J259" i="90"/>
  <c r="K259" i="90" s="1"/>
  <c r="J260" i="90"/>
  <c r="K260" i="90" s="1"/>
  <c r="J261" i="90"/>
  <c r="K261" i="90" s="1"/>
  <c r="J262" i="90"/>
  <c r="K262" i="90" s="1"/>
  <c r="J263" i="90"/>
  <c r="K263" i="90" s="1"/>
  <c r="J264" i="90"/>
  <c r="K264" i="90" s="1"/>
  <c r="J265" i="90"/>
  <c r="K265" i="90" s="1"/>
  <c r="J266" i="90"/>
  <c r="K266" i="90" s="1"/>
  <c r="J267" i="90"/>
  <c r="K267" i="90" s="1"/>
  <c r="J268" i="90"/>
  <c r="K268" i="90" s="1"/>
  <c r="J269" i="90"/>
  <c r="K269" i="90" s="1"/>
  <c r="J270" i="90"/>
  <c r="K270" i="90" s="1"/>
  <c r="J271" i="90"/>
  <c r="K271" i="90" s="1"/>
  <c r="J272" i="90"/>
  <c r="K272" i="90" s="1"/>
  <c r="J273" i="90"/>
  <c r="K273" i="90" s="1"/>
  <c r="J274" i="90"/>
  <c r="K274" i="90" s="1"/>
  <c r="J275" i="90"/>
  <c r="K275" i="90" s="1"/>
  <c r="J276" i="90"/>
  <c r="K276" i="90" s="1"/>
  <c r="J277" i="90"/>
  <c r="K277" i="90" s="1"/>
  <c r="J278" i="90"/>
  <c r="K278" i="90" s="1"/>
  <c r="J279" i="90"/>
  <c r="K279" i="90" s="1"/>
  <c r="J280" i="90"/>
  <c r="K280" i="90" s="1"/>
  <c r="J281" i="90"/>
  <c r="K281" i="90" s="1"/>
  <c r="J282" i="90"/>
  <c r="K282" i="90" s="1"/>
  <c r="J283" i="90"/>
  <c r="K283" i="90" s="1"/>
  <c r="J284" i="90"/>
  <c r="K284" i="90" s="1"/>
  <c r="J285" i="90"/>
  <c r="K285" i="90" s="1"/>
  <c r="J286" i="90"/>
  <c r="K286" i="90" s="1"/>
  <c r="J287" i="90"/>
  <c r="K287" i="90" s="1"/>
  <c r="J288" i="90"/>
  <c r="K288" i="90" s="1"/>
  <c r="J289" i="90"/>
  <c r="K289" i="90" s="1"/>
  <c r="J290" i="90"/>
  <c r="K290" i="90" s="1"/>
  <c r="J291" i="90"/>
  <c r="K291" i="90" s="1"/>
  <c r="J292" i="90"/>
  <c r="K292" i="90" s="1"/>
  <c r="J293" i="90"/>
  <c r="K293" i="90" s="1"/>
  <c r="J294" i="90"/>
  <c r="K294" i="90" s="1"/>
  <c r="J295" i="90"/>
  <c r="K295" i="90" s="1"/>
  <c r="J296" i="90"/>
  <c r="K296" i="90" s="1"/>
  <c r="J297" i="90"/>
  <c r="K297" i="90" s="1"/>
  <c r="J298" i="90"/>
  <c r="K298" i="90" s="1"/>
  <c r="J299" i="90"/>
  <c r="K299" i="90" s="1"/>
  <c r="J300" i="90"/>
  <c r="K300" i="90" s="1"/>
  <c r="J301" i="90"/>
  <c r="K301" i="90" s="1"/>
  <c r="J302" i="90"/>
  <c r="K302" i="90" s="1"/>
  <c r="J303" i="90"/>
  <c r="K303" i="90" s="1"/>
  <c r="J304" i="90"/>
  <c r="K304" i="90" s="1"/>
  <c r="J305" i="90"/>
  <c r="K305" i="90" s="1"/>
  <c r="J306" i="90"/>
  <c r="K306" i="90" s="1"/>
  <c r="J307" i="90"/>
  <c r="K307" i="90" s="1"/>
  <c r="J308" i="90"/>
  <c r="K308" i="90" s="1"/>
  <c r="J309" i="90"/>
  <c r="K309" i="90" s="1"/>
  <c r="J310" i="90"/>
  <c r="K310" i="90" s="1"/>
  <c r="J311" i="90"/>
  <c r="K311" i="90" s="1"/>
  <c r="J312" i="90"/>
  <c r="K312" i="90" s="1"/>
  <c r="J313" i="90"/>
  <c r="K313" i="90" s="1"/>
  <c r="J314" i="90"/>
  <c r="K314" i="90" s="1"/>
  <c r="J315" i="90"/>
  <c r="K315" i="90" s="1"/>
  <c r="J316" i="90"/>
  <c r="K316" i="90" s="1"/>
  <c r="J317" i="90"/>
  <c r="K317" i="90" s="1"/>
  <c r="J318" i="90"/>
  <c r="K318" i="90" s="1"/>
  <c r="J319" i="90"/>
  <c r="K319" i="90" s="1"/>
  <c r="J320" i="90"/>
  <c r="K320" i="90" s="1"/>
  <c r="J321" i="90"/>
  <c r="K321" i="90" s="1"/>
  <c r="J322" i="90"/>
  <c r="K322" i="90" s="1"/>
  <c r="J323" i="90"/>
  <c r="K323" i="90" s="1"/>
  <c r="J324" i="90"/>
  <c r="K324" i="90" s="1"/>
  <c r="J325" i="90"/>
  <c r="K325" i="90" s="1"/>
  <c r="J326" i="90"/>
  <c r="K326" i="90" s="1"/>
  <c r="J327" i="90"/>
  <c r="K327" i="90" s="1"/>
  <c r="J328" i="90"/>
  <c r="K328" i="90" s="1"/>
  <c r="J329" i="90"/>
  <c r="K329" i="90" s="1"/>
  <c r="J330" i="90"/>
  <c r="K330" i="90" s="1"/>
  <c r="J331" i="90"/>
  <c r="K331" i="90" s="1"/>
  <c r="J332" i="90"/>
  <c r="K332" i="90" s="1"/>
  <c r="J333" i="90"/>
  <c r="K333" i="90" s="1"/>
  <c r="J334" i="90"/>
  <c r="K334" i="90" s="1"/>
  <c r="J335" i="90"/>
  <c r="K335" i="90" s="1"/>
  <c r="J336" i="90"/>
  <c r="K336" i="90" s="1"/>
  <c r="J337" i="90"/>
  <c r="K337" i="90" s="1"/>
  <c r="J338" i="90"/>
  <c r="K338" i="90" s="1"/>
  <c r="J339" i="90"/>
  <c r="K339" i="90" s="1"/>
  <c r="J340" i="90"/>
  <c r="K340" i="90" s="1"/>
  <c r="J341" i="90"/>
  <c r="K341" i="90" s="1"/>
  <c r="J342" i="90"/>
  <c r="K342" i="90" s="1"/>
  <c r="J343" i="90"/>
  <c r="K343" i="90" s="1"/>
  <c r="J344" i="90"/>
  <c r="K344" i="90" s="1"/>
  <c r="J345" i="90"/>
  <c r="K345" i="90" s="1"/>
  <c r="J346" i="90"/>
  <c r="K346" i="90" s="1"/>
  <c r="J347" i="90"/>
  <c r="K347" i="90" s="1"/>
  <c r="J348" i="90"/>
  <c r="K348" i="90" s="1"/>
  <c r="J349" i="90"/>
  <c r="K349" i="90" s="1"/>
  <c r="J350" i="90"/>
  <c r="K350" i="90" s="1"/>
  <c r="J351" i="90"/>
  <c r="K351" i="90" s="1"/>
  <c r="J352" i="90"/>
  <c r="K352" i="90" s="1"/>
  <c r="J353" i="90"/>
  <c r="K353" i="90" s="1"/>
  <c r="J354" i="90"/>
  <c r="K354" i="90" s="1"/>
  <c r="J355" i="90"/>
  <c r="K355" i="90" s="1"/>
  <c r="J356" i="90"/>
  <c r="K356" i="90" s="1"/>
  <c r="J357" i="90"/>
  <c r="K357" i="90" s="1"/>
  <c r="J358" i="90"/>
  <c r="K358" i="90" s="1"/>
  <c r="J359" i="90"/>
  <c r="K359" i="90" s="1"/>
  <c r="J360" i="90"/>
  <c r="K360" i="90" s="1"/>
  <c r="J361" i="90"/>
  <c r="K361" i="90" s="1"/>
  <c r="J362" i="90"/>
  <c r="K362" i="90" s="1"/>
  <c r="J363" i="90"/>
  <c r="K363" i="90" s="1"/>
  <c r="J364" i="90"/>
  <c r="K364" i="90" s="1"/>
  <c r="J365" i="90"/>
  <c r="K365" i="90" s="1"/>
  <c r="J366" i="90"/>
  <c r="K366" i="90" s="1"/>
  <c r="J367" i="90"/>
  <c r="K367" i="90" s="1"/>
  <c r="J368" i="90"/>
  <c r="K368" i="90" s="1"/>
  <c r="J369" i="90"/>
  <c r="K369" i="90" s="1"/>
  <c r="J370" i="90"/>
  <c r="K370" i="90" s="1"/>
  <c r="J371" i="90"/>
  <c r="K371" i="90" s="1"/>
  <c r="J372" i="90"/>
  <c r="K372" i="90" s="1"/>
  <c r="J373" i="90"/>
  <c r="K373" i="90" s="1"/>
  <c r="J374" i="90"/>
  <c r="K374" i="90" s="1"/>
  <c r="J375" i="90"/>
  <c r="K375" i="90" s="1"/>
  <c r="J376" i="90"/>
  <c r="K376" i="90" s="1"/>
  <c r="J377" i="90"/>
  <c r="K377" i="90" s="1"/>
  <c r="J378" i="90"/>
  <c r="K378" i="90" s="1"/>
  <c r="J379" i="90"/>
  <c r="K379" i="90" s="1"/>
  <c r="J380" i="90"/>
  <c r="K380" i="90" s="1"/>
  <c r="J381" i="90"/>
  <c r="K381" i="90" s="1"/>
  <c r="J382" i="90"/>
  <c r="K382" i="90" s="1"/>
  <c r="J383" i="90"/>
  <c r="K383" i="90" s="1"/>
  <c r="J384" i="90"/>
  <c r="K384" i="90" s="1"/>
  <c r="J385" i="90"/>
  <c r="K385" i="90" s="1"/>
  <c r="J386" i="90"/>
  <c r="K386" i="90" s="1"/>
  <c r="J387" i="90"/>
  <c r="K387" i="90" s="1"/>
  <c r="J388" i="90"/>
  <c r="K388" i="90" s="1"/>
  <c r="J389" i="90"/>
  <c r="K389" i="90" s="1"/>
  <c r="J390" i="90"/>
  <c r="K390" i="90" s="1"/>
  <c r="J391" i="90"/>
  <c r="K391" i="90" s="1"/>
  <c r="J392" i="90"/>
  <c r="K392" i="90" s="1"/>
  <c r="J393" i="90"/>
  <c r="K393" i="90" s="1"/>
  <c r="J394" i="90"/>
  <c r="K394" i="90" s="1"/>
  <c r="J395" i="90"/>
  <c r="K395" i="90" s="1"/>
  <c r="J396" i="90"/>
  <c r="K396" i="90" s="1"/>
  <c r="J397" i="90"/>
  <c r="K397" i="90" s="1"/>
  <c r="J398" i="90"/>
  <c r="K398" i="90" s="1"/>
  <c r="J399" i="90"/>
  <c r="K399" i="90" s="1"/>
  <c r="J400" i="90"/>
  <c r="K400" i="90" s="1"/>
  <c r="J401" i="90"/>
  <c r="K401" i="90" s="1"/>
  <c r="J402" i="90"/>
  <c r="K402" i="90" s="1"/>
  <c r="J403" i="90"/>
  <c r="K403" i="90" s="1"/>
  <c r="J404" i="90"/>
  <c r="K404" i="90" s="1"/>
  <c r="J405" i="90"/>
  <c r="K405" i="90" s="1"/>
  <c r="J406" i="90"/>
  <c r="K406" i="90" s="1"/>
  <c r="J407" i="90"/>
  <c r="K407" i="90" s="1"/>
  <c r="J408" i="90"/>
  <c r="K408" i="90" s="1"/>
  <c r="J409" i="90"/>
  <c r="K409" i="90" s="1"/>
  <c r="J410" i="90"/>
  <c r="K410" i="90" s="1"/>
  <c r="J411" i="90"/>
  <c r="K411" i="90" s="1"/>
  <c r="J412" i="90"/>
  <c r="K412" i="90" s="1"/>
  <c r="J413" i="90"/>
  <c r="K413" i="90" s="1"/>
  <c r="J414" i="90"/>
  <c r="K414" i="90" s="1"/>
  <c r="J415" i="90"/>
  <c r="K415" i="90" s="1"/>
  <c r="J416" i="90"/>
  <c r="K416" i="90" s="1"/>
  <c r="J417" i="90"/>
  <c r="K417" i="90" s="1"/>
  <c r="J418" i="90"/>
  <c r="K418" i="90" s="1"/>
  <c r="J419" i="90"/>
  <c r="K419" i="90" s="1"/>
  <c r="J420" i="90"/>
  <c r="K420" i="90" s="1"/>
  <c r="J421" i="90"/>
  <c r="K421" i="90" s="1"/>
  <c r="J422" i="90"/>
  <c r="K422" i="90" s="1"/>
  <c r="J423" i="90"/>
  <c r="K423" i="90" s="1"/>
  <c r="J424" i="90"/>
  <c r="K424" i="90" s="1"/>
  <c r="J425" i="90"/>
  <c r="K425" i="90" s="1"/>
  <c r="J426" i="90"/>
  <c r="K426" i="90" s="1"/>
  <c r="J427" i="90"/>
  <c r="K427" i="90" s="1"/>
  <c r="J428" i="90"/>
  <c r="K428" i="90" s="1"/>
  <c r="J429" i="90"/>
  <c r="K429" i="90" s="1"/>
  <c r="J430" i="90"/>
  <c r="K430" i="90" s="1"/>
  <c r="J431" i="90"/>
  <c r="K431" i="90" s="1"/>
  <c r="J432" i="90"/>
  <c r="K432" i="90" s="1"/>
  <c r="J433" i="90"/>
  <c r="K433" i="90" s="1"/>
  <c r="J434" i="90"/>
  <c r="K434" i="90" s="1"/>
  <c r="J435" i="90"/>
  <c r="K435" i="90" s="1"/>
  <c r="J436" i="90"/>
  <c r="K436" i="90" s="1"/>
  <c r="J437" i="90"/>
  <c r="K437" i="90" s="1"/>
  <c r="J438" i="90"/>
  <c r="K438" i="90" s="1"/>
  <c r="J439" i="90"/>
  <c r="K439" i="90" s="1"/>
  <c r="J440" i="90"/>
  <c r="K440" i="90" s="1"/>
  <c r="J441" i="90"/>
  <c r="K441" i="90" s="1"/>
  <c r="J442" i="90"/>
  <c r="K442" i="90" s="1"/>
  <c r="J443" i="90"/>
  <c r="K443" i="90" s="1"/>
  <c r="J444" i="90"/>
  <c r="K444" i="90" s="1"/>
  <c r="J445" i="90"/>
  <c r="K445" i="90" s="1"/>
  <c r="J446" i="90"/>
  <c r="K446" i="90" s="1"/>
  <c r="J447" i="90"/>
  <c r="K447" i="90" s="1"/>
  <c r="J448" i="90"/>
  <c r="K448" i="90" s="1"/>
  <c r="J449" i="90"/>
  <c r="K449" i="90" s="1"/>
  <c r="J450" i="90"/>
  <c r="K450" i="90" s="1"/>
  <c r="J451" i="90"/>
  <c r="K451" i="90" s="1"/>
  <c r="J452" i="90"/>
  <c r="K452" i="90" s="1"/>
  <c r="J453" i="90"/>
  <c r="K453" i="90" s="1"/>
  <c r="J454" i="90"/>
  <c r="K454" i="90" s="1"/>
  <c r="J455" i="90"/>
  <c r="K455" i="90" s="1"/>
  <c r="J456" i="90"/>
  <c r="K456" i="90" s="1"/>
  <c r="J37" i="90" l="1"/>
  <c r="K37" i="90" s="1"/>
  <c r="G33" i="90"/>
  <c r="G32" i="90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P10" i="89"/>
  <c r="P11" i="89"/>
  <c r="P12" i="89"/>
  <c r="P13" i="89"/>
  <c r="P14" i="89"/>
  <c r="P15" i="89"/>
  <c r="P16" i="89"/>
  <c r="P17" i="89"/>
  <c r="P18" i="89"/>
  <c r="P19" i="89"/>
  <c r="P20" i="89"/>
  <c r="P21" i="89"/>
  <c r="P22" i="89"/>
  <c r="P7" i="89"/>
  <c r="O7" i="89"/>
  <c r="O151" i="89" l="1"/>
  <c r="O43" i="89"/>
  <c r="O220" i="89"/>
  <c r="O95" i="89"/>
  <c r="O208" i="89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T47" i="89" l="1"/>
  <c r="T48" i="89"/>
  <c r="T49" i="89"/>
  <c r="T50" i="89"/>
  <c r="T51" i="89"/>
  <c r="T52" i="89"/>
  <c r="T53" i="89"/>
  <c r="T54" i="89"/>
  <c r="T55" i="89"/>
  <c r="E36" i="89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P23" i="89" s="1"/>
  <c r="E11" i="89"/>
  <c r="E12" i="89"/>
  <c r="E13" i="89"/>
  <c r="E14" i="89"/>
  <c r="E15" i="89"/>
  <c r="E16" i="89"/>
  <c r="E17" i="89"/>
  <c r="E18" i="89"/>
  <c r="E19" i="89"/>
  <c r="E20" i="89"/>
  <c r="E21" i="89"/>
  <c r="E22" i="89"/>
  <c r="I23" i="89" l="1"/>
  <c r="I28" i="89" s="1"/>
  <c r="Z25" i="89" s="1"/>
  <c r="L23" i="89"/>
  <c r="L28" i="89" s="1"/>
  <c r="AC25" i="89" s="1"/>
  <c r="K23" i="89"/>
  <c r="K28" i="89" s="1"/>
  <c r="AB25" i="89" s="1"/>
  <c r="N23" i="89"/>
  <c r="N28" i="89" s="1"/>
  <c r="AE25" i="89" s="1"/>
  <c r="J23" i="89"/>
  <c r="J28" i="89" s="1"/>
  <c r="AA25" i="89" s="1"/>
  <c r="F23" i="89"/>
  <c r="F28" i="89" s="1"/>
  <c r="W25" i="89" s="1"/>
  <c r="M23" i="89"/>
  <c r="M28" i="89" s="1"/>
  <c r="AD25" i="89" s="1"/>
  <c r="H23" i="89"/>
  <c r="H28" i="89" s="1"/>
  <c r="Y25" i="89" s="1"/>
  <c r="G23" i="89"/>
  <c r="G28" i="89" s="1"/>
  <c r="X25" i="89" s="1"/>
  <c r="AH37" i="89" l="1"/>
  <c r="AH41" i="89"/>
  <c r="AH45" i="89"/>
  <c r="AH49" i="89"/>
  <c r="AH53" i="89"/>
  <c r="AH38" i="89"/>
  <c r="AH42" i="89"/>
  <c r="AH46" i="89"/>
  <c r="AH50" i="89"/>
  <c r="AH54" i="89"/>
  <c r="AH39" i="89"/>
  <c r="AH43" i="89"/>
  <c r="AH47" i="89"/>
  <c r="AH51" i="89"/>
  <c r="AH55" i="89"/>
  <c r="AH36" i="89"/>
  <c r="AH40" i="89"/>
  <c r="AH44" i="89"/>
  <c r="AH48" i="89"/>
  <c r="AH52" i="89"/>
  <c r="AG38" i="89"/>
  <c r="AG42" i="89"/>
  <c r="AG46" i="89"/>
  <c r="AG50" i="89"/>
  <c r="AG54" i="89"/>
  <c r="AG39" i="89"/>
  <c r="AG43" i="89"/>
  <c r="AG47" i="89"/>
  <c r="AG51" i="89"/>
  <c r="AG55" i="89"/>
  <c r="AG36" i="89"/>
  <c r="AG40" i="89"/>
  <c r="AG44" i="89"/>
  <c r="AG48" i="89"/>
  <c r="AG52" i="89"/>
  <c r="AG37" i="89"/>
  <c r="AG41" i="89"/>
  <c r="AG45" i="89"/>
  <c r="AG49" i="89"/>
  <c r="AG53" i="89"/>
  <c r="AE40" i="89"/>
  <c r="AE44" i="89"/>
  <c r="AE48" i="89"/>
  <c r="AE52" i="89"/>
  <c r="AE37" i="89"/>
  <c r="AE41" i="89"/>
  <c r="AE45" i="89"/>
  <c r="AE49" i="89"/>
  <c r="AE53" i="89"/>
  <c r="AE38" i="89"/>
  <c r="AE42" i="89"/>
  <c r="AE46" i="89"/>
  <c r="AE50" i="89"/>
  <c r="AE54" i="89"/>
  <c r="AE39" i="89"/>
  <c r="AE43" i="89"/>
  <c r="AE47" i="89"/>
  <c r="AE51" i="89"/>
  <c r="AE55" i="89"/>
  <c r="AE36" i="89"/>
  <c r="AB39" i="89"/>
  <c r="AB43" i="89"/>
  <c r="AB47" i="89"/>
  <c r="AB51" i="89"/>
  <c r="AB55" i="89"/>
  <c r="AB36" i="89"/>
  <c r="AB40" i="89"/>
  <c r="AB44" i="89"/>
  <c r="AB48" i="89"/>
  <c r="AB52" i="89"/>
  <c r="AB37" i="89"/>
  <c r="AB41" i="89"/>
  <c r="AB45" i="89"/>
  <c r="AB49" i="89"/>
  <c r="AB53" i="89"/>
  <c r="AB38" i="89"/>
  <c r="AB42" i="89"/>
  <c r="AB46" i="89"/>
  <c r="AB50" i="89"/>
  <c r="AB54" i="89"/>
  <c r="Z37" i="89"/>
  <c r="Z41" i="89"/>
  <c r="Z45" i="89"/>
  <c r="Z49" i="89"/>
  <c r="Z53" i="89"/>
  <c r="Z38" i="89"/>
  <c r="Z42" i="89"/>
  <c r="Z46" i="89"/>
  <c r="Z50" i="89"/>
  <c r="Z54" i="89"/>
  <c r="Z39" i="89"/>
  <c r="Z43" i="89"/>
  <c r="Z47" i="89"/>
  <c r="Z51" i="89"/>
  <c r="Z55" i="89"/>
  <c r="Z40" i="89"/>
  <c r="Z44" i="89"/>
  <c r="Z48" i="89"/>
  <c r="Z52" i="89"/>
  <c r="Z36" i="89"/>
  <c r="AF39" i="89"/>
  <c r="AF43" i="89"/>
  <c r="AF47" i="89"/>
  <c r="AF51" i="89"/>
  <c r="AF55" i="89"/>
  <c r="AF36" i="89"/>
  <c r="AF40" i="89"/>
  <c r="AF44" i="89"/>
  <c r="AF48" i="89"/>
  <c r="AF52" i="89"/>
  <c r="AF37" i="89"/>
  <c r="AF41" i="89"/>
  <c r="AF45" i="89"/>
  <c r="AF49" i="89"/>
  <c r="AF53" i="89"/>
  <c r="AF38" i="89"/>
  <c r="AF42" i="89"/>
  <c r="AF46" i="89"/>
  <c r="AF50" i="89"/>
  <c r="AF54" i="89"/>
  <c r="AA40" i="89"/>
  <c r="AA44" i="89"/>
  <c r="AA48" i="89"/>
  <c r="AA52" i="89"/>
  <c r="AA37" i="89"/>
  <c r="AA41" i="89"/>
  <c r="AA45" i="89"/>
  <c r="AA49" i="89"/>
  <c r="AA53" i="89"/>
  <c r="AA38" i="89"/>
  <c r="AA42" i="89"/>
  <c r="AA46" i="89"/>
  <c r="AA50" i="89"/>
  <c r="AA54" i="89"/>
  <c r="AA39" i="89"/>
  <c r="AA43" i="89"/>
  <c r="AA47" i="89"/>
  <c r="AA51" i="89"/>
  <c r="AA55" i="89"/>
  <c r="AA36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47" i="89"/>
  <c r="AD51" i="89"/>
  <c r="AD55" i="89"/>
  <c r="AD36" i="89"/>
  <c r="AD40" i="89"/>
  <c r="AD44" i="89"/>
  <c r="AD48" i="89"/>
  <c r="AD52" i="89"/>
  <c r="AC38" i="89"/>
  <c r="AC42" i="89"/>
  <c r="AC46" i="89"/>
  <c r="AC50" i="89"/>
  <c r="AC54" i="89"/>
  <c r="AC39" i="89"/>
  <c r="AC43" i="89"/>
  <c r="AC47" i="89"/>
  <c r="AC51" i="89"/>
  <c r="AC55" i="89"/>
  <c r="AC36" i="89"/>
  <c r="AC40" i="89"/>
  <c r="AC44" i="89"/>
  <c r="AC48" i="89"/>
  <c r="AC52" i="89"/>
  <c r="AC37" i="89"/>
  <c r="AC41" i="89"/>
  <c r="AC45" i="89"/>
  <c r="AC49" i="89"/>
  <c r="AC53" i="89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Q49" i="90" l="1"/>
  <c r="Q133" i="90"/>
  <c r="Q70" i="90"/>
  <c r="Q154" i="90"/>
  <c r="Q91" i="90"/>
  <c r="Q175" i="90"/>
  <c r="Q238" i="90"/>
  <c r="Q322" i="90"/>
  <c r="Q112" i="90"/>
  <c r="Q259" i="90"/>
  <c r="Q196" i="90"/>
  <c r="Q280" i="90"/>
  <c r="Q364" i="90"/>
  <c r="Q448" i="90"/>
  <c r="Q406" i="90"/>
  <c r="Q217" i="90"/>
  <c r="Q301" i="90"/>
  <c r="Q385" i="90"/>
  <c r="Q469" i="90"/>
  <c r="Q343" i="90"/>
  <c r="Q427" i="90"/>
  <c r="Q73" i="90"/>
  <c r="Q157" i="90"/>
  <c r="Q94" i="90"/>
  <c r="Q115" i="90"/>
  <c r="Q52" i="90"/>
  <c r="Q136" i="90"/>
  <c r="Q178" i="90"/>
  <c r="Q262" i="90"/>
  <c r="Q346" i="90"/>
  <c r="Q199" i="90"/>
  <c r="Q283" i="90"/>
  <c r="Q220" i="90"/>
  <c r="Q304" i="90"/>
  <c r="Q388" i="90"/>
  <c r="Q472" i="90"/>
  <c r="Q430" i="90"/>
  <c r="Q241" i="90"/>
  <c r="Q325" i="90"/>
  <c r="Q409" i="90"/>
  <c r="Q367" i="90"/>
  <c r="Q451" i="90"/>
  <c r="Q117" i="90"/>
  <c r="Q54" i="90"/>
  <c r="Q138" i="90"/>
  <c r="Q75" i="90"/>
  <c r="Q159" i="90"/>
  <c r="Q222" i="90"/>
  <c r="Q306" i="90"/>
  <c r="Q96" i="90"/>
  <c r="Q243" i="90"/>
  <c r="Q180" i="90"/>
  <c r="Q264" i="90"/>
  <c r="Q348" i="90"/>
  <c r="Q432" i="90"/>
  <c r="Q390" i="90"/>
  <c r="Q201" i="90"/>
  <c r="Q285" i="90"/>
  <c r="Q369" i="90"/>
  <c r="Q453" i="90"/>
  <c r="Q474" i="90"/>
  <c r="Q327" i="90"/>
  <c r="Q411" i="90"/>
  <c r="S88" i="90"/>
  <c r="S172" i="90"/>
  <c r="S256" i="90"/>
  <c r="S109" i="90"/>
  <c r="S193" i="90"/>
  <c r="S277" i="90"/>
  <c r="S46" i="90"/>
  <c r="S130" i="90"/>
  <c r="S214" i="90"/>
  <c r="S298" i="90"/>
  <c r="S382" i="90"/>
  <c r="S466" i="90"/>
  <c r="S151" i="90"/>
  <c r="S319" i="90"/>
  <c r="S403" i="90"/>
  <c r="S340" i="90"/>
  <c r="S424" i="90"/>
  <c r="S67" i="90"/>
  <c r="S235" i="90"/>
  <c r="S361" i="90"/>
  <c r="S445" i="90"/>
  <c r="Q101" i="90"/>
  <c r="Q38" i="90"/>
  <c r="Q122" i="90"/>
  <c r="Q59" i="90"/>
  <c r="Q143" i="90"/>
  <c r="Q206" i="90"/>
  <c r="Q290" i="90"/>
  <c r="Q374" i="90"/>
  <c r="Q80" i="90"/>
  <c r="Q164" i="90"/>
  <c r="Q227" i="90"/>
  <c r="Q311" i="90"/>
  <c r="Q248" i="90"/>
  <c r="Q332" i="90"/>
  <c r="Q416" i="90"/>
  <c r="Q185" i="90"/>
  <c r="Q269" i="90"/>
  <c r="Q353" i="90"/>
  <c r="Q437" i="90"/>
  <c r="Q458" i="90"/>
  <c r="Q395" i="90"/>
  <c r="Q109" i="90"/>
  <c r="Q46" i="90"/>
  <c r="Q130" i="90"/>
  <c r="Q67" i="90"/>
  <c r="Q151" i="90"/>
  <c r="Q214" i="90"/>
  <c r="Q298" i="90"/>
  <c r="Q382" i="90"/>
  <c r="Q235" i="90"/>
  <c r="Q319" i="90"/>
  <c r="Q256" i="90"/>
  <c r="Q340" i="90"/>
  <c r="Q424" i="90"/>
  <c r="Q88" i="90"/>
  <c r="Q172" i="90"/>
  <c r="Q193" i="90"/>
  <c r="Q277" i="90"/>
  <c r="Q361" i="90"/>
  <c r="Q445" i="90"/>
  <c r="Q466" i="90"/>
  <c r="Q403" i="90"/>
  <c r="S76" i="90"/>
  <c r="S160" i="90"/>
  <c r="S244" i="90"/>
  <c r="S97" i="90"/>
  <c r="S181" i="90"/>
  <c r="S265" i="90"/>
  <c r="S118" i="90"/>
  <c r="S202" i="90"/>
  <c r="S286" i="90"/>
  <c r="S139" i="90"/>
  <c r="S307" i="90"/>
  <c r="S370" i="90"/>
  <c r="S454" i="90"/>
  <c r="S391" i="90"/>
  <c r="S475" i="90"/>
  <c r="S55" i="90"/>
  <c r="S223" i="90"/>
  <c r="S328" i="90"/>
  <c r="S412" i="90"/>
  <c r="S349" i="90"/>
  <c r="S433" i="90"/>
  <c r="S52" i="90"/>
  <c r="S136" i="90"/>
  <c r="S220" i="90"/>
  <c r="S304" i="90"/>
  <c r="S73" i="90"/>
  <c r="S157" i="90"/>
  <c r="S241" i="90"/>
  <c r="S94" i="90"/>
  <c r="S178" i="90"/>
  <c r="S262" i="90"/>
  <c r="S115" i="90"/>
  <c r="S283" i="90"/>
  <c r="S346" i="90"/>
  <c r="S430" i="90"/>
  <c r="S367" i="90"/>
  <c r="S451" i="90"/>
  <c r="S199" i="90"/>
  <c r="S388" i="90"/>
  <c r="S472" i="90"/>
  <c r="S325" i="90"/>
  <c r="S409" i="90"/>
  <c r="U54" i="90"/>
  <c r="U138" i="90"/>
  <c r="U222" i="90"/>
  <c r="U306" i="90"/>
  <c r="U390" i="90"/>
  <c r="U474" i="90"/>
  <c r="U75" i="90"/>
  <c r="U159" i="90"/>
  <c r="U243" i="90"/>
  <c r="U327" i="90"/>
  <c r="U411" i="90"/>
  <c r="U96" i="90"/>
  <c r="U180" i="90"/>
  <c r="U264" i="90"/>
  <c r="U348" i="90"/>
  <c r="U432" i="90"/>
  <c r="U117" i="90"/>
  <c r="U201" i="90"/>
  <c r="U285" i="90"/>
  <c r="U453" i="90"/>
  <c r="U369" i="90"/>
  <c r="Q93" i="90"/>
  <c r="Q114" i="90"/>
  <c r="Q51" i="90"/>
  <c r="Q135" i="90"/>
  <c r="Q198" i="90"/>
  <c r="Q282" i="90"/>
  <c r="Q366" i="90"/>
  <c r="Q219" i="90"/>
  <c r="Q303" i="90"/>
  <c r="Q72" i="90"/>
  <c r="Q156" i="90"/>
  <c r="Q240" i="90"/>
  <c r="Q324" i="90"/>
  <c r="Q408" i="90"/>
  <c r="Q177" i="90"/>
  <c r="Q261" i="90"/>
  <c r="Q345" i="90"/>
  <c r="Q429" i="90"/>
  <c r="Q450" i="90"/>
  <c r="Q471" i="90"/>
  <c r="Q387" i="90"/>
  <c r="Q57" i="90"/>
  <c r="Q141" i="90"/>
  <c r="Q78" i="90"/>
  <c r="Q162" i="90"/>
  <c r="Q99" i="90"/>
  <c r="Q246" i="90"/>
  <c r="Q330" i="90"/>
  <c r="Q183" i="90"/>
  <c r="Q267" i="90"/>
  <c r="Q204" i="90"/>
  <c r="Q288" i="90"/>
  <c r="Q372" i="90"/>
  <c r="Q456" i="90"/>
  <c r="Q120" i="90"/>
  <c r="Q225" i="90"/>
  <c r="Q309" i="90"/>
  <c r="Q393" i="90"/>
  <c r="Q477" i="90"/>
  <c r="Q414" i="90"/>
  <c r="Q435" i="90"/>
  <c r="Q351" i="90"/>
  <c r="Q41" i="90"/>
  <c r="Q125" i="90"/>
  <c r="Q62" i="90"/>
  <c r="Q146" i="90"/>
  <c r="Q83" i="90"/>
  <c r="Q167" i="90"/>
  <c r="Q230" i="90"/>
  <c r="Q314" i="90"/>
  <c r="Q398" i="90"/>
  <c r="Q251" i="90"/>
  <c r="Q188" i="90"/>
  <c r="Q272" i="90"/>
  <c r="Q356" i="90"/>
  <c r="Q440" i="90"/>
  <c r="Q104" i="90"/>
  <c r="Q209" i="90"/>
  <c r="Q293" i="90"/>
  <c r="Q377" i="90"/>
  <c r="Q461" i="90"/>
  <c r="Q335" i="90"/>
  <c r="Q419" i="90"/>
  <c r="Q65" i="90"/>
  <c r="Q149" i="90"/>
  <c r="Q86" i="90"/>
  <c r="Q170" i="90"/>
  <c r="Q107" i="90"/>
  <c r="Q254" i="90"/>
  <c r="Q422" i="90"/>
  <c r="Q191" i="90"/>
  <c r="Q275" i="90"/>
  <c r="Q44" i="90"/>
  <c r="Q128" i="90"/>
  <c r="Q212" i="90"/>
  <c r="Q296" i="90"/>
  <c r="Q380" i="90"/>
  <c r="Q464" i="90"/>
  <c r="Q338" i="90"/>
  <c r="Q233" i="90"/>
  <c r="Q317" i="90"/>
  <c r="Q401" i="90"/>
  <c r="Q359" i="90"/>
  <c r="Q443" i="90"/>
  <c r="S112" i="90"/>
  <c r="S196" i="90"/>
  <c r="S280" i="90"/>
  <c r="S49" i="90"/>
  <c r="S133" i="90"/>
  <c r="S217" i="90"/>
  <c r="S301" i="90"/>
  <c r="S70" i="90"/>
  <c r="S154" i="90"/>
  <c r="S238" i="90"/>
  <c r="S322" i="90"/>
  <c r="S406" i="90"/>
  <c r="S175" i="90"/>
  <c r="S343" i="90"/>
  <c r="S427" i="90"/>
  <c r="S364" i="90"/>
  <c r="S448" i="90"/>
  <c r="S91" i="90"/>
  <c r="S259" i="90"/>
  <c r="S385" i="90"/>
  <c r="S469" i="90"/>
  <c r="S104" i="90"/>
  <c r="S188" i="90"/>
  <c r="S272" i="90"/>
  <c r="S41" i="90"/>
  <c r="S125" i="90"/>
  <c r="S209" i="90"/>
  <c r="S293" i="90"/>
  <c r="S62" i="90"/>
  <c r="S146" i="90"/>
  <c r="S230" i="90"/>
  <c r="S314" i="90"/>
  <c r="S398" i="90"/>
  <c r="S83" i="90"/>
  <c r="S251" i="90"/>
  <c r="S335" i="90"/>
  <c r="S419" i="90"/>
  <c r="S356" i="90"/>
  <c r="S440" i="90"/>
  <c r="S167" i="90"/>
  <c r="S377" i="90"/>
  <c r="S461" i="90"/>
  <c r="S44" i="90"/>
  <c r="S128" i="90"/>
  <c r="S212" i="90"/>
  <c r="S296" i="90"/>
  <c r="S65" i="90"/>
  <c r="S149" i="90"/>
  <c r="S233" i="90"/>
  <c r="S86" i="90"/>
  <c r="S170" i="90"/>
  <c r="S254" i="90"/>
  <c r="S191" i="90"/>
  <c r="S338" i="90"/>
  <c r="S422" i="90"/>
  <c r="S359" i="90"/>
  <c r="S443" i="90"/>
  <c r="S107" i="90"/>
  <c r="S275" i="90"/>
  <c r="S380" i="90"/>
  <c r="S464" i="90"/>
  <c r="S317" i="90"/>
  <c r="S401" i="90"/>
  <c r="S72" i="90"/>
  <c r="S156" i="90"/>
  <c r="S240" i="90"/>
  <c r="S93" i="90"/>
  <c r="S177" i="90"/>
  <c r="S261" i="90"/>
  <c r="S114" i="90"/>
  <c r="S198" i="90"/>
  <c r="S282" i="90"/>
  <c r="S366" i="90"/>
  <c r="S450" i="90"/>
  <c r="S51" i="90"/>
  <c r="S219" i="90"/>
  <c r="S387" i="90"/>
  <c r="S471" i="90"/>
  <c r="S324" i="90"/>
  <c r="S408" i="90"/>
  <c r="S135" i="90"/>
  <c r="S303" i="90"/>
  <c r="S345" i="90"/>
  <c r="S429" i="90"/>
  <c r="S96" i="90"/>
  <c r="S180" i="90"/>
  <c r="S264" i="90"/>
  <c r="S117" i="90"/>
  <c r="S201" i="90"/>
  <c r="S285" i="90"/>
  <c r="S54" i="90"/>
  <c r="S138" i="90"/>
  <c r="S222" i="90"/>
  <c r="S306" i="90"/>
  <c r="S390" i="90"/>
  <c r="S474" i="90"/>
  <c r="S75" i="90"/>
  <c r="S243" i="90"/>
  <c r="S327" i="90"/>
  <c r="S411" i="90"/>
  <c r="S348" i="90"/>
  <c r="S432" i="90"/>
  <c r="S159" i="90"/>
  <c r="S369" i="90"/>
  <c r="S453" i="90"/>
  <c r="U78" i="90"/>
  <c r="U162" i="90"/>
  <c r="U246" i="90"/>
  <c r="U330" i="90"/>
  <c r="U414" i="90"/>
  <c r="U99" i="90"/>
  <c r="U183" i="90"/>
  <c r="U267" i="90"/>
  <c r="U351" i="90"/>
  <c r="U435" i="90"/>
  <c r="U120" i="90"/>
  <c r="U204" i="90"/>
  <c r="U288" i="90"/>
  <c r="U372" i="90"/>
  <c r="U456" i="90"/>
  <c r="U57" i="90"/>
  <c r="U141" i="90"/>
  <c r="U225" i="90"/>
  <c r="U309" i="90"/>
  <c r="U393" i="90"/>
  <c r="U477" i="90"/>
  <c r="Q113" i="90"/>
  <c r="Q50" i="90"/>
  <c r="Q134" i="90"/>
  <c r="Q71" i="90"/>
  <c r="Q155" i="90"/>
  <c r="Q92" i="90"/>
  <c r="Q218" i="90"/>
  <c r="Q302" i="90"/>
  <c r="Q386" i="90"/>
  <c r="Q239" i="90"/>
  <c r="Q323" i="90"/>
  <c r="Q176" i="90"/>
  <c r="Q260" i="90"/>
  <c r="Q344" i="90"/>
  <c r="Q428" i="90"/>
  <c r="Q197" i="90"/>
  <c r="Q281" i="90"/>
  <c r="Q365" i="90"/>
  <c r="Q449" i="90"/>
  <c r="Q407" i="90"/>
  <c r="Q470" i="90"/>
  <c r="Q53" i="90"/>
  <c r="Q137" i="90"/>
  <c r="Q74" i="90"/>
  <c r="Q158" i="90"/>
  <c r="Q95" i="90"/>
  <c r="Q242" i="90"/>
  <c r="Q326" i="90"/>
  <c r="Q410" i="90"/>
  <c r="Q179" i="90"/>
  <c r="Q263" i="90"/>
  <c r="Q116" i="90"/>
  <c r="Q200" i="90"/>
  <c r="Q284" i="90"/>
  <c r="Q368" i="90"/>
  <c r="Q452" i="90"/>
  <c r="Q221" i="90"/>
  <c r="Q305" i="90"/>
  <c r="Q389" i="90"/>
  <c r="Q473" i="90"/>
  <c r="Q347" i="90"/>
  <c r="Q431" i="90"/>
  <c r="Q77" i="90"/>
  <c r="Q161" i="90"/>
  <c r="Q98" i="90"/>
  <c r="Q119" i="90"/>
  <c r="Q182" i="90"/>
  <c r="Q266" i="90"/>
  <c r="Q350" i="90"/>
  <c r="Q434" i="90"/>
  <c r="Q56" i="90"/>
  <c r="Q140" i="90"/>
  <c r="Q203" i="90"/>
  <c r="Q287" i="90"/>
  <c r="Q224" i="90"/>
  <c r="Q308" i="90"/>
  <c r="Q392" i="90"/>
  <c r="Q476" i="90"/>
  <c r="Q245" i="90"/>
  <c r="Q329" i="90"/>
  <c r="Q413" i="90"/>
  <c r="Q371" i="90"/>
  <c r="Q455" i="90"/>
  <c r="Q85" i="90"/>
  <c r="Q169" i="90"/>
  <c r="Q106" i="90"/>
  <c r="Q43" i="90"/>
  <c r="Q127" i="90"/>
  <c r="Q64" i="90"/>
  <c r="Q148" i="90"/>
  <c r="Q190" i="90"/>
  <c r="Q274" i="90"/>
  <c r="Q358" i="90"/>
  <c r="Q211" i="90"/>
  <c r="Q295" i="90"/>
  <c r="Q232" i="90"/>
  <c r="Q316" i="90"/>
  <c r="Q400" i="90"/>
  <c r="Q442" i="90"/>
  <c r="Q253" i="90"/>
  <c r="Q337" i="90"/>
  <c r="Q421" i="90"/>
  <c r="Q379" i="90"/>
  <c r="Q463" i="90"/>
  <c r="S48" i="90"/>
  <c r="S132" i="90"/>
  <c r="S216" i="90"/>
  <c r="S300" i="90"/>
  <c r="S69" i="90"/>
  <c r="S153" i="90"/>
  <c r="S237" i="90"/>
  <c r="S90" i="90"/>
  <c r="S174" i="90"/>
  <c r="S258" i="90"/>
  <c r="S342" i="90"/>
  <c r="S426" i="90"/>
  <c r="S195" i="90"/>
  <c r="S363" i="90"/>
  <c r="S447" i="90"/>
  <c r="S384" i="90"/>
  <c r="S468" i="90"/>
  <c r="S111" i="90"/>
  <c r="S279" i="90"/>
  <c r="S321" i="90"/>
  <c r="S405" i="90"/>
  <c r="S108" i="90"/>
  <c r="S192" i="90"/>
  <c r="S276" i="90"/>
  <c r="S45" i="90"/>
  <c r="S129" i="90"/>
  <c r="S213" i="90"/>
  <c r="S297" i="90"/>
  <c r="S66" i="90"/>
  <c r="S150" i="90"/>
  <c r="S234" i="90"/>
  <c r="S171" i="90"/>
  <c r="S318" i="90"/>
  <c r="S402" i="90"/>
  <c r="S339" i="90"/>
  <c r="S423" i="90"/>
  <c r="S87" i="90"/>
  <c r="S255" i="90"/>
  <c r="S360" i="90"/>
  <c r="S444" i="90"/>
  <c r="S381" i="90"/>
  <c r="S465" i="90"/>
  <c r="Q61" i="90"/>
  <c r="Q145" i="90"/>
  <c r="Q82" i="90"/>
  <c r="Q166" i="90"/>
  <c r="Q103" i="90"/>
  <c r="Q250" i="90"/>
  <c r="Q40" i="90"/>
  <c r="Q124" i="90"/>
  <c r="Q187" i="90"/>
  <c r="Q271" i="90"/>
  <c r="Q208" i="90"/>
  <c r="Q292" i="90"/>
  <c r="Q376" i="90"/>
  <c r="Q460" i="90"/>
  <c r="Q418" i="90"/>
  <c r="Q229" i="90"/>
  <c r="Q313" i="90"/>
  <c r="Q397" i="90"/>
  <c r="Q334" i="90"/>
  <c r="Q355" i="90"/>
  <c r="Q439" i="90"/>
  <c r="Q69" i="90"/>
  <c r="Q153" i="90"/>
  <c r="Q90" i="90"/>
  <c r="Q111" i="90"/>
  <c r="Q258" i="90"/>
  <c r="Q342" i="90"/>
  <c r="Q174" i="90"/>
  <c r="Q195" i="90"/>
  <c r="Q279" i="90"/>
  <c r="Q216" i="90"/>
  <c r="Q300" i="90"/>
  <c r="Q384" i="90"/>
  <c r="Q468" i="90"/>
  <c r="Q48" i="90"/>
  <c r="Q132" i="90"/>
  <c r="Q237" i="90"/>
  <c r="Q321" i="90"/>
  <c r="Q405" i="90"/>
  <c r="Q426" i="90"/>
  <c r="Q447" i="90"/>
  <c r="Q363" i="90"/>
  <c r="Q45" i="90"/>
  <c r="Q129" i="90"/>
  <c r="Q66" i="90"/>
  <c r="Q150" i="90"/>
  <c r="Q87" i="90"/>
  <c r="Q171" i="90"/>
  <c r="Q108" i="90"/>
  <c r="Q234" i="90"/>
  <c r="Q318" i="90"/>
  <c r="Q255" i="90"/>
  <c r="Q192" i="90"/>
  <c r="Q276" i="90"/>
  <c r="Q360" i="90"/>
  <c r="Q444" i="90"/>
  <c r="Q213" i="90"/>
  <c r="Q297" i="90"/>
  <c r="Q381" i="90"/>
  <c r="Q465" i="90"/>
  <c r="Q402" i="90"/>
  <c r="Q339" i="90"/>
  <c r="Q423" i="90"/>
  <c r="S40" i="90"/>
  <c r="S124" i="90"/>
  <c r="S208" i="90"/>
  <c r="S292" i="90"/>
  <c r="S61" i="90"/>
  <c r="S145" i="90"/>
  <c r="S229" i="90"/>
  <c r="S82" i="90"/>
  <c r="S166" i="90"/>
  <c r="S250" i="90"/>
  <c r="S313" i="90"/>
  <c r="S334" i="90"/>
  <c r="S418" i="90"/>
  <c r="S103" i="90"/>
  <c r="S271" i="90"/>
  <c r="S355" i="90"/>
  <c r="S439" i="90"/>
  <c r="S376" i="90"/>
  <c r="S460" i="90"/>
  <c r="S187" i="90"/>
  <c r="S397" i="90"/>
  <c r="S64" i="90"/>
  <c r="S148" i="90"/>
  <c r="S232" i="90"/>
  <c r="S85" i="90"/>
  <c r="S169" i="90"/>
  <c r="S253" i="90"/>
  <c r="S106" i="90"/>
  <c r="S190" i="90"/>
  <c r="S274" i="90"/>
  <c r="S358" i="90"/>
  <c r="S442" i="90"/>
  <c r="S127" i="90"/>
  <c r="S295" i="90"/>
  <c r="S379" i="90"/>
  <c r="S463" i="90"/>
  <c r="S316" i="90"/>
  <c r="S400" i="90"/>
  <c r="S43" i="90"/>
  <c r="S211" i="90"/>
  <c r="S337" i="90"/>
  <c r="S421" i="90"/>
  <c r="S120" i="90"/>
  <c r="S204" i="90"/>
  <c r="S288" i="90"/>
  <c r="S57" i="90"/>
  <c r="S141" i="90"/>
  <c r="S225" i="90"/>
  <c r="S309" i="90"/>
  <c r="S78" i="90"/>
  <c r="S162" i="90"/>
  <c r="S246" i="90"/>
  <c r="S330" i="90"/>
  <c r="S414" i="90"/>
  <c r="S99" i="90"/>
  <c r="S267" i="90"/>
  <c r="S351" i="90"/>
  <c r="S435" i="90"/>
  <c r="S372" i="90"/>
  <c r="S456" i="90"/>
  <c r="S183" i="90"/>
  <c r="S393" i="90"/>
  <c r="S477" i="90"/>
  <c r="U74" i="90"/>
  <c r="U158" i="90"/>
  <c r="U242" i="90"/>
  <c r="U326" i="90"/>
  <c r="U410" i="90"/>
  <c r="U95" i="90"/>
  <c r="U179" i="90"/>
  <c r="U263" i="90"/>
  <c r="U347" i="90"/>
  <c r="U431" i="90"/>
  <c r="U116" i="90"/>
  <c r="U200" i="90"/>
  <c r="U284" i="90"/>
  <c r="U368" i="90"/>
  <c r="U452" i="90"/>
  <c r="U53" i="90"/>
  <c r="U137" i="90"/>
  <c r="U221" i="90"/>
  <c r="U305" i="90"/>
  <c r="U389" i="90"/>
  <c r="U473" i="90"/>
  <c r="U98" i="90"/>
  <c r="U182" i="90"/>
  <c r="U266" i="90"/>
  <c r="U350" i="90"/>
  <c r="U434" i="90"/>
  <c r="U119" i="90"/>
  <c r="U203" i="90"/>
  <c r="U287" i="90"/>
  <c r="U371" i="90"/>
  <c r="U455" i="90"/>
  <c r="U56" i="90"/>
  <c r="U140" i="90"/>
  <c r="U224" i="90"/>
  <c r="U308" i="90"/>
  <c r="U392" i="90"/>
  <c r="U476" i="90"/>
  <c r="U77" i="90"/>
  <c r="U161" i="90"/>
  <c r="U245" i="90"/>
  <c r="U329" i="90"/>
  <c r="U413" i="90"/>
  <c r="Q97" i="90"/>
  <c r="Q118" i="90"/>
  <c r="Q55" i="90"/>
  <c r="Q139" i="90"/>
  <c r="Q202" i="90"/>
  <c r="Q286" i="90"/>
  <c r="Q370" i="90"/>
  <c r="Q223" i="90"/>
  <c r="Q307" i="90"/>
  <c r="Q244" i="90"/>
  <c r="Q328" i="90"/>
  <c r="Q412" i="90"/>
  <c r="Q76" i="90"/>
  <c r="Q160" i="90"/>
  <c r="Q181" i="90"/>
  <c r="Q265" i="90"/>
  <c r="Q349" i="90"/>
  <c r="Q433" i="90"/>
  <c r="Q454" i="90"/>
  <c r="Q475" i="90"/>
  <c r="Q391" i="90"/>
  <c r="Q105" i="90"/>
  <c r="Q42" i="90"/>
  <c r="Q126" i="90"/>
  <c r="Q63" i="90"/>
  <c r="Q147" i="90"/>
  <c r="Q210" i="90"/>
  <c r="Q294" i="90"/>
  <c r="Q378" i="90"/>
  <c r="Q231" i="90"/>
  <c r="Q315" i="90"/>
  <c r="Q84" i="90"/>
  <c r="Q168" i="90"/>
  <c r="Q252" i="90"/>
  <c r="Q336" i="90"/>
  <c r="Q420" i="90"/>
  <c r="Q189" i="90"/>
  <c r="Q273" i="90"/>
  <c r="Q357" i="90"/>
  <c r="Q441" i="90"/>
  <c r="Q399" i="90"/>
  <c r="Q462" i="90"/>
  <c r="S68" i="90"/>
  <c r="S152" i="90"/>
  <c r="S236" i="90"/>
  <c r="S89" i="90"/>
  <c r="S173" i="90"/>
  <c r="S257" i="90"/>
  <c r="S110" i="90"/>
  <c r="S194" i="90"/>
  <c r="S278" i="90"/>
  <c r="S47" i="90"/>
  <c r="S215" i="90"/>
  <c r="S362" i="90"/>
  <c r="S446" i="90"/>
  <c r="S383" i="90"/>
  <c r="S467" i="90"/>
  <c r="S131" i="90"/>
  <c r="S299" i="90"/>
  <c r="S320" i="90"/>
  <c r="S404" i="90"/>
  <c r="S341" i="90"/>
  <c r="S425" i="90"/>
  <c r="S92" i="90"/>
  <c r="S176" i="90"/>
  <c r="S260" i="90"/>
  <c r="S113" i="90"/>
  <c r="S197" i="90"/>
  <c r="S281" i="90"/>
  <c r="S50" i="90"/>
  <c r="S134" i="90"/>
  <c r="S218" i="90"/>
  <c r="S302" i="90"/>
  <c r="S71" i="90"/>
  <c r="S239" i="90"/>
  <c r="S386" i="90"/>
  <c r="S470" i="90"/>
  <c r="S323" i="90"/>
  <c r="S407" i="90"/>
  <c r="S155" i="90"/>
  <c r="S344" i="90"/>
  <c r="S428" i="90"/>
  <c r="S365" i="90"/>
  <c r="S449" i="90"/>
  <c r="Q81" i="90"/>
  <c r="Q165" i="90"/>
  <c r="Q102" i="90"/>
  <c r="Q39" i="90"/>
  <c r="Q123" i="90"/>
  <c r="Q186" i="90"/>
  <c r="Q270" i="90"/>
  <c r="Q354" i="90"/>
  <c r="Q207" i="90"/>
  <c r="Q291" i="90"/>
  <c r="Q228" i="90"/>
  <c r="Q312" i="90"/>
  <c r="Q396" i="90"/>
  <c r="Q60" i="90"/>
  <c r="Q144" i="90"/>
  <c r="Q249" i="90"/>
  <c r="Q333" i="90"/>
  <c r="Q417" i="90"/>
  <c r="Q438" i="90"/>
  <c r="Q459" i="90"/>
  <c r="Q375" i="90"/>
  <c r="Q89" i="90"/>
  <c r="Q110" i="90"/>
  <c r="Q47" i="90"/>
  <c r="Q131" i="90"/>
  <c r="Q173" i="90"/>
  <c r="Q194" i="90"/>
  <c r="Q278" i="90"/>
  <c r="Q362" i="90"/>
  <c r="Q446" i="90"/>
  <c r="Q68" i="90"/>
  <c r="Q152" i="90"/>
  <c r="Q215" i="90"/>
  <c r="Q299" i="90"/>
  <c r="Q236" i="90"/>
  <c r="Q320" i="90"/>
  <c r="Q404" i="90"/>
  <c r="Q257" i="90"/>
  <c r="Q341" i="90"/>
  <c r="Q425" i="90"/>
  <c r="Q383" i="90"/>
  <c r="Q467" i="90"/>
  <c r="S84" i="90"/>
  <c r="S168" i="90"/>
  <c r="S252" i="90"/>
  <c r="S105" i="90"/>
  <c r="S189" i="90"/>
  <c r="S273" i="90"/>
  <c r="S42" i="90"/>
  <c r="S126" i="90"/>
  <c r="S210" i="90"/>
  <c r="S294" i="90"/>
  <c r="S147" i="90"/>
  <c r="S378" i="90"/>
  <c r="S462" i="90"/>
  <c r="S315" i="90"/>
  <c r="S399" i="90"/>
  <c r="S63" i="90"/>
  <c r="S231" i="90"/>
  <c r="S336" i="90"/>
  <c r="S420" i="90"/>
  <c r="S357" i="90"/>
  <c r="S441" i="90"/>
  <c r="S116" i="90"/>
  <c r="S200" i="90"/>
  <c r="S284" i="90"/>
  <c r="S53" i="90"/>
  <c r="S137" i="90"/>
  <c r="S221" i="90"/>
  <c r="S305" i="90"/>
  <c r="S74" i="90"/>
  <c r="S158" i="90"/>
  <c r="S242" i="90"/>
  <c r="S95" i="90"/>
  <c r="S263" i="90"/>
  <c r="S326" i="90"/>
  <c r="S410" i="90"/>
  <c r="S347" i="90"/>
  <c r="S431" i="90"/>
  <c r="S179" i="90"/>
  <c r="S368" i="90"/>
  <c r="S452" i="90"/>
  <c r="S389" i="90"/>
  <c r="S473" i="90"/>
  <c r="S56" i="90"/>
  <c r="S140" i="90"/>
  <c r="S224" i="90"/>
  <c r="S308" i="90"/>
  <c r="S77" i="90"/>
  <c r="S161" i="90"/>
  <c r="S245" i="90"/>
  <c r="S98" i="90"/>
  <c r="S182" i="90"/>
  <c r="S266" i="90"/>
  <c r="S350" i="90"/>
  <c r="S434" i="90"/>
  <c r="S119" i="90"/>
  <c r="S287" i="90"/>
  <c r="S371" i="90"/>
  <c r="S455" i="90"/>
  <c r="S392" i="90"/>
  <c r="S476" i="90"/>
  <c r="S203" i="90"/>
  <c r="S329" i="90"/>
  <c r="S413" i="90"/>
  <c r="U118" i="90"/>
  <c r="U202" i="90"/>
  <c r="U286" i="90"/>
  <c r="U370" i="90"/>
  <c r="U454" i="90"/>
  <c r="U55" i="90"/>
  <c r="U139" i="90"/>
  <c r="U223" i="90"/>
  <c r="U307" i="90"/>
  <c r="U391" i="90"/>
  <c r="U475" i="90"/>
  <c r="U76" i="90"/>
  <c r="U160" i="90"/>
  <c r="U244" i="90"/>
  <c r="U328" i="90"/>
  <c r="U412" i="90"/>
  <c r="U97" i="90"/>
  <c r="U181" i="90"/>
  <c r="U265" i="90"/>
  <c r="U349" i="90"/>
  <c r="U433" i="90"/>
  <c r="O128" i="81"/>
  <c r="O133" i="81"/>
  <c r="N122" i="81"/>
  <c r="O125" i="81" s="1"/>
  <c r="N109" i="81"/>
  <c r="O113" i="81" s="1"/>
  <c r="O99" i="81"/>
  <c r="O100" i="81"/>
  <c r="O88" i="81"/>
  <c r="O89" i="81"/>
  <c r="N96" i="81"/>
  <c r="O101" i="81" s="1"/>
  <c r="N83" i="81"/>
  <c r="O90" i="81" s="1"/>
  <c r="O72" i="81"/>
  <c r="O73" i="81"/>
  <c r="O74" i="81"/>
  <c r="O75" i="81"/>
  <c r="N69" i="81"/>
  <c r="O76" i="81" s="1"/>
  <c r="O62" i="81"/>
  <c r="O66" i="81"/>
  <c r="N55" i="81"/>
  <c r="O60" i="81" s="1"/>
  <c r="K48" i="81"/>
  <c r="K33" i="81"/>
  <c r="K20" i="81"/>
  <c r="K6" i="81"/>
  <c r="AH104" i="83"/>
  <c r="AH103" i="83"/>
  <c r="AH102" i="83"/>
  <c r="AH101" i="83"/>
  <c r="AH100" i="83"/>
  <c r="AH99" i="83"/>
  <c r="AH98" i="83"/>
  <c r="AH97" i="83"/>
  <c r="AH96" i="83"/>
  <c r="AH95" i="83"/>
  <c r="AH94" i="83"/>
  <c r="AH93" i="83"/>
  <c r="AH92" i="83"/>
  <c r="AH91" i="83"/>
  <c r="AH90" i="83"/>
  <c r="AH89" i="83"/>
  <c r="AH88" i="83"/>
  <c r="AH87" i="83"/>
  <c r="AH86" i="83"/>
  <c r="AH85" i="83"/>
  <c r="AH84" i="83"/>
  <c r="AH83" i="83"/>
  <c r="AH82" i="83"/>
  <c r="AH81" i="83"/>
  <c r="AH80" i="83"/>
  <c r="AH79" i="83"/>
  <c r="AH78" i="83"/>
  <c r="AH77" i="83"/>
  <c r="AH76" i="83"/>
  <c r="AH75" i="83"/>
  <c r="AH74" i="83"/>
  <c r="AH73" i="83"/>
  <c r="AH72" i="83"/>
  <c r="AH71" i="83"/>
  <c r="AH70" i="83"/>
  <c r="AH69" i="83"/>
  <c r="AH68" i="83"/>
  <c r="AH67" i="83"/>
  <c r="AH66" i="83"/>
  <c r="AH65" i="83"/>
  <c r="AH64" i="83"/>
  <c r="AH63" i="83"/>
  <c r="AH62" i="83"/>
  <c r="AH61" i="83"/>
  <c r="AH60" i="83"/>
  <c r="AH59" i="83"/>
  <c r="AH58" i="83"/>
  <c r="AH57" i="83"/>
  <c r="AH56" i="83"/>
  <c r="AH55" i="83"/>
  <c r="AH54" i="83"/>
  <c r="AH53" i="83"/>
  <c r="AH52" i="83"/>
  <c r="AH51" i="83"/>
  <c r="AH50" i="83"/>
  <c r="AH49" i="83"/>
  <c r="AH48" i="83"/>
  <c r="AH47" i="83"/>
  <c r="AH46" i="83"/>
  <c r="AH45" i="83"/>
  <c r="AH44" i="83"/>
  <c r="AH43" i="83"/>
  <c r="AH42" i="83"/>
  <c r="AH41" i="83"/>
  <c r="AH40" i="83"/>
  <c r="AH39" i="83"/>
  <c r="AH38" i="83"/>
  <c r="AH37" i="83"/>
  <c r="AH36" i="83"/>
  <c r="AH35" i="83"/>
  <c r="AH34" i="83"/>
  <c r="AH33" i="83"/>
  <c r="AH32" i="83"/>
  <c r="AH31" i="83"/>
  <c r="AH30" i="83"/>
  <c r="AH29" i="83"/>
  <c r="AH28" i="83"/>
  <c r="AH27" i="83"/>
  <c r="AH26" i="83"/>
  <c r="AH25" i="83"/>
  <c r="AH24" i="83"/>
  <c r="AH23" i="83"/>
  <c r="AH22" i="83"/>
  <c r="AH21" i="83"/>
  <c r="AH20" i="83"/>
  <c r="AH19" i="83"/>
  <c r="AH18" i="83"/>
  <c r="AH17" i="83"/>
  <c r="AH16" i="83"/>
  <c r="AH15" i="83"/>
  <c r="AH14" i="83"/>
  <c r="AH13" i="83"/>
  <c r="AH12" i="83"/>
  <c r="AH11" i="83"/>
  <c r="AH10" i="83"/>
  <c r="AH9" i="83"/>
  <c r="AH8" i="83"/>
  <c r="AH7" i="83"/>
  <c r="AH6" i="83"/>
  <c r="AH5" i="83"/>
  <c r="X104" i="83"/>
  <c r="X103" i="83"/>
  <c r="X102" i="83"/>
  <c r="X101" i="83"/>
  <c r="X100" i="83"/>
  <c r="X99" i="83"/>
  <c r="X98" i="83"/>
  <c r="X97" i="83"/>
  <c r="X96" i="83"/>
  <c r="X95" i="83"/>
  <c r="X94" i="83"/>
  <c r="X93" i="83"/>
  <c r="X92" i="83"/>
  <c r="X91" i="83"/>
  <c r="X90" i="83"/>
  <c r="X89" i="83"/>
  <c r="X88" i="83"/>
  <c r="X87" i="83"/>
  <c r="X86" i="83"/>
  <c r="X85" i="83"/>
  <c r="X84" i="83"/>
  <c r="X83" i="83"/>
  <c r="X82" i="83"/>
  <c r="X81" i="83"/>
  <c r="X80" i="83"/>
  <c r="X79" i="83"/>
  <c r="X78" i="83"/>
  <c r="X77" i="83"/>
  <c r="X76" i="83"/>
  <c r="X75" i="83"/>
  <c r="X74" i="83"/>
  <c r="X73" i="83"/>
  <c r="X72" i="83"/>
  <c r="X71" i="83"/>
  <c r="X70" i="83"/>
  <c r="X69" i="83"/>
  <c r="X68" i="83"/>
  <c r="X67" i="83"/>
  <c r="X66" i="83"/>
  <c r="X65" i="83"/>
  <c r="X64" i="83"/>
  <c r="X63" i="83"/>
  <c r="X62" i="83"/>
  <c r="X61" i="83"/>
  <c r="X60" i="83"/>
  <c r="X59" i="83"/>
  <c r="X58" i="83"/>
  <c r="X57" i="83"/>
  <c r="X56" i="83"/>
  <c r="X55" i="83"/>
  <c r="X54" i="83"/>
  <c r="X53" i="83"/>
  <c r="X52" i="83"/>
  <c r="X51" i="83"/>
  <c r="X50" i="83"/>
  <c r="X49" i="83"/>
  <c r="X48" i="83"/>
  <c r="X47" i="83"/>
  <c r="X46" i="83"/>
  <c r="X45" i="83"/>
  <c r="X44" i="83"/>
  <c r="X43" i="83"/>
  <c r="X42" i="83"/>
  <c r="X41" i="83"/>
  <c r="X40" i="83"/>
  <c r="X39" i="83"/>
  <c r="X38" i="83"/>
  <c r="X37" i="83"/>
  <c r="X36" i="83"/>
  <c r="X35" i="83"/>
  <c r="X34" i="83"/>
  <c r="X33" i="83"/>
  <c r="X32" i="83"/>
  <c r="X31" i="83"/>
  <c r="X30" i="83"/>
  <c r="X29" i="83"/>
  <c r="X28" i="83"/>
  <c r="X27" i="83"/>
  <c r="X26" i="83"/>
  <c r="X25" i="83"/>
  <c r="X24" i="83"/>
  <c r="X23" i="83"/>
  <c r="X22" i="83"/>
  <c r="X21" i="83"/>
  <c r="X20" i="83"/>
  <c r="X19" i="83"/>
  <c r="X18" i="83"/>
  <c r="X17" i="83"/>
  <c r="X16" i="83"/>
  <c r="X15" i="83"/>
  <c r="X14" i="83"/>
  <c r="X13" i="83"/>
  <c r="X12" i="83"/>
  <c r="X11" i="83"/>
  <c r="X10" i="83"/>
  <c r="X9" i="83"/>
  <c r="X8" i="83"/>
  <c r="X7" i="83"/>
  <c r="X6" i="83"/>
  <c r="X5" i="83"/>
  <c r="N104" i="83"/>
  <c r="L167" i="81" s="1"/>
  <c r="N103" i="83"/>
  <c r="N102" i="83"/>
  <c r="N101" i="83"/>
  <c r="N100" i="83"/>
  <c r="N99" i="83"/>
  <c r="N98" i="83"/>
  <c r="N97" i="83"/>
  <c r="N96" i="83"/>
  <c r="N95" i="83"/>
  <c r="N94" i="83"/>
  <c r="N93" i="83"/>
  <c r="N92" i="83"/>
  <c r="N91" i="83"/>
  <c r="N90" i="83"/>
  <c r="N89" i="83"/>
  <c r="N88" i="83"/>
  <c r="N87" i="83"/>
  <c r="N86" i="83"/>
  <c r="N85" i="83"/>
  <c r="N84" i="83"/>
  <c r="N83" i="83"/>
  <c r="N82" i="83"/>
  <c r="N81" i="83"/>
  <c r="N80" i="83"/>
  <c r="N79" i="83"/>
  <c r="N78" i="83"/>
  <c r="N77" i="83"/>
  <c r="N76" i="83"/>
  <c r="N75" i="83"/>
  <c r="N74" i="83"/>
  <c r="N73" i="83"/>
  <c r="N72" i="83"/>
  <c r="N71" i="83"/>
  <c r="N70" i="83"/>
  <c r="N69" i="83"/>
  <c r="N68" i="83"/>
  <c r="N67" i="83"/>
  <c r="N66" i="83"/>
  <c r="N65" i="83"/>
  <c r="N64" i="83"/>
  <c r="N63" i="83"/>
  <c r="N62" i="83"/>
  <c r="N61" i="83"/>
  <c r="N60" i="83"/>
  <c r="N59" i="83"/>
  <c r="N58" i="83"/>
  <c r="N57" i="83"/>
  <c r="N56" i="83"/>
  <c r="N55" i="83"/>
  <c r="N54" i="83"/>
  <c r="N53" i="83"/>
  <c r="N52" i="83"/>
  <c r="N51" i="83"/>
  <c r="N50" i="83"/>
  <c r="N49" i="83"/>
  <c r="N48" i="83"/>
  <c r="N47" i="83"/>
  <c r="N46" i="83"/>
  <c r="N45" i="83"/>
  <c r="N44" i="83"/>
  <c r="N43" i="83"/>
  <c r="N42" i="83"/>
  <c r="N41" i="83"/>
  <c r="N40" i="83"/>
  <c r="N39" i="83"/>
  <c r="N38" i="83"/>
  <c r="N37" i="83"/>
  <c r="N36" i="83"/>
  <c r="N35" i="83"/>
  <c r="N34" i="83"/>
  <c r="N33" i="83"/>
  <c r="N32" i="83"/>
  <c r="N31" i="83"/>
  <c r="N30" i="83"/>
  <c r="N29" i="83"/>
  <c r="N28" i="83"/>
  <c r="N27" i="83"/>
  <c r="N26" i="83"/>
  <c r="N25" i="83"/>
  <c r="N24" i="83"/>
  <c r="N23" i="83"/>
  <c r="N22" i="83"/>
  <c r="N21" i="83"/>
  <c r="N20" i="83"/>
  <c r="N19" i="83"/>
  <c r="N18" i="83"/>
  <c r="N17" i="83"/>
  <c r="N16" i="83"/>
  <c r="N15" i="83"/>
  <c r="N14" i="83"/>
  <c r="N13" i="83"/>
  <c r="N12" i="83"/>
  <c r="N11" i="83"/>
  <c r="N10" i="83"/>
  <c r="N9" i="83"/>
  <c r="N8" i="83"/>
  <c r="N7" i="83"/>
  <c r="N6" i="83"/>
  <c r="N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J167" i="81" s="1"/>
  <c r="D5" i="83"/>
  <c r="BA195" i="82"/>
  <c r="AS95" i="82"/>
  <c r="Y20" i="82"/>
  <c r="BA188" i="82" s="1"/>
  <c r="Y19" i="82"/>
  <c r="BA172" i="82" s="1"/>
  <c r="Y18" i="82"/>
  <c r="BA156" i="82" s="1"/>
  <c r="Y17" i="82"/>
  <c r="BA140" i="82" s="1"/>
  <c r="Y16" i="82"/>
  <c r="BA128" i="82" s="1"/>
  <c r="Y15" i="82"/>
  <c r="BA112" i="82" s="1"/>
  <c r="Y14" i="82"/>
  <c r="BA96" i="82" s="1"/>
  <c r="Y13" i="82"/>
  <c r="BA80" i="82" s="1"/>
  <c r="Y12" i="82"/>
  <c r="BA68" i="82" s="1"/>
  <c r="Y11" i="82"/>
  <c r="BA52" i="82" s="1"/>
  <c r="Y10" i="82"/>
  <c r="BA36" i="82" s="1"/>
  <c r="Y9" i="82"/>
  <c r="BA28" i="82" s="1"/>
  <c r="Y8" i="82"/>
  <c r="BA20" i="82" s="1"/>
  <c r="Y7" i="82"/>
  <c r="BA12" i="82" s="1"/>
  <c r="Y6" i="82"/>
  <c r="BA7" i="82" s="1"/>
  <c r="P7" i="82"/>
  <c r="AT18" i="82" s="1"/>
  <c r="P11" i="82"/>
  <c r="AT57" i="82" s="1"/>
  <c r="P15" i="82"/>
  <c r="AT114" i="82" s="1"/>
  <c r="P19" i="82"/>
  <c r="AT172" i="82" s="1"/>
  <c r="N7" i="82"/>
  <c r="AS19" i="82" s="1"/>
  <c r="N8" i="82"/>
  <c r="AS24" i="82" s="1"/>
  <c r="N9" i="82"/>
  <c r="AS35" i="82" s="1"/>
  <c r="N10" i="82"/>
  <c r="AS44" i="82" s="1"/>
  <c r="N11" i="82"/>
  <c r="N12" i="82"/>
  <c r="AS72" i="82" s="1"/>
  <c r="N13" i="82"/>
  <c r="AS83" i="82" s="1"/>
  <c r="N14" i="82"/>
  <c r="AS100" i="82" s="1"/>
  <c r="N15" i="82"/>
  <c r="AS115" i="82" s="1"/>
  <c r="N16" i="82"/>
  <c r="AS128" i="82" s="1"/>
  <c r="N17" i="82"/>
  <c r="AS147" i="82" s="1"/>
  <c r="N18" i="82"/>
  <c r="AS156" i="82" s="1"/>
  <c r="N19" i="82"/>
  <c r="AS174" i="82" s="1"/>
  <c r="N20" i="82"/>
  <c r="AS186" i="82" s="1"/>
  <c r="N6" i="82"/>
  <c r="AS11" i="82" s="1"/>
  <c r="AK6" i="82"/>
  <c r="AK7" i="82"/>
  <c r="AK8" i="82"/>
  <c r="AK9" i="82"/>
  <c r="AK10" i="82"/>
  <c r="AK11" i="82"/>
  <c r="AK12" i="82"/>
  <c r="AK13" i="82"/>
  <c r="AK14" i="82"/>
  <c r="AK15" i="82"/>
  <c r="AK16" i="82"/>
  <c r="AK17" i="82"/>
  <c r="AK18" i="82"/>
  <c r="AK19" i="82"/>
  <c r="AK20" i="82"/>
  <c r="AK21" i="82"/>
  <c r="AK22" i="82"/>
  <c r="AK23" i="82"/>
  <c r="AK24" i="82"/>
  <c r="AK25" i="82"/>
  <c r="AK26" i="82"/>
  <c r="AK27" i="82"/>
  <c r="AK28" i="82"/>
  <c r="AK29" i="82"/>
  <c r="AK30" i="82"/>
  <c r="AK31" i="82"/>
  <c r="AK32" i="82"/>
  <c r="AK33" i="82"/>
  <c r="AK34" i="82"/>
  <c r="AK35" i="82"/>
  <c r="AK36" i="82"/>
  <c r="AK37" i="82"/>
  <c r="AK38" i="82"/>
  <c r="AK39" i="82"/>
  <c r="AK40" i="82"/>
  <c r="AK41" i="82"/>
  <c r="AK42" i="82"/>
  <c r="AK43" i="82"/>
  <c r="AK44" i="82"/>
  <c r="AK45" i="82"/>
  <c r="AK46" i="82"/>
  <c r="AK47" i="82"/>
  <c r="AK48" i="82"/>
  <c r="AK49" i="82"/>
  <c r="AK50" i="82"/>
  <c r="AK51" i="82"/>
  <c r="AK52" i="82"/>
  <c r="AK53" i="82"/>
  <c r="AK54" i="82"/>
  <c r="AK55" i="82"/>
  <c r="AK56" i="82"/>
  <c r="AK57" i="82"/>
  <c r="AK58" i="82"/>
  <c r="AK59" i="82"/>
  <c r="AK60" i="82"/>
  <c r="AK61" i="82"/>
  <c r="AK62" i="82"/>
  <c r="AK63" i="82"/>
  <c r="AK64" i="82"/>
  <c r="AK65" i="82"/>
  <c r="AK66" i="82"/>
  <c r="AK67" i="82"/>
  <c r="AK68" i="82"/>
  <c r="AK69" i="82"/>
  <c r="AK70" i="82"/>
  <c r="AK71" i="82"/>
  <c r="AK72" i="82"/>
  <c r="AK73" i="82"/>
  <c r="AK74" i="82"/>
  <c r="AK75" i="82"/>
  <c r="AK76" i="82"/>
  <c r="AK77" i="82"/>
  <c r="AK78" i="82"/>
  <c r="AK79" i="82"/>
  <c r="AK80" i="82"/>
  <c r="AK81" i="82"/>
  <c r="AK82" i="82"/>
  <c r="AK83" i="82"/>
  <c r="AK84" i="82"/>
  <c r="AK85" i="82"/>
  <c r="AK86" i="82"/>
  <c r="AK87" i="82"/>
  <c r="AK88" i="82"/>
  <c r="AK89" i="82"/>
  <c r="AK90" i="82"/>
  <c r="AK91" i="82"/>
  <c r="AK92" i="82"/>
  <c r="AK93" i="82"/>
  <c r="AK94" i="82"/>
  <c r="AK95" i="82"/>
  <c r="AK96" i="82"/>
  <c r="AK97" i="82"/>
  <c r="AK98" i="82"/>
  <c r="AK99" i="82"/>
  <c r="AK100" i="82"/>
  <c r="AK101" i="82"/>
  <c r="AK102" i="82"/>
  <c r="AK103" i="82"/>
  <c r="AK104" i="82"/>
  <c r="AK105" i="82"/>
  <c r="AK106" i="82"/>
  <c r="AK107" i="82"/>
  <c r="AK108" i="82"/>
  <c r="AK109" i="82"/>
  <c r="AK110" i="82"/>
  <c r="AK111" i="82"/>
  <c r="AK112" i="82"/>
  <c r="AK113" i="82"/>
  <c r="AK114" i="82"/>
  <c r="AK115" i="82"/>
  <c r="AK116" i="82"/>
  <c r="AK117" i="82"/>
  <c r="AK118" i="82"/>
  <c r="AK119" i="82"/>
  <c r="AK120" i="82"/>
  <c r="AK121" i="82"/>
  <c r="AK122" i="82"/>
  <c r="AK123" i="82"/>
  <c r="AK124" i="82"/>
  <c r="AK125" i="82"/>
  <c r="AK126" i="82"/>
  <c r="AK127" i="82"/>
  <c r="AK128" i="82"/>
  <c r="AK129" i="82"/>
  <c r="AK130" i="82"/>
  <c r="AK131" i="82"/>
  <c r="AK132" i="82"/>
  <c r="AK133" i="82"/>
  <c r="AK134" i="82"/>
  <c r="AK135" i="82"/>
  <c r="AK136" i="82"/>
  <c r="AK137" i="82"/>
  <c r="AK138" i="82"/>
  <c r="AK139" i="82"/>
  <c r="AK140" i="82"/>
  <c r="AK141" i="82"/>
  <c r="AK142" i="82"/>
  <c r="AK143" i="82"/>
  <c r="AK144" i="82"/>
  <c r="AK145" i="82"/>
  <c r="AK146" i="82"/>
  <c r="AK147" i="82"/>
  <c r="AK148" i="82"/>
  <c r="AK149" i="82"/>
  <c r="AK150" i="82"/>
  <c r="AK151" i="82"/>
  <c r="AK152" i="82"/>
  <c r="AK153" i="82"/>
  <c r="AK154" i="82"/>
  <c r="AK155" i="82"/>
  <c r="AK156" i="82"/>
  <c r="AK157" i="82"/>
  <c r="AK158" i="82"/>
  <c r="AK159" i="82"/>
  <c r="AK160" i="82"/>
  <c r="AK161" i="82"/>
  <c r="AK162" i="82"/>
  <c r="AK163" i="82"/>
  <c r="AK164" i="82"/>
  <c r="AK165" i="82"/>
  <c r="AK166" i="82"/>
  <c r="AK167" i="82"/>
  <c r="AK168" i="82"/>
  <c r="AK169" i="82"/>
  <c r="AK170" i="82"/>
  <c r="AK171" i="82"/>
  <c r="AK172" i="82"/>
  <c r="AK173" i="82"/>
  <c r="AK174" i="82"/>
  <c r="AK175" i="82"/>
  <c r="AK176" i="82"/>
  <c r="AK177" i="82"/>
  <c r="AK178" i="82"/>
  <c r="AK179" i="82"/>
  <c r="AK180" i="82"/>
  <c r="AK181" i="82"/>
  <c r="AK182" i="82"/>
  <c r="AK183" i="82"/>
  <c r="AK184" i="82"/>
  <c r="AK185" i="82"/>
  <c r="AK186" i="82"/>
  <c r="AK187" i="82"/>
  <c r="AK188" i="82"/>
  <c r="AK189" i="82"/>
  <c r="AK190" i="82"/>
  <c r="AK191" i="82"/>
  <c r="AK192" i="82"/>
  <c r="AK193" i="82"/>
  <c r="AK194" i="82"/>
  <c r="AK195" i="82"/>
  <c r="AK196" i="82"/>
  <c r="AK197" i="82"/>
  <c r="AK198" i="82"/>
  <c r="AK199" i="82"/>
  <c r="AK200" i="82"/>
  <c r="AK201" i="82"/>
  <c r="AK202" i="82"/>
  <c r="AK203" i="82"/>
  <c r="AK204" i="82"/>
  <c r="AK205" i="82"/>
  <c r="AK206" i="82"/>
  <c r="AK207" i="82"/>
  <c r="AK208" i="82"/>
  <c r="AK209" i="82"/>
  <c r="AK210" i="82"/>
  <c r="AK211" i="82"/>
  <c r="AK5" i="82"/>
  <c r="AA7" i="82"/>
  <c r="BB12" i="82" s="1"/>
  <c r="AA8" i="82"/>
  <c r="BB20" i="82" s="1"/>
  <c r="AA9" i="82"/>
  <c r="BB28" i="82" s="1"/>
  <c r="AA10" i="82"/>
  <c r="BB36" i="82" s="1"/>
  <c r="AA11" i="82"/>
  <c r="BB52" i="82" s="1"/>
  <c r="AA12" i="82"/>
  <c r="BB68" i="82" s="1"/>
  <c r="AA13" i="82"/>
  <c r="BB80" i="82" s="1"/>
  <c r="P14" i="82"/>
  <c r="F16" i="82"/>
  <c r="AA17" i="82"/>
  <c r="BB140" i="82" s="1"/>
  <c r="AA18" i="82"/>
  <c r="BB156" i="82" s="1"/>
  <c r="AA19" i="82"/>
  <c r="BB170" i="82" s="1"/>
  <c r="AA20" i="82"/>
  <c r="BB188" i="82" s="1"/>
  <c r="P6" i="82"/>
  <c r="H7" i="82"/>
  <c r="H8" i="82"/>
  <c r="H9" i="82"/>
  <c r="H10" i="82"/>
  <c r="H11" i="82"/>
  <c r="H12" i="82"/>
  <c r="H13" i="82"/>
  <c r="H14" i="82"/>
  <c r="AE14" i="82" s="1"/>
  <c r="H15" i="82"/>
  <c r="H16" i="82"/>
  <c r="H17" i="82"/>
  <c r="H18" i="82"/>
  <c r="H19" i="82"/>
  <c r="H20" i="82"/>
  <c r="H6" i="82"/>
  <c r="R6" i="82" s="1"/>
  <c r="L153" i="81" l="1"/>
  <c r="J140" i="81"/>
  <c r="J168" i="81"/>
  <c r="J196" i="81"/>
  <c r="BA199" i="82"/>
  <c r="L168" i="81"/>
  <c r="L196" i="81"/>
  <c r="J153" i="81"/>
  <c r="L154" i="81"/>
  <c r="L182" i="81"/>
  <c r="L140" i="81"/>
  <c r="J139" i="81"/>
  <c r="L139" i="81"/>
  <c r="J154" i="81"/>
  <c r="J182" i="81"/>
  <c r="BA175" i="82"/>
  <c r="O111" i="81"/>
  <c r="BA143" i="82"/>
  <c r="O112" i="81"/>
  <c r="BA135" i="82"/>
  <c r="BA131" i="82"/>
  <c r="O93" i="81"/>
  <c r="O124" i="81"/>
  <c r="BA31" i="82"/>
  <c r="BA59" i="82"/>
  <c r="BA15" i="82"/>
  <c r="O61" i="81"/>
  <c r="O87" i="81"/>
  <c r="O86" i="81"/>
  <c r="O79" i="81"/>
  <c r="O104" i="81"/>
  <c r="AS76" i="82"/>
  <c r="BA139" i="82"/>
  <c r="BA75" i="82"/>
  <c r="BA11" i="82"/>
  <c r="L59" i="81"/>
  <c r="O65" i="81"/>
  <c r="BA71" i="82"/>
  <c r="BA67" i="82"/>
  <c r="BA191" i="82"/>
  <c r="BA127" i="82"/>
  <c r="BA63" i="82"/>
  <c r="O59" i="81"/>
  <c r="O98" i="81"/>
  <c r="O120" i="81"/>
  <c r="O132" i="81"/>
  <c r="BA187" i="82"/>
  <c r="BA123" i="82"/>
  <c r="L125" i="81"/>
  <c r="O107" i="81"/>
  <c r="O119" i="81"/>
  <c r="O131" i="81"/>
  <c r="BA183" i="82"/>
  <c r="BA119" i="82"/>
  <c r="BA55" i="82"/>
  <c r="O71" i="81"/>
  <c r="O85" i="81"/>
  <c r="O106" i="81"/>
  <c r="O118" i="81"/>
  <c r="O130" i="81"/>
  <c r="BA179" i="82"/>
  <c r="BA115" i="82"/>
  <c r="BA51" i="82"/>
  <c r="O80" i="81"/>
  <c r="O94" i="81"/>
  <c r="O105" i="81"/>
  <c r="O117" i="81"/>
  <c r="O129" i="81"/>
  <c r="O116" i="81"/>
  <c r="BA79" i="82"/>
  <c r="AS193" i="82"/>
  <c r="BA171" i="82"/>
  <c r="BA91" i="82"/>
  <c r="BA27" i="82"/>
  <c r="L72" i="81"/>
  <c r="O78" i="81"/>
  <c r="O92" i="81"/>
  <c r="O103" i="81"/>
  <c r="O115" i="81"/>
  <c r="O127" i="81"/>
  <c r="AS151" i="82"/>
  <c r="BA151" i="82"/>
  <c r="BA87" i="82"/>
  <c r="BA23" i="82"/>
  <c r="O77" i="81"/>
  <c r="O91" i="81"/>
  <c r="O102" i="81"/>
  <c r="O114" i="81"/>
  <c r="O126" i="81"/>
  <c r="BA111" i="82"/>
  <c r="AS132" i="82"/>
  <c r="BA147" i="82"/>
  <c r="BA83" i="82"/>
  <c r="BA19" i="82"/>
  <c r="O57" i="81"/>
  <c r="R14" i="82"/>
  <c r="AU100" i="82" s="1"/>
  <c r="T14" i="82"/>
  <c r="F12" i="88" s="1"/>
  <c r="H13" i="88"/>
  <c r="O16" i="89"/>
  <c r="AS166" i="82"/>
  <c r="BA167" i="82"/>
  <c r="BA159" i="82"/>
  <c r="BA103" i="82"/>
  <c r="BA39" i="82"/>
  <c r="AC17" i="82"/>
  <c r="BC140" i="82" s="1"/>
  <c r="T17" i="82"/>
  <c r="F15" i="88" s="1"/>
  <c r="AE17" i="82"/>
  <c r="H16" i="88" s="1"/>
  <c r="O19" i="89"/>
  <c r="AC13" i="82"/>
  <c r="BC80" i="82" s="1"/>
  <c r="T13" i="82"/>
  <c r="F11" i="88" s="1"/>
  <c r="AE13" i="82"/>
  <c r="H12" i="88" s="1"/>
  <c r="O15" i="89"/>
  <c r="AC9" i="82"/>
  <c r="BC30" i="82" s="1"/>
  <c r="T9" i="82"/>
  <c r="F7" i="88" s="1"/>
  <c r="AE9" i="82"/>
  <c r="H8" i="88" s="1"/>
  <c r="O11" i="89"/>
  <c r="R17" i="82"/>
  <c r="AS189" i="82"/>
  <c r="AS164" i="82"/>
  <c r="AS148" i="82"/>
  <c r="AS108" i="82"/>
  <c r="AS92" i="82"/>
  <c r="AS68" i="82"/>
  <c r="AS36" i="82"/>
  <c r="BA198" i="82"/>
  <c r="BA194" i="82"/>
  <c r="BA190" i="82"/>
  <c r="BA186" i="82"/>
  <c r="BA182" i="82"/>
  <c r="BA178" i="82"/>
  <c r="BA174" i="82"/>
  <c r="BA170" i="82"/>
  <c r="BA166" i="82"/>
  <c r="BA162" i="82"/>
  <c r="BA158" i="82"/>
  <c r="BA154" i="82"/>
  <c r="BA150" i="82"/>
  <c r="BA146" i="82"/>
  <c r="BA142" i="82"/>
  <c r="BA138" i="82"/>
  <c r="BA134" i="82"/>
  <c r="BA130" i="82"/>
  <c r="BA126" i="82"/>
  <c r="BA122" i="82"/>
  <c r="BA118" i="82"/>
  <c r="BA114" i="82"/>
  <c r="BA110" i="82"/>
  <c r="BA106" i="82"/>
  <c r="BA102" i="82"/>
  <c r="BA98" i="82"/>
  <c r="BA94" i="82"/>
  <c r="BA90" i="82"/>
  <c r="BA86" i="82"/>
  <c r="BA82" i="82"/>
  <c r="BA78" i="82"/>
  <c r="BA74" i="82"/>
  <c r="BA70" i="82"/>
  <c r="BA66" i="82"/>
  <c r="BA62" i="82"/>
  <c r="BA58" i="82"/>
  <c r="BA54" i="82"/>
  <c r="BA50" i="82"/>
  <c r="BA46" i="82"/>
  <c r="BA42" i="82"/>
  <c r="BA38" i="82"/>
  <c r="BA34" i="82"/>
  <c r="BA30" i="82"/>
  <c r="BA26" i="82"/>
  <c r="BA22" i="82"/>
  <c r="BA18" i="82"/>
  <c r="BA14" i="82"/>
  <c r="R18" i="82"/>
  <c r="AU158" i="82" s="1"/>
  <c r="AE18" i="82"/>
  <c r="H17" i="88" s="1"/>
  <c r="T18" i="82"/>
  <c r="F16" i="88" s="1"/>
  <c r="O20" i="89"/>
  <c r="BA155" i="82"/>
  <c r="BA99" i="82"/>
  <c r="BA43" i="82"/>
  <c r="R20" i="82"/>
  <c r="AU191" i="82" s="1"/>
  <c r="AE20" i="82"/>
  <c r="T20" i="82"/>
  <c r="F18" i="88" s="1"/>
  <c r="O22" i="89"/>
  <c r="AC16" i="82"/>
  <c r="BC126" i="82" s="1"/>
  <c r="AE16" i="82"/>
  <c r="H15" i="88" s="1"/>
  <c r="T16" i="82"/>
  <c r="F14" i="88" s="1"/>
  <c r="O18" i="89"/>
  <c r="AC12" i="82"/>
  <c r="BC66" i="82" s="1"/>
  <c r="AE12" i="82"/>
  <c r="H11" i="88" s="1"/>
  <c r="T12" i="82"/>
  <c r="F10" i="88" s="1"/>
  <c r="O14" i="89"/>
  <c r="AC8" i="82"/>
  <c r="BC21" i="82" s="1"/>
  <c r="AE8" i="82"/>
  <c r="H7" i="88" s="1"/>
  <c r="T8" i="82"/>
  <c r="F6" i="88" s="1"/>
  <c r="O10" i="89"/>
  <c r="R13" i="82"/>
  <c r="AU90" i="82" s="1"/>
  <c r="AS170" i="82"/>
  <c r="AS159" i="82"/>
  <c r="AS143" i="82"/>
  <c r="AS103" i="82"/>
  <c r="AS87" i="82"/>
  <c r="AS47" i="82"/>
  <c r="AS31" i="82"/>
  <c r="BA197" i="82"/>
  <c r="BA193" i="82"/>
  <c r="BA189" i="82"/>
  <c r="BA185" i="82"/>
  <c r="BA181" i="82"/>
  <c r="BA177" i="82"/>
  <c r="BA173" i="82"/>
  <c r="BA169" i="82"/>
  <c r="BA165" i="82"/>
  <c r="BA161" i="82"/>
  <c r="BA157" i="82"/>
  <c r="BA153" i="82"/>
  <c r="BA149" i="82"/>
  <c r="BA145" i="82"/>
  <c r="BA141" i="82"/>
  <c r="BA137" i="82"/>
  <c r="BA133" i="82"/>
  <c r="BA129" i="82"/>
  <c r="BA125" i="82"/>
  <c r="BA121" i="82"/>
  <c r="BA117" i="82"/>
  <c r="BA113" i="82"/>
  <c r="BA109" i="82"/>
  <c r="BA105" i="82"/>
  <c r="BA101" i="82"/>
  <c r="BA97" i="82"/>
  <c r="BA93" i="82"/>
  <c r="BA89" i="82"/>
  <c r="BA85" i="82"/>
  <c r="BA81" i="82"/>
  <c r="BA77" i="82"/>
  <c r="BA73" i="82"/>
  <c r="BA69" i="82"/>
  <c r="BA65" i="82"/>
  <c r="BA61" i="82"/>
  <c r="BA57" i="82"/>
  <c r="BA53" i="82"/>
  <c r="BA49" i="82"/>
  <c r="BA45" i="82"/>
  <c r="BA41" i="82"/>
  <c r="BA37" i="82"/>
  <c r="BA33" i="82"/>
  <c r="BA29" i="82"/>
  <c r="BA25" i="82"/>
  <c r="BA21" i="82"/>
  <c r="BA17" i="82"/>
  <c r="BA13" i="82"/>
  <c r="R10" i="82"/>
  <c r="AE10" i="82"/>
  <c r="H9" i="88" s="1"/>
  <c r="T10" i="82"/>
  <c r="F8" i="88" s="1"/>
  <c r="O12" i="89"/>
  <c r="AS39" i="82"/>
  <c r="BA163" i="82"/>
  <c r="BA107" i="82"/>
  <c r="BA95" i="82"/>
  <c r="BA47" i="82"/>
  <c r="BA35" i="82"/>
  <c r="AC6" i="82"/>
  <c r="BC5" i="82" s="1"/>
  <c r="T6" i="82"/>
  <c r="F4" i="88" s="1"/>
  <c r="AE6" i="82"/>
  <c r="H5" i="88" s="1"/>
  <c r="O8" i="89"/>
  <c r="R19" i="82"/>
  <c r="AU177" i="82" s="1"/>
  <c r="T19" i="82"/>
  <c r="F17" i="88" s="1"/>
  <c r="AE19" i="82"/>
  <c r="H18" i="88" s="1"/>
  <c r="O21" i="89"/>
  <c r="R15" i="82"/>
  <c r="AU122" i="82" s="1"/>
  <c r="AE15" i="82"/>
  <c r="H14" i="88" s="1"/>
  <c r="T15" i="82"/>
  <c r="F13" i="88" s="1"/>
  <c r="O17" i="89"/>
  <c r="R11" i="82"/>
  <c r="AU51" i="82" s="1"/>
  <c r="T11" i="82"/>
  <c r="F9" i="88" s="1"/>
  <c r="AE11" i="82"/>
  <c r="H10" i="88" s="1"/>
  <c r="O13" i="89"/>
  <c r="R7" i="82"/>
  <c r="AU14" i="82" s="1"/>
  <c r="AE7" i="82"/>
  <c r="H6" i="88" s="1"/>
  <c r="T7" i="82"/>
  <c r="F5" i="88" s="1"/>
  <c r="O9" i="89"/>
  <c r="R9" i="82"/>
  <c r="AU35" i="82" s="1"/>
  <c r="AS197" i="82"/>
  <c r="AS169" i="82"/>
  <c r="AS140" i="82"/>
  <c r="AS84" i="82"/>
  <c r="AS28" i="82"/>
  <c r="BA196" i="82"/>
  <c r="BA192" i="82"/>
  <c r="BA184" i="82"/>
  <c r="BA180" i="82"/>
  <c r="BA176" i="82"/>
  <c r="BA168" i="82"/>
  <c r="BA164" i="82"/>
  <c r="BA160" i="82"/>
  <c r="BA152" i="82"/>
  <c r="BA148" i="82"/>
  <c r="BA144" i="82"/>
  <c r="BA136" i="82"/>
  <c r="BA132" i="82"/>
  <c r="BA124" i="82"/>
  <c r="BA120" i="82"/>
  <c r="BA116" i="82"/>
  <c r="BA108" i="82"/>
  <c r="BA104" i="82"/>
  <c r="BA100" i="82"/>
  <c r="BA92" i="82"/>
  <c r="BA88" i="82"/>
  <c r="BA84" i="82"/>
  <c r="BA76" i="82"/>
  <c r="BA72" i="82"/>
  <c r="BA64" i="82"/>
  <c r="BA60" i="82"/>
  <c r="BA56" i="82"/>
  <c r="BA48" i="82"/>
  <c r="BA44" i="82"/>
  <c r="BA40" i="82"/>
  <c r="BA32" i="82"/>
  <c r="BA24" i="82"/>
  <c r="BA16" i="82"/>
  <c r="J60" i="81"/>
  <c r="J87" i="81"/>
  <c r="J100" i="81"/>
  <c r="J126" i="81"/>
  <c r="L100" i="81"/>
  <c r="L113" i="81"/>
  <c r="L126" i="81"/>
  <c r="BB180" i="82"/>
  <c r="BB173" i="82"/>
  <c r="BB171" i="82"/>
  <c r="BB165" i="82"/>
  <c r="BB149" i="82"/>
  <c r="BB89" i="82"/>
  <c r="BB57" i="82"/>
  <c r="BB41" i="82"/>
  <c r="BB17" i="82"/>
  <c r="AT58" i="82"/>
  <c r="BB184" i="82"/>
  <c r="BB177" i="82"/>
  <c r="BB175" i="82"/>
  <c r="BB161" i="82"/>
  <c r="BB145" i="82"/>
  <c r="BB85" i="82"/>
  <c r="BB53" i="82"/>
  <c r="BB37" i="82"/>
  <c r="BB13" i="82"/>
  <c r="BB181" i="82"/>
  <c r="BB179" i="82"/>
  <c r="BB172" i="82"/>
  <c r="BB157" i="82"/>
  <c r="BB141" i="82"/>
  <c r="BB81" i="82"/>
  <c r="BB49" i="82"/>
  <c r="BB33" i="82"/>
  <c r="BB183" i="82"/>
  <c r="BB176" i="82"/>
  <c r="BB169" i="82"/>
  <c r="BB153" i="82"/>
  <c r="BB93" i="82"/>
  <c r="BB61" i="82"/>
  <c r="BB45" i="82"/>
  <c r="BB29" i="82"/>
  <c r="BA6" i="82"/>
  <c r="AS7" i="82"/>
  <c r="BA9" i="82"/>
  <c r="AS5" i="82"/>
  <c r="BA5" i="82"/>
  <c r="BC10" i="82"/>
  <c r="BA8" i="82"/>
  <c r="BA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C152" i="82"/>
  <c r="BC150" i="82"/>
  <c r="BC143" i="82"/>
  <c r="BC141" i="82"/>
  <c r="BC92" i="82"/>
  <c r="BC90" i="82"/>
  <c r="BC83" i="82"/>
  <c r="BC81" i="82"/>
  <c r="BC33" i="82"/>
  <c r="BC28" i="82"/>
  <c r="BC22" i="82"/>
  <c r="BC153" i="82"/>
  <c r="BC148" i="82"/>
  <c r="BC146" i="82"/>
  <c r="BC133" i="82"/>
  <c r="BC93" i="82"/>
  <c r="BC88" i="82"/>
  <c r="BC86" i="82"/>
  <c r="BC31" i="82"/>
  <c r="BC29" i="82"/>
  <c r="BC151" i="82"/>
  <c r="BC149" i="82"/>
  <c r="BC144" i="82"/>
  <c r="BC142" i="82"/>
  <c r="BC91" i="82"/>
  <c r="BC89" i="82"/>
  <c r="BC84" i="82"/>
  <c r="BC82" i="82"/>
  <c r="BC34" i="82"/>
  <c r="BC27" i="82"/>
  <c r="BC25" i="82"/>
  <c r="BC154" i="82"/>
  <c r="BC147" i="82"/>
  <c r="BC145" i="82"/>
  <c r="BC132" i="82"/>
  <c r="BC94" i="82"/>
  <c r="BC87" i="82"/>
  <c r="BC85" i="82"/>
  <c r="BC74" i="82"/>
  <c r="BC32" i="82"/>
  <c r="BB197" i="82"/>
  <c r="BB189" i="82"/>
  <c r="BB77" i="82"/>
  <c r="BB69" i="82"/>
  <c r="BB65" i="82"/>
  <c r="BB25" i="82"/>
  <c r="BB21" i="82"/>
  <c r="BB198" i="82"/>
  <c r="BB194" i="82"/>
  <c r="BB190" i="82"/>
  <c r="BB186" i="82"/>
  <c r="BB182" i="82"/>
  <c r="BB178" i="82"/>
  <c r="BB174" i="82"/>
  <c r="BB166" i="82"/>
  <c r="BB162" i="82"/>
  <c r="BB158" i="82"/>
  <c r="BB154" i="82"/>
  <c r="BB150" i="82"/>
  <c r="BB146" i="82"/>
  <c r="BB142" i="82"/>
  <c r="BB94" i="82"/>
  <c r="BB90" i="82"/>
  <c r="BB86" i="82"/>
  <c r="BB82" i="82"/>
  <c r="BB78" i="82"/>
  <c r="BB74" i="82"/>
  <c r="BB70" i="82"/>
  <c r="BB66" i="82"/>
  <c r="BB62" i="82"/>
  <c r="BB58" i="82"/>
  <c r="BB54" i="82"/>
  <c r="BB50" i="82"/>
  <c r="BB46" i="82"/>
  <c r="BB42" i="82"/>
  <c r="BB38" i="82"/>
  <c r="BB34" i="82"/>
  <c r="BB30" i="82"/>
  <c r="BB26" i="82"/>
  <c r="BB22" i="82"/>
  <c r="BB18" i="82"/>
  <c r="BB14" i="82"/>
  <c r="BB185" i="82"/>
  <c r="BB73" i="82"/>
  <c r="BB199" i="82"/>
  <c r="BB195" i="82"/>
  <c r="BB191" i="82"/>
  <c r="BB187" i="82"/>
  <c r="BB167" i="82"/>
  <c r="BB163" i="82"/>
  <c r="BB159" i="82"/>
  <c r="BB155" i="82"/>
  <c r="BB151" i="82"/>
  <c r="BB147" i="82"/>
  <c r="BB143" i="82"/>
  <c r="BB91" i="82"/>
  <c r="BB87" i="82"/>
  <c r="BB83" i="82"/>
  <c r="BB79" i="82"/>
  <c r="BB75" i="82"/>
  <c r="BB71" i="82"/>
  <c r="BB67" i="82"/>
  <c r="BB63" i="82"/>
  <c r="BB59" i="82"/>
  <c r="BB55" i="82"/>
  <c r="BB51" i="82"/>
  <c r="BB47" i="82"/>
  <c r="BB43" i="82"/>
  <c r="BB39" i="82"/>
  <c r="BB35" i="82"/>
  <c r="BB31" i="82"/>
  <c r="BB27" i="82"/>
  <c r="BB23" i="82"/>
  <c r="BB19" i="82"/>
  <c r="BB15" i="82"/>
  <c r="BB11" i="82"/>
  <c r="BB193" i="82"/>
  <c r="BB196" i="82"/>
  <c r="BB192" i="82"/>
  <c r="BB168" i="82"/>
  <c r="BB164" i="82"/>
  <c r="BB160" i="82"/>
  <c r="BB152" i="82"/>
  <c r="BB148" i="82"/>
  <c r="BB144" i="82"/>
  <c r="BB92" i="82"/>
  <c r="BB88" i="82"/>
  <c r="BB84" i="82"/>
  <c r="BB76" i="82"/>
  <c r="BB72" i="82"/>
  <c r="BB64" i="82"/>
  <c r="BB60" i="82"/>
  <c r="BB56" i="82"/>
  <c r="BB48" i="82"/>
  <c r="BB44" i="82"/>
  <c r="BB40" i="82"/>
  <c r="BB32" i="82"/>
  <c r="BB24" i="82"/>
  <c r="BB16" i="82"/>
  <c r="AT184" i="82"/>
  <c r="AT176" i="82"/>
  <c r="AT122" i="82"/>
  <c r="O63" i="81"/>
  <c r="O58" i="81"/>
  <c r="O64" i="81"/>
  <c r="AU198" i="82"/>
  <c r="AU118" i="82"/>
  <c r="AU119" i="82"/>
  <c r="AU120" i="82"/>
  <c r="AU113" i="82"/>
  <c r="AU62" i="82"/>
  <c r="AU63" i="82"/>
  <c r="AU64" i="82"/>
  <c r="AU53" i="82"/>
  <c r="AT99" i="82"/>
  <c r="AT103" i="82"/>
  <c r="AT107" i="82"/>
  <c r="AT96" i="82"/>
  <c r="AT100" i="82"/>
  <c r="AT104" i="82"/>
  <c r="AT108" i="82"/>
  <c r="AT101" i="82"/>
  <c r="AT109" i="82"/>
  <c r="AT102" i="82"/>
  <c r="AT110" i="82"/>
  <c r="AT97" i="82"/>
  <c r="AT98" i="82"/>
  <c r="AT106" i="82"/>
  <c r="AT105" i="82"/>
  <c r="AU163" i="82"/>
  <c r="AU164" i="82"/>
  <c r="AU169" i="82"/>
  <c r="AU99" i="82"/>
  <c r="AU38" i="82"/>
  <c r="AU42" i="82"/>
  <c r="AU46" i="82"/>
  <c r="AU50" i="82"/>
  <c r="AU39" i="82"/>
  <c r="AU43" i="82"/>
  <c r="AU47" i="82"/>
  <c r="AU36" i="82"/>
  <c r="AU40" i="82"/>
  <c r="AU44" i="82"/>
  <c r="AU48" i="82"/>
  <c r="AU41" i="82"/>
  <c r="AU45" i="82"/>
  <c r="AU49" i="82"/>
  <c r="AU37" i="82"/>
  <c r="AT7" i="82"/>
  <c r="AT11" i="82"/>
  <c r="AT8" i="82"/>
  <c r="AT5" i="82"/>
  <c r="AT6" i="82"/>
  <c r="AT10" i="82"/>
  <c r="AT9" i="82"/>
  <c r="AS53" i="82"/>
  <c r="AS57" i="82"/>
  <c r="AS61" i="82"/>
  <c r="AS65" i="82"/>
  <c r="AS54" i="82"/>
  <c r="AS58" i="82"/>
  <c r="AS62" i="82"/>
  <c r="P18" i="82"/>
  <c r="AU6" i="82"/>
  <c r="AU10" i="82"/>
  <c r="AU7" i="82"/>
  <c r="AU11" i="82"/>
  <c r="AU8" i="82"/>
  <c r="AU9" i="82"/>
  <c r="AU5" i="82"/>
  <c r="AU87" i="82"/>
  <c r="AA6" i="82"/>
  <c r="AC11" i="82"/>
  <c r="AA14" i="82"/>
  <c r="AS185" i="82"/>
  <c r="AS177" i="82"/>
  <c r="AS116" i="82"/>
  <c r="AS52" i="82"/>
  <c r="AS12" i="82"/>
  <c r="AS157" i="82"/>
  <c r="AS161" i="82"/>
  <c r="AS165" i="82"/>
  <c r="AS158" i="82"/>
  <c r="AS162" i="82"/>
  <c r="AS97" i="82"/>
  <c r="AS101" i="82"/>
  <c r="AS105" i="82"/>
  <c r="AS109" i="82"/>
  <c r="AS98" i="82"/>
  <c r="AS102" i="82"/>
  <c r="AS106" i="82"/>
  <c r="AS110" i="82"/>
  <c r="AS37" i="82"/>
  <c r="AS41" i="82"/>
  <c r="AS45" i="82"/>
  <c r="AS49" i="82"/>
  <c r="AS38" i="82"/>
  <c r="AS42" i="82"/>
  <c r="AS46" i="82"/>
  <c r="AS50" i="82"/>
  <c r="P17" i="82"/>
  <c r="P13" i="82"/>
  <c r="P9" i="82"/>
  <c r="R16" i="82"/>
  <c r="R12" i="82"/>
  <c r="R8" i="82"/>
  <c r="AC10" i="82"/>
  <c r="AC14" i="82"/>
  <c r="AC18" i="82"/>
  <c r="AS200" i="82"/>
  <c r="AS196" i="82"/>
  <c r="AS192" i="82"/>
  <c r="AS188" i="82"/>
  <c r="AS184" i="82"/>
  <c r="AS180" i="82"/>
  <c r="AS176" i="82"/>
  <c r="AS172" i="82"/>
  <c r="AS168" i="82"/>
  <c r="AS163" i="82"/>
  <c r="AS155" i="82"/>
  <c r="AS139" i="82"/>
  <c r="AS131" i="82"/>
  <c r="AS123" i="82"/>
  <c r="AS107" i="82"/>
  <c r="AS99" i="82"/>
  <c r="AS91" i="82"/>
  <c r="AS75" i="82"/>
  <c r="AS67" i="82"/>
  <c r="AS59" i="82"/>
  <c r="AS51" i="82"/>
  <c r="AS43" i="82"/>
  <c r="AS27" i="82"/>
  <c r="AT183" i="82"/>
  <c r="AT175" i="82"/>
  <c r="AT121" i="82"/>
  <c r="AS113" i="82"/>
  <c r="AS117" i="82"/>
  <c r="AS121" i="82"/>
  <c r="AS125" i="82"/>
  <c r="AS114" i="82"/>
  <c r="AS118" i="82"/>
  <c r="AS122" i="82"/>
  <c r="AS13" i="82"/>
  <c r="AS17" i="82"/>
  <c r="AS14" i="82"/>
  <c r="AS18" i="82"/>
  <c r="P10" i="82"/>
  <c r="AU142" i="82"/>
  <c r="AU146" i="82"/>
  <c r="AU150" i="82"/>
  <c r="AU154" i="82"/>
  <c r="AU143" i="82"/>
  <c r="AU147" i="82"/>
  <c r="AU151" i="82"/>
  <c r="AU155" i="82"/>
  <c r="AU144" i="82"/>
  <c r="AU148" i="82"/>
  <c r="AU152" i="82"/>
  <c r="AU153" i="82"/>
  <c r="AU141" i="82"/>
  <c r="AU145" i="82"/>
  <c r="AU31" i="82"/>
  <c r="AU29" i="82"/>
  <c r="AC7" i="82"/>
  <c r="AC15" i="82"/>
  <c r="AC19" i="82"/>
  <c r="AS181" i="82"/>
  <c r="AS173" i="82"/>
  <c r="AS124" i="82"/>
  <c r="AS60" i="82"/>
  <c r="AS20" i="82"/>
  <c r="I20" i="82"/>
  <c r="AM209" i="82" s="1"/>
  <c r="AL141" i="82"/>
  <c r="AS9" i="82"/>
  <c r="AS6" i="82"/>
  <c r="AS10" i="82"/>
  <c r="AS141" i="82"/>
  <c r="AS145" i="82"/>
  <c r="AS149" i="82"/>
  <c r="AS153" i="82"/>
  <c r="AS142" i="82"/>
  <c r="AS146" i="82"/>
  <c r="AS150" i="82"/>
  <c r="AS154" i="82"/>
  <c r="AS81" i="82"/>
  <c r="AS85" i="82"/>
  <c r="AS89" i="82"/>
  <c r="AS93" i="82"/>
  <c r="AS82" i="82"/>
  <c r="AS86" i="82"/>
  <c r="AS90" i="82"/>
  <c r="AS94" i="82"/>
  <c r="AS29" i="82"/>
  <c r="AS33" i="82"/>
  <c r="AS30" i="82"/>
  <c r="AS34" i="82"/>
  <c r="P20" i="82"/>
  <c r="P16" i="82"/>
  <c r="P12" i="82"/>
  <c r="P8" i="82"/>
  <c r="AA16" i="82"/>
  <c r="AS199" i="82"/>
  <c r="AS195" i="82"/>
  <c r="AS191" i="82"/>
  <c r="AS187" i="82"/>
  <c r="AS183" i="82"/>
  <c r="AS179" i="82"/>
  <c r="AS175" i="82"/>
  <c r="AS171" i="82"/>
  <c r="AS167" i="82"/>
  <c r="AS160" i="82"/>
  <c r="AS152" i="82"/>
  <c r="AS144" i="82"/>
  <c r="AS136" i="82"/>
  <c r="AS120" i="82"/>
  <c r="AS112" i="82"/>
  <c r="AS104" i="82"/>
  <c r="AS96" i="82"/>
  <c r="AS88" i="82"/>
  <c r="AS80" i="82"/>
  <c r="AS64" i="82"/>
  <c r="AS56" i="82"/>
  <c r="AS48" i="82"/>
  <c r="AS40" i="82"/>
  <c r="AS32" i="82"/>
  <c r="AS16" i="82"/>
  <c r="AS8" i="82"/>
  <c r="AT180" i="82"/>
  <c r="F18" i="82"/>
  <c r="AL170" i="82" s="1"/>
  <c r="AS129" i="82"/>
  <c r="AS133" i="82"/>
  <c r="AS137" i="82"/>
  <c r="AS126" i="82"/>
  <c r="AS130" i="82"/>
  <c r="AS134" i="82"/>
  <c r="AS138" i="82"/>
  <c r="AS69" i="82"/>
  <c r="AS73" i="82"/>
  <c r="AS77" i="82"/>
  <c r="AS66" i="82"/>
  <c r="AS70" i="82"/>
  <c r="AS74" i="82"/>
  <c r="AS78" i="82"/>
  <c r="AS21" i="82"/>
  <c r="AS25" i="82"/>
  <c r="AS22" i="82"/>
  <c r="AS26" i="82"/>
  <c r="AT173" i="82"/>
  <c r="AT177" i="82"/>
  <c r="AT181" i="82"/>
  <c r="AT185" i="82"/>
  <c r="AT174" i="82"/>
  <c r="AT178" i="82"/>
  <c r="AT182" i="82"/>
  <c r="AT111" i="82"/>
  <c r="AT115" i="82"/>
  <c r="AT119" i="82"/>
  <c r="AT123" i="82"/>
  <c r="AT112" i="82"/>
  <c r="AT116" i="82"/>
  <c r="AT120" i="82"/>
  <c r="AT124" i="82"/>
  <c r="AT117" i="82"/>
  <c r="AT125" i="82"/>
  <c r="AT118" i="82"/>
  <c r="AT51" i="82"/>
  <c r="AT55" i="82"/>
  <c r="AT59" i="82"/>
  <c r="AT63" i="82"/>
  <c r="AT52" i="82"/>
  <c r="AT56" i="82"/>
  <c r="AT60" i="82"/>
  <c r="AT64" i="82"/>
  <c r="AT53" i="82"/>
  <c r="AT61" i="82"/>
  <c r="AT54" i="82"/>
  <c r="AT62" i="82"/>
  <c r="AT15" i="82"/>
  <c r="AT19" i="82"/>
  <c r="AT12" i="82"/>
  <c r="AT16" i="82"/>
  <c r="AT20" i="82"/>
  <c r="AT13" i="82"/>
  <c r="AT14" i="82"/>
  <c r="AA15" i="82"/>
  <c r="AC20" i="82"/>
  <c r="AS198" i="82"/>
  <c r="AS194" i="82"/>
  <c r="AS190" i="82"/>
  <c r="AS182" i="82"/>
  <c r="AS178" i="82"/>
  <c r="AS135" i="82"/>
  <c r="AS127" i="82"/>
  <c r="AS119" i="82"/>
  <c r="AS111" i="82"/>
  <c r="AS79" i="82"/>
  <c r="AS71" i="82"/>
  <c r="AS63" i="82"/>
  <c r="AS55" i="82"/>
  <c r="AS23" i="82"/>
  <c r="AS15" i="82"/>
  <c r="AT179" i="82"/>
  <c r="AT171" i="82"/>
  <c r="AT113" i="82"/>
  <c r="AT65" i="82"/>
  <c r="AT17" i="82"/>
  <c r="AU149" i="82"/>
  <c r="F10" i="82"/>
  <c r="AL50" i="82" s="1"/>
  <c r="AL145" i="82"/>
  <c r="F12" i="82"/>
  <c r="AL83" i="82" s="1"/>
  <c r="I18" i="82"/>
  <c r="AM181" i="82" s="1"/>
  <c r="I14" i="82"/>
  <c r="AM117" i="82" s="1"/>
  <c r="I10" i="82"/>
  <c r="AM53" i="82" s="1"/>
  <c r="AL148" i="82"/>
  <c r="AL142" i="82"/>
  <c r="F17" i="82"/>
  <c r="AL160" i="82" s="1"/>
  <c r="F9" i="82"/>
  <c r="AL36" i="82" s="1"/>
  <c r="I16" i="82"/>
  <c r="AM138" i="82" s="1"/>
  <c r="I8" i="82"/>
  <c r="AM17" i="82" s="1"/>
  <c r="F14" i="82"/>
  <c r="AL120" i="82" s="1"/>
  <c r="AL149" i="82"/>
  <c r="AL137" i="82"/>
  <c r="F20" i="82"/>
  <c r="AL211" i="82" s="1"/>
  <c r="I19" i="82"/>
  <c r="AM193" i="82" s="1"/>
  <c r="I11" i="82"/>
  <c r="AM69" i="82" s="1"/>
  <c r="I6" i="82"/>
  <c r="I17" i="82"/>
  <c r="AM165" i="82" s="1"/>
  <c r="AM111" i="82"/>
  <c r="I13" i="82"/>
  <c r="AM93" i="82" s="1"/>
  <c r="I9" i="82"/>
  <c r="AM45" i="82" s="1"/>
  <c r="AL151" i="82"/>
  <c r="AL147" i="82"/>
  <c r="F8" i="82"/>
  <c r="AL18" i="82" s="1"/>
  <c r="I15" i="82"/>
  <c r="AM133" i="82" s="1"/>
  <c r="I7" i="82"/>
  <c r="AM10" i="82" s="1"/>
  <c r="AM189" i="82"/>
  <c r="AM40" i="82"/>
  <c r="F19" i="82"/>
  <c r="AL190" i="82" s="1"/>
  <c r="AL139" i="82"/>
  <c r="AL143" i="82"/>
  <c r="F15" i="82"/>
  <c r="AL134" i="82" s="1"/>
  <c r="AL140" i="82"/>
  <c r="AL144" i="82"/>
  <c r="F11" i="82"/>
  <c r="AL62" i="82" s="1"/>
  <c r="F7" i="82"/>
  <c r="AL12" i="82" s="1"/>
  <c r="AL208" i="82"/>
  <c r="AL150" i="82"/>
  <c r="AL146" i="82"/>
  <c r="AL138" i="82"/>
  <c r="F6" i="82"/>
  <c r="F13" i="82"/>
  <c r="AL92" i="82" s="1"/>
  <c r="I12" i="82"/>
  <c r="AM77" i="82" s="1"/>
  <c r="AM9" i="82"/>
  <c r="AL48" i="82"/>
  <c r="AL175" i="82"/>
  <c r="AL103" i="82"/>
  <c r="AL166" i="82"/>
  <c r="AL58" i="82"/>
  <c r="AL54" i="82"/>
  <c r="AU32" i="82" l="1"/>
  <c r="AU34" i="82"/>
  <c r="AU165" i="82"/>
  <c r="AU157" i="82"/>
  <c r="AU160" i="82"/>
  <c r="AU159" i="82"/>
  <c r="AU65" i="82"/>
  <c r="AU60" i="82"/>
  <c r="AU59" i="82"/>
  <c r="AU58" i="82"/>
  <c r="AU125" i="82"/>
  <c r="AU116" i="82"/>
  <c r="AU115" i="82"/>
  <c r="AU114" i="82"/>
  <c r="AM18" i="82"/>
  <c r="AU28" i="82"/>
  <c r="AU30" i="82"/>
  <c r="AU170" i="82"/>
  <c r="AU166" i="82"/>
  <c r="AU156" i="82"/>
  <c r="AU162" i="82"/>
  <c r="AU61" i="82"/>
  <c r="AU56" i="82"/>
  <c r="AU55" i="82"/>
  <c r="AU54" i="82"/>
  <c r="AU121" i="82"/>
  <c r="AU112" i="82"/>
  <c r="AU111" i="82"/>
  <c r="AU180" i="82"/>
  <c r="BC7" i="82"/>
  <c r="BC8" i="82"/>
  <c r="AL28" i="82"/>
  <c r="L138" i="81"/>
  <c r="AU33" i="82"/>
  <c r="AU107" i="82"/>
  <c r="AU161" i="82"/>
  <c r="AU168" i="82"/>
  <c r="AU167" i="82"/>
  <c r="AU13" i="82"/>
  <c r="AU57" i="82"/>
  <c r="AU52" i="82"/>
  <c r="AU117" i="82"/>
  <c r="AU124" i="82"/>
  <c r="AU123" i="82"/>
  <c r="AU172" i="82"/>
  <c r="BC9" i="82"/>
  <c r="BC6" i="82"/>
  <c r="AU86" i="82"/>
  <c r="AU193" i="82"/>
  <c r="AM65" i="82"/>
  <c r="AU81" i="82"/>
  <c r="AU188" i="82"/>
  <c r="AM80" i="82"/>
  <c r="AU85" i="82"/>
  <c r="AU88" i="82"/>
  <c r="AU187" i="82"/>
  <c r="L180" i="81"/>
  <c r="J194" i="81"/>
  <c r="J166" i="81"/>
  <c r="L152" i="81"/>
  <c r="J138" i="81"/>
  <c r="J144" i="81" s="1"/>
  <c r="J180" i="81"/>
  <c r="L194" i="81"/>
  <c r="J200" i="81" s="1"/>
  <c r="L166" i="81"/>
  <c r="J152" i="81"/>
  <c r="AL172" i="82"/>
  <c r="AL173" i="82"/>
  <c r="AL171" i="82"/>
  <c r="AL49" i="82"/>
  <c r="AU96" i="82"/>
  <c r="AU184" i="82"/>
  <c r="L31" i="81"/>
  <c r="AL179" i="82"/>
  <c r="AM35" i="82"/>
  <c r="AM51" i="82"/>
  <c r="AU103" i="82"/>
  <c r="AU17" i="82"/>
  <c r="AU176" i="82"/>
  <c r="AL176" i="82"/>
  <c r="AM162" i="82"/>
  <c r="AU110" i="82"/>
  <c r="AU20" i="82"/>
  <c r="AU183" i="82"/>
  <c r="AM211" i="82"/>
  <c r="AL181" i="82"/>
  <c r="AL52" i="82"/>
  <c r="AL90" i="82"/>
  <c r="AM110" i="82"/>
  <c r="AU101" i="82"/>
  <c r="AU106" i="82"/>
  <c r="AU16" i="82"/>
  <c r="AU174" i="82"/>
  <c r="AU179" i="82"/>
  <c r="AM105" i="82"/>
  <c r="AU97" i="82"/>
  <c r="AU102" i="82"/>
  <c r="AU12" i="82"/>
  <c r="AU173" i="82"/>
  <c r="AU175" i="82"/>
  <c r="AU19" i="82"/>
  <c r="AU105" i="82"/>
  <c r="AU15" i="82"/>
  <c r="AU181" i="82"/>
  <c r="J58" i="81"/>
  <c r="AM202" i="82"/>
  <c r="AU98" i="82"/>
  <c r="AL51" i="82"/>
  <c r="AU108" i="82"/>
  <c r="AU18" i="82"/>
  <c r="AU178" i="82"/>
  <c r="AU109" i="82"/>
  <c r="AU182" i="82"/>
  <c r="AL47" i="82"/>
  <c r="AU104" i="82"/>
  <c r="AU185" i="82"/>
  <c r="AM106" i="82"/>
  <c r="AM61" i="82"/>
  <c r="AL180" i="82"/>
  <c r="AU171" i="82"/>
  <c r="AM201" i="82"/>
  <c r="AL167" i="82"/>
  <c r="AM25" i="82"/>
  <c r="AL165" i="82"/>
  <c r="AM150" i="82"/>
  <c r="AL174" i="82"/>
  <c r="AL155" i="82"/>
  <c r="AM94" i="82"/>
  <c r="AL178" i="82"/>
  <c r="AL159" i="82"/>
  <c r="AM41" i="82"/>
  <c r="AL177" i="82"/>
  <c r="AM164" i="82"/>
  <c r="AL40" i="82"/>
  <c r="BC125" i="82"/>
  <c r="AM36" i="82"/>
  <c r="AM39" i="82"/>
  <c r="AL98" i="82"/>
  <c r="AL55" i="82"/>
  <c r="AL56" i="82"/>
  <c r="AL88" i="82"/>
  <c r="AL77" i="82"/>
  <c r="AM34" i="82"/>
  <c r="AM180" i="82"/>
  <c r="AM24" i="82"/>
  <c r="AL57" i="82"/>
  <c r="AM38" i="82"/>
  <c r="AL102" i="82"/>
  <c r="AL59" i="82"/>
  <c r="AL60" i="82"/>
  <c r="AL122" i="82"/>
  <c r="AM96" i="82"/>
  <c r="AM20" i="82"/>
  <c r="BC71" i="82"/>
  <c r="AL106" i="82"/>
  <c r="AL95" i="82"/>
  <c r="AL168" i="82"/>
  <c r="AL130" i="82"/>
  <c r="AM92" i="82"/>
  <c r="AL105" i="82"/>
  <c r="AM171" i="82"/>
  <c r="AM19" i="82"/>
  <c r="BC79" i="82"/>
  <c r="AL162" i="82"/>
  <c r="AL99" i="82"/>
  <c r="AM95" i="82"/>
  <c r="AM167" i="82"/>
  <c r="AM22" i="82"/>
  <c r="AL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L44" i="82"/>
  <c r="AM152" i="82"/>
  <c r="AL201" i="82"/>
  <c r="AL32" i="82"/>
  <c r="AM50" i="82"/>
  <c r="AU93" i="82"/>
  <c r="AU84" i="82"/>
  <c r="AU83" i="82"/>
  <c r="AU82" i="82"/>
  <c r="AU197" i="82"/>
  <c r="AU200" i="82"/>
  <c r="AU199" i="82"/>
  <c r="BC68" i="82"/>
  <c r="BC76" i="82"/>
  <c r="BC134" i="82"/>
  <c r="BC65" i="82"/>
  <c r="BC73" i="82"/>
  <c r="BC127" i="82"/>
  <c r="BC135" i="82"/>
  <c r="BC24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L46" i="82"/>
  <c r="E17" i="88"/>
  <c r="AL200" i="82"/>
  <c r="AM79" i="82"/>
  <c r="AL33" i="82"/>
  <c r="AL205" i="82"/>
  <c r="AM48" i="82"/>
  <c r="AM108" i="82"/>
  <c r="AU89" i="82"/>
  <c r="AU95" i="82"/>
  <c r="AU94" i="82"/>
  <c r="AU190" i="82"/>
  <c r="AU194" i="82"/>
  <c r="AU196" i="82"/>
  <c r="AU195" i="82"/>
  <c r="BC70" i="82"/>
  <c r="BC78" i="82"/>
  <c r="BC128" i="82"/>
  <c r="BC136" i="82"/>
  <c r="BC67" i="82"/>
  <c r="BC75" i="82"/>
  <c r="BC129" i="82"/>
  <c r="BC137" i="82"/>
  <c r="BC26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L163" i="82"/>
  <c r="AM163" i="82"/>
  <c r="AM197" i="82"/>
  <c r="AL158" i="82"/>
  <c r="AL35" i="82"/>
  <c r="AL111" i="82"/>
  <c r="AM89" i="82"/>
  <c r="AL100" i="82"/>
  <c r="AL204" i="82"/>
  <c r="AL31" i="82"/>
  <c r="AM166" i="82"/>
  <c r="AM29" i="82"/>
  <c r="AL53" i="82"/>
  <c r="AL157" i="82"/>
  <c r="AL209" i="82"/>
  <c r="AM168" i="82"/>
  <c r="AM170" i="82"/>
  <c r="AL199" i="82"/>
  <c r="AM23" i="82"/>
  <c r="AL61" i="82"/>
  <c r="AM177" i="82"/>
  <c r="AU92" i="82"/>
  <c r="AU91" i="82"/>
  <c r="AU189" i="82"/>
  <c r="AU186" i="82"/>
  <c r="AU192" i="82"/>
  <c r="BC72" i="82"/>
  <c r="BC130" i="82"/>
  <c r="BC138" i="82"/>
  <c r="BC23" i="82"/>
  <c r="BC69" i="82"/>
  <c r="BC77" i="82"/>
  <c r="BC131" i="82"/>
  <c r="BC139" i="82"/>
  <c r="BC20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L188" i="82"/>
  <c r="AL207" i="82"/>
  <c r="AL93" i="82"/>
  <c r="AL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J5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C170" i="82"/>
  <c r="BC177" i="82"/>
  <c r="BC180" i="82"/>
  <c r="BC183" i="82"/>
  <c r="BC173" i="82"/>
  <c r="BC176" i="82"/>
  <c r="BC179" i="82"/>
  <c r="BC182" i="82"/>
  <c r="BC172" i="82"/>
  <c r="BC175" i="82"/>
  <c r="BC178" i="82"/>
  <c r="BC171" i="82"/>
  <c r="BC174" i="82"/>
  <c r="BC181" i="82"/>
  <c r="BC184" i="82"/>
  <c r="BC96" i="82"/>
  <c r="BC98" i="82"/>
  <c r="BC100" i="82"/>
  <c r="BC102" i="82"/>
  <c r="BC104" i="82"/>
  <c r="BC106" i="82"/>
  <c r="BC108" i="82"/>
  <c r="BC95" i="82"/>
  <c r="BC97" i="82"/>
  <c r="BC99" i="82"/>
  <c r="BC101" i="82"/>
  <c r="BC103" i="82"/>
  <c r="BC105" i="82"/>
  <c r="BC107" i="82"/>
  <c r="BC109" i="82"/>
  <c r="BC110" i="82"/>
  <c r="BC112" i="82"/>
  <c r="BC114" i="82"/>
  <c r="BC116" i="82"/>
  <c r="BC118" i="82"/>
  <c r="BC120" i="82"/>
  <c r="BC122" i="82"/>
  <c r="BC124" i="82"/>
  <c r="BC111" i="82"/>
  <c r="BC113" i="82"/>
  <c r="BC115" i="82"/>
  <c r="BC117" i="82"/>
  <c r="BC119" i="82"/>
  <c r="BC121" i="82"/>
  <c r="BC123" i="82"/>
  <c r="BC37" i="82"/>
  <c r="BC39" i="82"/>
  <c r="BC46" i="82"/>
  <c r="BC48" i="82"/>
  <c r="BC36" i="82"/>
  <c r="BC41" i="82"/>
  <c r="BC43" i="82"/>
  <c r="BC38" i="82"/>
  <c r="BC40" i="82"/>
  <c r="BC45" i="82"/>
  <c r="BC47" i="82"/>
  <c r="BC35" i="82"/>
  <c r="BC42" i="82"/>
  <c r="BC44" i="82"/>
  <c r="BC49" i="82"/>
  <c r="BC13" i="82"/>
  <c r="BC15" i="82"/>
  <c r="BC12" i="82"/>
  <c r="BC17" i="82"/>
  <c r="BC19" i="82"/>
  <c r="BC14" i="82"/>
  <c r="BC16" i="82"/>
  <c r="BC11" i="82"/>
  <c r="BC18" i="82"/>
  <c r="BC195" i="82"/>
  <c r="BC185" i="82"/>
  <c r="BC187" i="82"/>
  <c r="BC193" i="82"/>
  <c r="BC197" i="82"/>
  <c r="BC199" i="82"/>
  <c r="BC191" i="82"/>
  <c r="BC186" i="82"/>
  <c r="BC188" i="82"/>
  <c r="BC190" i="82"/>
  <c r="BC192" i="82"/>
  <c r="BC194" i="82"/>
  <c r="BC196" i="82"/>
  <c r="BC198" i="82"/>
  <c r="BC189" i="82"/>
  <c r="BC156" i="82"/>
  <c r="BC161" i="82"/>
  <c r="BC163" i="82"/>
  <c r="BC158" i="82"/>
  <c r="BC160" i="82"/>
  <c r="BC165" i="82"/>
  <c r="BC167" i="82"/>
  <c r="BC155" i="82"/>
  <c r="BC162" i="82"/>
  <c r="BC164" i="82"/>
  <c r="BC169" i="82"/>
  <c r="BC157" i="82"/>
  <c r="BC159" i="82"/>
  <c r="BC166" i="82"/>
  <c r="BC168" i="82"/>
  <c r="BC53" i="82"/>
  <c r="BC55" i="82"/>
  <c r="BC62" i="82"/>
  <c r="BC64" i="82"/>
  <c r="BC50" i="82"/>
  <c r="BC52" i="82"/>
  <c r="BC57" i="82"/>
  <c r="BC59" i="82"/>
  <c r="BC54" i="82"/>
  <c r="BC56" i="82"/>
  <c r="BC61" i="82"/>
  <c r="BC63" i="82"/>
  <c r="BC51" i="82"/>
  <c r="BC58" i="82"/>
  <c r="BC60" i="82"/>
  <c r="BB128" i="82"/>
  <c r="BB132" i="82"/>
  <c r="BB136" i="82"/>
  <c r="BB125" i="82"/>
  <c r="BB127" i="82"/>
  <c r="BB131" i="82"/>
  <c r="BB135" i="82"/>
  <c r="BB139" i="82"/>
  <c r="BB133" i="82"/>
  <c r="BB126" i="82"/>
  <c r="BB130" i="82"/>
  <c r="BB134" i="82"/>
  <c r="BB138" i="82"/>
  <c r="BB129" i="82"/>
  <c r="BB137" i="82"/>
  <c r="BB96" i="82"/>
  <c r="BB100" i="82"/>
  <c r="BB104" i="82"/>
  <c r="BB108" i="82"/>
  <c r="BB101" i="82"/>
  <c r="BB95" i="82"/>
  <c r="BB99" i="82"/>
  <c r="BB103" i="82"/>
  <c r="BB107" i="82"/>
  <c r="BB105" i="82"/>
  <c r="BB98" i="82"/>
  <c r="BB102" i="82"/>
  <c r="BB106" i="82"/>
  <c r="BB97" i="82"/>
  <c r="BB109" i="82"/>
  <c r="BB112" i="82"/>
  <c r="BB116" i="82"/>
  <c r="BB120" i="82"/>
  <c r="BB124" i="82"/>
  <c r="BB113" i="82"/>
  <c r="BB111" i="82"/>
  <c r="BB115" i="82"/>
  <c r="BB119" i="82"/>
  <c r="BB123" i="82"/>
  <c r="BB117" i="82"/>
  <c r="BB110" i="82"/>
  <c r="BB114" i="82"/>
  <c r="BB118" i="82"/>
  <c r="BB122" i="82"/>
  <c r="BB121" i="82"/>
  <c r="BB9" i="82"/>
  <c r="BB8" i="82"/>
  <c r="BB5" i="82"/>
  <c r="BB6" i="82"/>
  <c r="BB7" i="82"/>
  <c r="BB10" i="82"/>
  <c r="AL63" i="82"/>
  <c r="AL74" i="82"/>
  <c r="AT23" i="82"/>
  <c r="AT27" i="82"/>
  <c r="AT24" i="82"/>
  <c r="AT21" i="82"/>
  <c r="AT22" i="82"/>
  <c r="AT25" i="82"/>
  <c r="AT26" i="82"/>
  <c r="AT83" i="82"/>
  <c r="AT87" i="82"/>
  <c r="AT91" i="82"/>
  <c r="AT95" i="82"/>
  <c r="AT84" i="82"/>
  <c r="AT88" i="82"/>
  <c r="AT92" i="82"/>
  <c r="AT85" i="82"/>
  <c r="AT93" i="82"/>
  <c r="AT86" i="82"/>
  <c r="AT94" i="82"/>
  <c r="AT81" i="82"/>
  <c r="AT82" i="82"/>
  <c r="AT89" i="82"/>
  <c r="AT90" i="82"/>
  <c r="AT157" i="82"/>
  <c r="AT161" i="82"/>
  <c r="AT165" i="82"/>
  <c r="AT169" i="82"/>
  <c r="AT158" i="82"/>
  <c r="AT162" i="82"/>
  <c r="AT166" i="82"/>
  <c r="AT170" i="82"/>
  <c r="AT163" i="82"/>
  <c r="AT156" i="82"/>
  <c r="AT164" i="82"/>
  <c r="AT168" i="82"/>
  <c r="AT159" i="82"/>
  <c r="AT167" i="82"/>
  <c r="AT160" i="82"/>
  <c r="AL108" i="82"/>
  <c r="AM57" i="82"/>
  <c r="AM210" i="82"/>
  <c r="AL64" i="82"/>
  <c r="AL24" i="82"/>
  <c r="AL86" i="82"/>
  <c r="AM205" i="82"/>
  <c r="AM120" i="82"/>
  <c r="AM107" i="82"/>
  <c r="AM207" i="82"/>
  <c r="AL76" i="82"/>
  <c r="AL73" i="82"/>
  <c r="AT143" i="82"/>
  <c r="AT147" i="82"/>
  <c r="AT144" i="82"/>
  <c r="AT148" i="82"/>
  <c r="AT141" i="82"/>
  <c r="AT149" i="82"/>
  <c r="AT153" i="82"/>
  <c r="AT142" i="82"/>
  <c r="AT150" i="82"/>
  <c r="AT154" i="82"/>
  <c r="AT145" i="82"/>
  <c r="AT155" i="82"/>
  <c r="AT146" i="82"/>
  <c r="AT152" i="82"/>
  <c r="AT151" i="82"/>
  <c r="AL38" i="82"/>
  <c r="AL114" i="82"/>
  <c r="AL116" i="82"/>
  <c r="AL39" i="82"/>
  <c r="AL119" i="82"/>
  <c r="AL112" i="82"/>
  <c r="AM73" i="82"/>
  <c r="AM153" i="82"/>
  <c r="AL22" i="82"/>
  <c r="AL72" i="82"/>
  <c r="AL20" i="82"/>
  <c r="AL23" i="82"/>
  <c r="AL82" i="82"/>
  <c r="AL85" i="82"/>
  <c r="AM32" i="82"/>
  <c r="AM46" i="82"/>
  <c r="AM104" i="82"/>
  <c r="AM103" i="82"/>
  <c r="AM102" i="82"/>
  <c r="AM160" i="82"/>
  <c r="AM159" i="82"/>
  <c r="AM158" i="82"/>
  <c r="AM78" i="82"/>
  <c r="AM173" i="82"/>
  <c r="AL45" i="82"/>
  <c r="AM56" i="82"/>
  <c r="AM59" i="82"/>
  <c r="AM58" i="82"/>
  <c r="AM116" i="82"/>
  <c r="AM119" i="82"/>
  <c r="AM118" i="82"/>
  <c r="AM176" i="82"/>
  <c r="AM179" i="82"/>
  <c r="AM178" i="82"/>
  <c r="AM15" i="82"/>
  <c r="AL124" i="82"/>
  <c r="AM204" i="82"/>
  <c r="AM203" i="82"/>
  <c r="AM206" i="82"/>
  <c r="AL84" i="82"/>
  <c r="AL113" i="82"/>
  <c r="AM67" i="82"/>
  <c r="AM101" i="82"/>
  <c r="AM198" i="82"/>
  <c r="AT127" i="82"/>
  <c r="AT131" i="82"/>
  <c r="AT135" i="82"/>
  <c r="AT139" i="82"/>
  <c r="AT128" i="82"/>
  <c r="AT132" i="82"/>
  <c r="AT136" i="82"/>
  <c r="AT140" i="82"/>
  <c r="AT133" i="82"/>
  <c r="AT126" i="82"/>
  <c r="AT134" i="82"/>
  <c r="AT129" i="82"/>
  <c r="AT130" i="82"/>
  <c r="AT137" i="82"/>
  <c r="AT138" i="82"/>
  <c r="AU126" i="82"/>
  <c r="AU130" i="82"/>
  <c r="AU134" i="82"/>
  <c r="AU138" i="82"/>
  <c r="AU127" i="82"/>
  <c r="AU131" i="82"/>
  <c r="AU135" i="82"/>
  <c r="AU139" i="82"/>
  <c r="AU128" i="82"/>
  <c r="AU132" i="82"/>
  <c r="AU136" i="82"/>
  <c r="AU140" i="82"/>
  <c r="AU137" i="82"/>
  <c r="AU129" i="82"/>
  <c r="AU133" i="82"/>
  <c r="AU22" i="82"/>
  <c r="AU26" i="82"/>
  <c r="AU23" i="82"/>
  <c r="AU27" i="82"/>
  <c r="AU24" i="82"/>
  <c r="AU25" i="82"/>
  <c r="AU21" i="82"/>
  <c r="AL115" i="82"/>
  <c r="AM121" i="82"/>
  <c r="AL27" i="82"/>
  <c r="AL89" i="82"/>
  <c r="AM109" i="82"/>
  <c r="AM60" i="82"/>
  <c r="AM47" i="82"/>
  <c r="AL87" i="82"/>
  <c r="AM208" i="82"/>
  <c r="AM161" i="82"/>
  <c r="AM68" i="82"/>
  <c r="AL79" i="82"/>
  <c r="AM157" i="82"/>
  <c r="AT67" i="82"/>
  <c r="AT71" i="82"/>
  <c r="AT75" i="82"/>
  <c r="AT79" i="82"/>
  <c r="AT68" i="82"/>
  <c r="AT72" i="82"/>
  <c r="AT76" i="82"/>
  <c r="AT80" i="82"/>
  <c r="AT69" i="82"/>
  <c r="AT77" i="82"/>
  <c r="AT70" i="82"/>
  <c r="AT78" i="82"/>
  <c r="AT66" i="82"/>
  <c r="AT74" i="82"/>
  <c r="AT73" i="82"/>
  <c r="AU66" i="82"/>
  <c r="AU70" i="82"/>
  <c r="AU74" i="82"/>
  <c r="AU78" i="82"/>
  <c r="AU67" i="82"/>
  <c r="AU71" i="82"/>
  <c r="AU75" i="82"/>
  <c r="AU79" i="82"/>
  <c r="AU68" i="82"/>
  <c r="AU72" i="82"/>
  <c r="AU76" i="82"/>
  <c r="AU80" i="82"/>
  <c r="AU73" i="82"/>
  <c r="AU77" i="82"/>
  <c r="AU69" i="82"/>
  <c r="AL42" i="82"/>
  <c r="AL118" i="82"/>
  <c r="AL43" i="82"/>
  <c r="AL107" i="82"/>
  <c r="AM169" i="82"/>
  <c r="AL30" i="82"/>
  <c r="AL80" i="82"/>
  <c r="AL19" i="82"/>
  <c r="AL78" i="82"/>
  <c r="AL81" i="82"/>
  <c r="AM44" i="82"/>
  <c r="AM43" i="82"/>
  <c r="AM42" i="82"/>
  <c r="AM100" i="82"/>
  <c r="AM99" i="82"/>
  <c r="AM98" i="82"/>
  <c r="AM156" i="82"/>
  <c r="AM155" i="82"/>
  <c r="AM154" i="82"/>
  <c r="AL91" i="82"/>
  <c r="AL37" i="82"/>
  <c r="AM52" i="82"/>
  <c r="AM55" i="82"/>
  <c r="AM54" i="82"/>
  <c r="AM112" i="82"/>
  <c r="AM115" i="82"/>
  <c r="AM114" i="82"/>
  <c r="AM172" i="82"/>
  <c r="AM175" i="82"/>
  <c r="AM174" i="82"/>
  <c r="AM37" i="82"/>
  <c r="AL123" i="82"/>
  <c r="AM151" i="82"/>
  <c r="AM200" i="82"/>
  <c r="AM199" i="82"/>
  <c r="AL17" i="82"/>
  <c r="AL210" i="82"/>
  <c r="AL10" i="82"/>
  <c r="AM66" i="82"/>
  <c r="AT189" i="82"/>
  <c r="AT193" i="82"/>
  <c r="AT197" i="82"/>
  <c r="AT186" i="82"/>
  <c r="AT190" i="82"/>
  <c r="AT194" i="82"/>
  <c r="AT198" i="82"/>
  <c r="AT187" i="82"/>
  <c r="AT195" i="82"/>
  <c r="AT188" i="82"/>
  <c r="AT196" i="82"/>
  <c r="AT200" i="82"/>
  <c r="AT191" i="82"/>
  <c r="AT199" i="82"/>
  <c r="AT192" i="82"/>
  <c r="AT39" i="82"/>
  <c r="AT43" i="82"/>
  <c r="AT47" i="82"/>
  <c r="AT36" i="82"/>
  <c r="AT40" i="82"/>
  <c r="AT44" i="82"/>
  <c r="AT48" i="82"/>
  <c r="AT37" i="82"/>
  <c r="AT45" i="82"/>
  <c r="AT38" i="82"/>
  <c r="AT46" i="82"/>
  <c r="AT49" i="82"/>
  <c r="AT50" i="82"/>
  <c r="AT42" i="82"/>
  <c r="AT41" i="82"/>
  <c r="AT31" i="82"/>
  <c r="AT35" i="82"/>
  <c r="AT28" i="82"/>
  <c r="AT32" i="82"/>
  <c r="AT29" i="82"/>
  <c r="AT30" i="82"/>
  <c r="AT33" i="82"/>
  <c r="AT34" i="82"/>
  <c r="AM132" i="82"/>
  <c r="AM196" i="82"/>
  <c r="AM186" i="82"/>
  <c r="AM185" i="82"/>
  <c r="AL192" i="82"/>
  <c r="AM91" i="82"/>
  <c r="AM90" i="82"/>
  <c r="AM13" i="82"/>
  <c r="AM125" i="82"/>
  <c r="AL67" i="82"/>
  <c r="AL125" i="82"/>
  <c r="AL193" i="82"/>
  <c r="AL104" i="82"/>
  <c r="AM16" i="82"/>
  <c r="AM11" i="82"/>
  <c r="AM149" i="82"/>
  <c r="AL71" i="82"/>
  <c r="AL183" i="82"/>
  <c r="AL136" i="82"/>
  <c r="AL135" i="82"/>
  <c r="AL110" i="82"/>
  <c r="AL121" i="82"/>
  <c r="AM31" i="82"/>
  <c r="AM30" i="82"/>
  <c r="AM148" i="82"/>
  <c r="AM147" i="82"/>
  <c r="AM146" i="82"/>
  <c r="AM81" i="82"/>
  <c r="AM190" i="82"/>
  <c r="AL34" i="82"/>
  <c r="AL41" i="82"/>
  <c r="AL26" i="82"/>
  <c r="AL182" i="82"/>
  <c r="AL198" i="82"/>
  <c r="AL15" i="82"/>
  <c r="AM64" i="82"/>
  <c r="AM63" i="82"/>
  <c r="AM62" i="82"/>
  <c r="AM128" i="82"/>
  <c r="AM127" i="82"/>
  <c r="AM126" i="82"/>
  <c r="AM192" i="82"/>
  <c r="AM191" i="82"/>
  <c r="AM182" i="82"/>
  <c r="AL129" i="82"/>
  <c r="AL195" i="82"/>
  <c r="AL70" i="82"/>
  <c r="AL69" i="82"/>
  <c r="AM145" i="82"/>
  <c r="AL126" i="82"/>
  <c r="AL194" i="82"/>
  <c r="AM131" i="82"/>
  <c r="AL187" i="82"/>
  <c r="AM137" i="82"/>
  <c r="AM194" i="82"/>
  <c r="AL94" i="82"/>
  <c r="AL97" i="82"/>
  <c r="AL196" i="82"/>
  <c r="AM88" i="82"/>
  <c r="AM87" i="82"/>
  <c r="AM86" i="82"/>
  <c r="AM141" i="82"/>
  <c r="AL16" i="82"/>
  <c r="AL75" i="82"/>
  <c r="AL133" i="82"/>
  <c r="AL96" i="82"/>
  <c r="AM12" i="82"/>
  <c r="AM14" i="82"/>
  <c r="AL21" i="82"/>
  <c r="AL191" i="82"/>
  <c r="AL132" i="82"/>
  <c r="AL131" i="82"/>
  <c r="AM28" i="82"/>
  <c r="AM27" i="82"/>
  <c r="AM26" i="82"/>
  <c r="AM144" i="82"/>
  <c r="AM143" i="82"/>
  <c r="AM142" i="82"/>
  <c r="AM97" i="82"/>
  <c r="AL154" i="82"/>
  <c r="AL156" i="82"/>
  <c r="AL164" i="82"/>
  <c r="AL161" i="82"/>
  <c r="AL153" i="82"/>
  <c r="AL109" i="82"/>
  <c r="AL152" i="82"/>
  <c r="AL186" i="82"/>
  <c r="AL202" i="82"/>
  <c r="AL11" i="82"/>
  <c r="AM76" i="82"/>
  <c r="AM75" i="82"/>
  <c r="AM74" i="82"/>
  <c r="AM124" i="82"/>
  <c r="AM123" i="82"/>
  <c r="AM122" i="82"/>
  <c r="AM188" i="82"/>
  <c r="AM187" i="82"/>
  <c r="AM21" i="82"/>
  <c r="AL203" i="82"/>
  <c r="AL66" i="82"/>
  <c r="AL65" i="82"/>
  <c r="AM49" i="82"/>
  <c r="AL25" i="82"/>
  <c r="AL197" i="82"/>
  <c r="AL189" i="82"/>
  <c r="AM130" i="82"/>
  <c r="AM195" i="82"/>
  <c r="AL6" i="82"/>
  <c r="AL7" i="82"/>
  <c r="AL5" i="82"/>
  <c r="AL8" i="82"/>
  <c r="AL184" i="82"/>
  <c r="AM84" i="82"/>
  <c r="AM83" i="82"/>
  <c r="AM82" i="82"/>
  <c r="AL185" i="82"/>
  <c r="AL101" i="82"/>
  <c r="AM6" i="82"/>
  <c r="AM7" i="82"/>
  <c r="AM8" i="82"/>
  <c r="AM5" i="82"/>
  <c r="AL29" i="82"/>
  <c r="AL128" i="82"/>
  <c r="AL127" i="82"/>
  <c r="AM140" i="82"/>
  <c r="AM139" i="82"/>
  <c r="AM33" i="82"/>
  <c r="AM129" i="82"/>
  <c r="AL9" i="82"/>
  <c r="AL68" i="82"/>
  <c r="AL206" i="82"/>
  <c r="AL117" i="82"/>
  <c r="AL14" i="82"/>
  <c r="AM72" i="82"/>
  <c r="AM71" i="82"/>
  <c r="AM70" i="82"/>
  <c r="AM136" i="82"/>
  <c r="AM135" i="82"/>
  <c r="AM134" i="82"/>
  <c r="AM184" i="82"/>
  <c r="AM183" i="82"/>
  <c r="AM85" i="82"/>
  <c r="AM113" i="82"/>
  <c r="J186" i="81" l="1"/>
  <c r="P183" i="81" s="1"/>
  <c r="J158" i="81"/>
  <c r="P156" i="81" s="1"/>
  <c r="J172" i="81"/>
  <c r="P167" i="81" s="1"/>
  <c r="K199" i="81"/>
  <c r="P195" i="81"/>
  <c r="P199" i="81"/>
  <c r="P203" i="81"/>
  <c r="P198" i="81"/>
  <c r="P202" i="81"/>
  <c r="P196" i="81"/>
  <c r="P200" i="81"/>
  <c r="P194" i="81"/>
  <c r="P197" i="81"/>
  <c r="P201" i="81"/>
  <c r="K143" i="81"/>
  <c r="P146" i="81"/>
  <c r="P140" i="81"/>
  <c r="P141" i="81"/>
  <c r="P139" i="81"/>
  <c r="P144" i="81"/>
  <c r="P145" i="81"/>
  <c r="P143" i="81"/>
  <c r="P138" i="81"/>
  <c r="P142" i="81"/>
  <c r="P147" i="81"/>
  <c r="E6" i="88"/>
  <c r="G14" i="88"/>
  <c r="E7" i="88"/>
  <c r="G13" i="88"/>
  <c r="E16" i="88"/>
  <c r="E18" i="88"/>
  <c r="E10" i="88"/>
  <c r="E11" i="88"/>
  <c r="G5" i="88"/>
  <c r="G15" i="88"/>
  <c r="E14" i="88"/>
  <c r="E15" i="88"/>
  <c r="E8" i="88"/>
  <c r="N14" i="85"/>
  <c r="O14" i="85"/>
  <c r="P14" i="85"/>
  <c r="N15" i="85"/>
  <c r="O15" i="85"/>
  <c r="R15" i="85" s="1"/>
  <c r="B17" i="92" s="1"/>
  <c r="P15" i="85"/>
  <c r="N16" i="85"/>
  <c r="O16" i="85"/>
  <c r="P16" i="85"/>
  <c r="N17" i="85"/>
  <c r="O17" i="85"/>
  <c r="P17" i="85"/>
  <c r="N18" i="85"/>
  <c r="O18" i="85"/>
  <c r="P18" i="85"/>
  <c r="N13" i="85"/>
  <c r="O13" i="85"/>
  <c r="P13" i="85"/>
  <c r="N12" i="85"/>
  <c r="O12" i="85"/>
  <c r="P12" i="85"/>
  <c r="N11" i="85"/>
  <c r="O11" i="85"/>
  <c r="P11" i="85"/>
  <c r="N10" i="85"/>
  <c r="O10" i="85"/>
  <c r="P10" i="85"/>
  <c r="P9" i="85"/>
  <c r="O9" i="85"/>
  <c r="N9" i="85"/>
  <c r="N5" i="85"/>
  <c r="O5" i="85"/>
  <c r="P5" i="85"/>
  <c r="N6" i="85"/>
  <c r="O6" i="85"/>
  <c r="P6" i="85"/>
  <c r="N7" i="85"/>
  <c r="O7" i="85"/>
  <c r="P7" i="85"/>
  <c r="N8" i="85"/>
  <c r="O8" i="85"/>
  <c r="P8" i="85"/>
  <c r="O4" i="85"/>
  <c r="R4" i="85" s="1"/>
  <c r="P4" i="85"/>
  <c r="N4" i="85"/>
  <c r="P188" i="81" l="1"/>
  <c r="P180" i="81"/>
  <c r="P185" i="81"/>
  <c r="P159" i="81"/>
  <c r="P161" i="81"/>
  <c r="K157" i="81"/>
  <c r="P152" i="81"/>
  <c r="P155" i="81"/>
  <c r="P157" i="81"/>
  <c r="P154" i="81"/>
  <c r="P160" i="81"/>
  <c r="P158" i="81"/>
  <c r="P153" i="81"/>
  <c r="P166" i="81"/>
  <c r="P170" i="81"/>
  <c r="P182" i="81"/>
  <c r="P187" i="81"/>
  <c r="K185" i="81"/>
  <c r="P186" i="81"/>
  <c r="P181" i="81"/>
  <c r="P184" i="81"/>
  <c r="P189" i="81"/>
  <c r="P173" i="81"/>
  <c r="P172" i="81"/>
  <c r="P175" i="81"/>
  <c r="P169" i="81"/>
  <c r="P168" i="81"/>
  <c r="P171" i="81"/>
  <c r="K171" i="81"/>
  <c r="P174" i="81"/>
  <c r="B4" i="88"/>
  <c r="O4" i="88" s="1"/>
  <c r="Q4" i="88" s="1"/>
  <c r="R5" i="85"/>
  <c r="P13" i="92"/>
  <c r="Q13" i="92"/>
  <c r="O13" i="92"/>
  <c r="R13" i="92"/>
  <c r="D8" i="89"/>
  <c r="D9" i="89"/>
  <c r="B5" i="88"/>
  <c r="O5" i="88" s="1"/>
  <c r="Q5" i="88" s="1"/>
  <c r="D19" i="89"/>
  <c r="B15" i="88"/>
  <c r="M15" i="88" s="1"/>
  <c r="R12" i="85"/>
  <c r="R16" i="85"/>
  <c r="R8" i="85"/>
  <c r="R11" i="85"/>
  <c r="B9" i="92" s="1"/>
  <c r="R6" i="85"/>
  <c r="B5" i="92" s="1"/>
  <c r="R17" i="85"/>
  <c r="B19" i="92" s="1"/>
  <c r="R7" i="85"/>
  <c r="R10" i="85"/>
  <c r="B8" i="92" s="1"/>
  <c r="R18" i="85"/>
  <c r="B20" i="92" s="1"/>
  <c r="R14" i="85"/>
  <c r="J114" i="81"/>
  <c r="K114" i="81" s="1"/>
  <c r="J115" i="81"/>
  <c r="K115" i="81" s="1"/>
  <c r="J102" i="81"/>
  <c r="K102" i="81" s="1"/>
  <c r="J61" i="81"/>
  <c r="K61" i="81" s="1"/>
  <c r="J62" i="81"/>
  <c r="K62" i="81" s="1"/>
  <c r="R9" i="85"/>
  <c r="B7" i="92" s="1"/>
  <c r="R13" i="85"/>
  <c r="B13" i="92" s="1"/>
  <c r="K24" i="88" l="1"/>
  <c r="P5" i="92"/>
  <c r="O5" i="92"/>
  <c r="R5" i="92"/>
  <c r="Q5" i="92"/>
  <c r="P16" i="92"/>
  <c r="Q16" i="92"/>
  <c r="O16" i="92"/>
  <c r="R16" i="92"/>
  <c r="B14" i="92"/>
  <c r="C7" i="91"/>
  <c r="O15" i="92"/>
  <c r="P15" i="92"/>
  <c r="Q15" i="92"/>
  <c r="R15" i="92"/>
  <c r="P11" i="92"/>
  <c r="Q11" i="92"/>
  <c r="O11" i="92"/>
  <c r="R11" i="92"/>
  <c r="P9" i="92"/>
  <c r="O9" i="92"/>
  <c r="Q9" i="92"/>
  <c r="R9" i="92"/>
  <c r="B6" i="92"/>
  <c r="C5" i="91"/>
  <c r="O8" i="92"/>
  <c r="Q8" i="92"/>
  <c r="P8" i="92"/>
  <c r="R8" i="92"/>
  <c r="J101" i="81"/>
  <c r="K101" i="81" s="1"/>
  <c r="J104" i="81" s="1"/>
  <c r="B18" i="92"/>
  <c r="C8" i="91"/>
  <c r="B10" i="92"/>
  <c r="C6" i="91"/>
  <c r="O7" i="92"/>
  <c r="Q7" i="92"/>
  <c r="R7" i="92"/>
  <c r="P7" i="92"/>
  <c r="K25" i="88"/>
  <c r="J64" i="81"/>
  <c r="K63" i="81" s="1"/>
  <c r="J117" i="81"/>
  <c r="P113" i="81" s="1"/>
  <c r="D11" i="89"/>
  <c r="B7" i="88"/>
  <c r="M7" i="88" s="1"/>
  <c r="D20" i="89"/>
  <c r="B16" i="88"/>
  <c r="M16" i="88" s="1"/>
  <c r="D16" i="89"/>
  <c r="B12" i="88"/>
  <c r="M12" i="88" s="1"/>
  <c r="D18" i="89"/>
  <c r="B14" i="88"/>
  <c r="M14" i="88" s="1"/>
  <c r="D13" i="89"/>
  <c r="B9" i="88"/>
  <c r="M9" i="88" s="1"/>
  <c r="D22" i="89"/>
  <c r="B18" i="88"/>
  <c r="M18" i="88" s="1"/>
  <c r="D10" i="89"/>
  <c r="B6" i="88"/>
  <c r="O6" i="88" s="1"/>
  <c r="Q6" i="88" s="1"/>
  <c r="D15" i="89"/>
  <c r="B11" i="88"/>
  <c r="M11" i="88" s="1"/>
  <c r="N15" i="88"/>
  <c r="D17" i="89"/>
  <c r="B13" i="88"/>
  <c r="M13" i="88" s="1"/>
  <c r="D21" i="89"/>
  <c r="B17" i="88"/>
  <c r="M17" i="88" s="1"/>
  <c r="D14" i="89"/>
  <c r="B10" i="88"/>
  <c r="M10" i="88" s="1"/>
  <c r="D12" i="89"/>
  <c r="B8" i="88"/>
  <c r="M8" i="88" s="1"/>
  <c r="J74" i="81"/>
  <c r="J75" i="81"/>
  <c r="K75" i="81" s="1"/>
  <c r="J89" i="81"/>
  <c r="K89" i="81" s="1"/>
  <c r="J88" i="81"/>
  <c r="K88" i="81" s="1"/>
  <c r="J128" i="81"/>
  <c r="K128" i="81" s="1"/>
  <c r="J127" i="81"/>
  <c r="K127" i="81" s="1"/>
  <c r="P58" i="81" l="1"/>
  <c r="P107" i="81"/>
  <c r="P102" i="81"/>
  <c r="Q10" i="92"/>
  <c r="R10" i="92"/>
  <c r="P10" i="92"/>
  <c r="O10" i="92"/>
  <c r="P6" i="92"/>
  <c r="P1" i="92" s="1"/>
  <c r="Q6" i="92"/>
  <c r="R6" i="92"/>
  <c r="O6" i="92"/>
  <c r="O14" i="92"/>
  <c r="R14" i="92"/>
  <c r="Q14" i="92"/>
  <c r="P14" i="92"/>
  <c r="P12" i="92"/>
  <c r="Q12" i="92"/>
  <c r="O12" i="92"/>
  <c r="R12" i="92"/>
  <c r="P111" i="81"/>
  <c r="P19" i="92"/>
  <c r="P20" i="92" s="1"/>
  <c r="P119" i="81"/>
  <c r="P118" i="81"/>
  <c r="P117" i="81"/>
  <c r="K116" i="81"/>
  <c r="P115" i="81"/>
  <c r="P120" i="81"/>
  <c r="P116" i="81"/>
  <c r="P112" i="81"/>
  <c r="P114" i="81"/>
  <c r="P63" i="81"/>
  <c r="P64" i="81"/>
  <c r="P105" i="81"/>
  <c r="P106" i="81"/>
  <c r="P100" i="81"/>
  <c r="P99" i="81"/>
  <c r="P103" i="81"/>
  <c r="K103" i="81"/>
  <c r="P101" i="81"/>
  <c r="P104" i="81"/>
  <c r="P98" i="81"/>
  <c r="O15" i="88"/>
  <c r="Q15" i="88" s="1"/>
  <c r="P61" i="81"/>
  <c r="P66" i="81"/>
  <c r="P59" i="81"/>
  <c r="P65" i="81"/>
  <c r="P62" i="81"/>
  <c r="P57" i="81"/>
  <c r="P60" i="81"/>
  <c r="N8" i="88"/>
  <c r="N17" i="88"/>
  <c r="K26" i="88"/>
  <c r="N9" i="88"/>
  <c r="N12" i="88"/>
  <c r="N7" i="88"/>
  <c r="N10" i="88"/>
  <c r="N13" i="88"/>
  <c r="N11" i="88"/>
  <c r="N18" i="88"/>
  <c r="N14" i="88"/>
  <c r="N16" i="88"/>
  <c r="J130" i="81"/>
  <c r="J91" i="81"/>
  <c r="Q19" i="92" l="1"/>
  <c r="Q20" i="92" s="1"/>
  <c r="S74" i="92" s="1"/>
  <c r="AE74" i="92" s="1"/>
  <c r="O1" i="92"/>
  <c r="S57" i="92"/>
  <c r="AE57" i="92" s="1"/>
  <c r="Q61" i="92"/>
  <c r="AC61" i="92" s="1"/>
  <c r="Q48" i="92"/>
  <c r="AC48" i="92" s="1"/>
  <c r="Q65" i="92"/>
  <c r="AC65" i="92" s="1"/>
  <c r="Q52" i="92"/>
  <c r="AC52" i="92" s="1"/>
  <c r="Q64" i="92"/>
  <c r="AC64" i="92" s="1"/>
  <c r="Q49" i="92"/>
  <c r="AC49" i="92" s="1"/>
  <c r="Q50" i="92"/>
  <c r="AC50" i="92" s="1"/>
  <c r="Q56" i="92"/>
  <c r="AC56" i="92" s="1"/>
  <c r="Q54" i="92"/>
  <c r="AC54" i="92" s="1"/>
  <c r="Q60" i="92"/>
  <c r="AC60" i="92" s="1"/>
  <c r="Q58" i="92"/>
  <c r="AC58" i="92" s="1"/>
  <c r="Q62" i="92"/>
  <c r="AC62" i="92" s="1"/>
  <c r="Q47" i="92"/>
  <c r="AC47" i="92" s="1"/>
  <c r="Q59" i="92"/>
  <c r="AC59" i="92" s="1"/>
  <c r="Q51" i="92"/>
  <c r="AC51" i="92" s="1"/>
  <c r="Q63" i="92"/>
  <c r="AC63" i="92" s="1"/>
  <c r="Q55" i="92"/>
  <c r="AC55" i="92" s="1"/>
  <c r="Q57" i="92"/>
  <c r="AC57" i="92" s="1"/>
  <c r="Q53" i="92"/>
  <c r="AC53" i="92" s="1"/>
  <c r="Q46" i="92"/>
  <c r="AC46" i="92" s="1"/>
  <c r="O19" i="92"/>
  <c r="O20" i="92" s="1"/>
  <c r="Q1" i="92"/>
  <c r="O16" i="88"/>
  <c r="Q16" i="88" s="1"/>
  <c r="O18" i="88"/>
  <c r="Q18" i="88" s="1"/>
  <c r="O7" i="88"/>
  <c r="C24" i="88" s="1"/>
  <c r="N24" i="88" s="1"/>
  <c r="C5" i="93" s="1"/>
  <c r="O13" i="88"/>
  <c r="Q13" i="88" s="1"/>
  <c r="O9" i="88"/>
  <c r="Q9" i="88" s="1"/>
  <c r="O17" i="88"/>
  <c r="Q17" i="88" s="1"/>
  <c r="O8" i="88"/>
  <c r="Q8" i="88" s="1"/>
  <c r="O14" i="88"/>
  <c r="O11" i="88"/>
  <c r="Q11" i="88" s="1"/>
  <c r="O10" i="88"/>
  <c r="Q10" i="88" s="1"/>
  <c r="O12" i="88"/>
  <c r="Q12" i="88" s="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S73" i="92" l="1"/>
  <c r="AE73" i="92" s="1"/>
  <c r="L1" i="92"/>
  <c r="S70" i="92"/>
  <c r="AE70" i="92" s="1"/>
  <c r="C28" i="88"/>
  <c r="O28" i="88" s="1"/>
  <c r="S67" i="92"/>
  <c r="AE67" i="92" s="1"/>
  <c r="S66" i="92"/>
  <c r="AE66" i="92" s="1"/>
  <c r="S56" i="92"/>
  <c r="AE56" i="92" s="1"/>
  <c r="S64" i="92"/>
  <c r="AE64" i="92" s="1"/>
  <c r="S69" i="92"/>
  <c r="AE69" i="92" s="1"/>
  <c r="S68" i="92"/>
  <c r="AE68" i="92" s="1"/>
  <c r="S62" i="92"/>
  <c r="AE62" i="92" s="1"/>
  <c r="S72" i="92"/>
  <c r="AE72" i="92" s="1"/>
  <c r="S60" i="92"/>
  <c r="AE60" i="92" s="1"/>
  <c r="S63" i="92"/>
  <c r="AE63" i="92" s="1"/>
  <c r="S76" i="92"/>
  <c r="AE76" i="92" s="1"/>
  <c r="S65" i="92"/>
  <c r="AE65" i="92" s="1"/>
  <c r="S58" i="92"/>
  <c r="AE58" i="92" s="1"/>
  <c r="S61" i="92"/>
  <c r="AE61" i="92" s="1"/>
  <c r="S71" i="92"/>
  <c r="AE71" i="92" s="1"/>
  <c r="S59" i="92"/>
  <c r="AE59" i="92" s="1"/>
  <c r="S75" i="92"/>
  <c r="AE75" i="92" s="1"/>
  <c r="O32" i="92"/>
  <c r="AA32" i="92" s="1"/>
  <c r="O33" i="92"/>
  <c r="AA33" i="92" s="1"/>
  <c r="O51" i="92"/>
  <c r="AA51" i="92" s="1"/>
  <c r="O28" i="92"/>
  <c r="AA28" i="92" s="1"/>
  <c r="O50" i="92"/>
  <c r="AA50" i="92" s="1"/>
  <c r="O31" i="92"/>
  <c r="AA31" i="92" s="1"/>
  <c r="O44" i="92"/>
  <c r="AA44" i="92" s="1"/>
  <c r="O47" i="92"/>
  <c r="AA47" i="92" s="1"/>
  <c r="O52" i="92"/>
  <c r="AA52" i="92" s="1"/>
  <c r="O42" i="92"/>
  <c r="AA42" i="92" s="1"/>
  <c r="O37" i="92"/>
  <c r="AA37" i="92" s="1"/>
  <c r="O30" i="92"/>
  <c r="AA30" i="92" s="1"/>
  <c r="O34" i="92"/>
  <c r="AA34" i="92" s="1"/>
  <c r="O38" i="92"/>
  <c r="AA38" i="92" s="1"/>
  <c r="O48" i="92"/>
  <c r="AA48" i="92" s="1"/>
  <c r="O35" i="92"/>
  <c r="AA35" i="92" s="1"/>
  <c r="O36" i="92"/>
  <c r="AA36" i="92" s="1"/>
  <c r="O43" i="92"/>
  <c r="AA43" i="92" s="1"/>
  <c r="O53" i="92"/>
  <c r="AA53" i="92" s="1"/>
  <c r="O46" i="92"/>
  <c r="AA46" i="92" s="1"/>
  <c r="O39" i="92"/>
  <c r="AA39" i="92" s="1"/>
  <c r="O45" i="92"/>
  <c r="AA45" i="92" s="1"/>
  <c r="O49" i="92"/>
  <c r="AA49" i="92" s="1"/>
  <c r="O27" i="92"/>
  <c r="AA27" i="92" s="1"/>
  <c r="O40" i="92"/>
  <c r="AA40" i="92" s="1"/>
  <c r="O29" i="92"/>
  <c r="AA29" i="92" s="1"/>
  <c r="O41" i="92"/>
  <c r="AA41" i="92" s="1"/>
  <c r="O55" i="92"/>
  <c r="AA55" i="92" s="1"/>
  <c r="O54" i="92"/>
  <c r="AA54" i="92" s="1"/>
  <c r="D19" i="88"/>
  <c r="K27" i="88"/>
  <c r="Q7" i="88"/>
  <c r="O24" i="88"/>
  <c r="AA6" i="92" s="1"/>
  <c r="AD6" i="92" s="1"/>
  <c r="AF6" i="92" s="1"/>
  <c r="P24" i="88"/>
  <c r="M24" i="88"/>
  <c r="L24" i="88"/>
  <c r="AJ5" i="89" s="1"/>
  <c r="C27" i="88"/>
  <c r="Q14" i="88"/>
  <c r="E19" i="88"/>
  <c r="M19" i="88"/>
  <c r="N19" i="88"/>
  <c r="J19" i="88"/>
  <c r="G19" i="88"/>
  <c r="H19" i="88"/>
  <c r="K19" i="88"/>
  <c r="F19" i="88"/>
  <c r="I19" i="88"/>
  <c r="L19" i="88"/>
  <c r="C26" i="88"/>
  <c r="C25" i="88"/>
  <c r="K28" i="88"/>
  <c r="AS11" i="83"/>
  <c r="AS12" i="83"/>
  <c r="AS13" i="83"/>
  <c r="AS14" i="83"/>
  <c r="AS15" i="83"/>
  <c r="P28" i="88" l="1"/>
  <c r="M28" i="88"/>
  <c r="N28" i="88"/>
  <c r="C9" i="93" s="1"/>
  <c r="F8" i="93" s="1"/>
  <c r="L28" i="88"/>
  <c r="AJ20" i="89" s="1"/>
  <c r="AL20" i="89" s="1"/>
  <c r="AN20" i="89" s="1"/>
  <c r="AI51" i="89" s="1"/>
  <c r="O284" i="90" s="1"/>
  <c r="M25" i="88"/>
  <c r="T25" i="88" s="1"/>
  <c r="N25" i="88"/>
  <c r="C6" i="93" s="1"/>
  <c r="F5" i="93" s="1"/>
  <c r="O25" i="88"/>
  <c r="L25" i="88"/>
  <c r="AJ8" i="89" s="1"/>
  <c r="AL8" i="89" s="1"/>
  <c r="AN8" i="89" s="1"/>
  <c r="AI39" i="89" s="1"/>
  <c r="P25" i="88"/>
  <c r="L26" i="88"/>
  <c r="P26" i="88"/>
  <c r="M26" i="88"/>
  <c r="T26" i="88" s="1"/>
  <c r="N26" i="88"/>
  <c r="C7" i="93" s="1"/>
  <c r="O26" i="88"/>
  <c r="O27" i="88"/>
  <c r="AA9" i="92" s="1"/>
  <c r="AD9" i="92" s="1"/>
  <c r="AF9" i="92" s="1"/>
  <c r="L27" i="88"/>
  <c r="AJ16" i="89" s="1"/>
  <c r="AL17" i="89" s="1"/>
  <c r="AN17" i="89" s="1"/>
  <c r="AI48" i="89" s="1"/>
  <c r="O134" i="90" s="1"/>
  <c r="P27" i="88"/>
  <c r="M27" i="88"/>
  <c r="T27" i="88" s="1"/>
  <c r="N27" i="88"/>
  <c r="C8" i="93" s="1"/>
  <c r="F7" i="93" s="1"/>
  <c r="B8" i="91"/>
  <c r="E8" i="91" s="1"/>
  <c r="AA10" i="92"/>
  <c r="AD10" i="92" s="1"/>
  <c r="AF10" i="92" s="1"/>
  <c r="AJ12" i="89"/>
  <c r="AL13" i="89" s="1"/>
  <c r="AN13" i="89" s="1"/>
  <c r="AI44" i="89" s="1"/>
  <c r="AL7" i="89"/>
  <c r="AN7" i="89" s="1"/>
  <c r="AI38" i="89" s="1"/>
  <c r="AL5" i="89"/>
  <c r="AN5" i="89" s="1"/>
  <c r="AI36" i="89" s="1"/>
  <c r="AL6" i="89"/>
  <c r="AN6" i="89" s="1"/>
  <c r="AI37" i="89" s="1"/>
  <c r="T24" i="88"/>
  <c r="AI6" i="83"/>
  <c r="AI7" i="83"/>
  <c r="AI8" i="83"/>
  <c r="AI9" i="83"/>
  <c r="AI10" i="83"/>
  <c r="AI11" i="83"/>
  <c r="AI12" i="83"/>
  <c r="AI13" i="83"/>
  <c r="AI14" i="83"/>
  <c r="AI15" i="83"/>
  <c r="AI16" i="83"/>
  <c r="AI17" i="83"/>
  <c r="AI18" i="83"/>
  <c r="AI19" i="83"/>
  <c r="AI20" i="83"/>
  <c r="AI21" i="83"/>
  <c r="AI22" i="83"/>
  <c r="AI23" i="83"/>
  <c r="AI24" i="83"/>
  <c r="AI25" i="83"/>
  <c r="AI26" i="83"/>
  <c r="AI27" i="83"/>
  <c r="AI28" i="83"/>
  <c r="AI29" i="83"/>
  <c r="AI30" i="83"/>
  <c r="AI31" i="83"/>
  <c r="AI32" i="83"/>
  <c r="AI33" i="83"/>
  <c r="AI34" i="83"/>
  <c r="AI35" i="83"/>
  <c r="AI36" i="83"/>
  <c r="AI37" i="83"/>
  <c r="AI38" i="83"/>
  <c r="AI39" i="83"/>
  <c r="AI40" i="83"/>
  <c r="AI41" i="83"/>
  <c r="AI42" i="83"/>
  <c r="AI43" i="83"/>
  <c r="AI44" i="83"/>
  <c r="AI45" i="83"/>
  <c r="AI46" i="83"/>
  <c r="AI47" i="83"/>
  <c r="AI48" i="83"/>
  <c r="AI49" i="83"/>
  <c r="AI50" i="83"/>
  <c r="AI51" i="83"/>
  <c r="AI52" i="83"/>
  <c r="AI53" i="83"/>
  <c r="AI54" i="83"/>
  <c r="AI55" i="83"/>
  <c r="AI56" i="83"/>
  <c r="AI57" i="83"/>
  <c r="AI58" i="83"/>
  <c r="AI59" i="83"/>
  <c r="AI60" i="83"/>
  <c r="AI61" i="83"/>
  <c r="AI62" i="83"/>
  <c r="AI63" i="83"/>
  <c r="AI64" i="83"/>
  <c r="AI65" i="83"/>
  <c r="AI66" i="83"/>
  <c r="AI67" i="83"/>
  <c r="AI68" i="83"/>
  <c r="AI69" i="83"/>
  <c r="AI70" i="83"/>
  <c r="AI71" i="83"/>
  <c r="AI72" i="83"/>
  <c r="AI73" i="83"/>
  <c r="AI74" i="83"/>
  <c r="AI75" i="83"/>
  <c r="AI76" i="83"/>
  <c r="AI77" i="83"/>
  <c r="AI78" i="83"/>
  <c r="AI79" i="83"/>
  <c r="AI80" i="83"/>
  <c r="AI81" i="83"/>
  <c r="AI82" i="83"/>
  <c r="AI83" i="83"/>
  <c r="AI84" i="83"/>
  <c r="AI85" i="83"/>
  <c r="AI86" i="83"/>
  <c r="AI87" i="83"/>
  <c r="AI88" i="83"/>
  <c r="AI89" i="83"/>
  <c r="AI90" i="83"/>
  <c r="AI91" i="83"/>
  <c r="AI92" i="83"/>
  <c r="AI93" i="83"/>
  <c r="AI94" i="83"/>
  <c r="AI95" i="83"/>
  <c r="AI96" i="83"/>
  <c r="AI97" i="83"/>
  <c r="AI98" i="83"/>
  <c r="AI99" i="83"/>
  <c r="AI100" i="83"/>
  <c r="AI101" i="83"/>
  <c r="AI102" i="83"/>
  <c r="AI103" i="83"/>
  <c r="AI104" i="83"/>
  <c r="AI5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Y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BQ9" i="83"/>
  <c r="F6" i="93" l="1"/>
  <c r="D29" i="93" s="1"/>
  <c r="D35" i="93"/>
  <c r="D42" i="93"/>
  <c r="D37" i="93"/>
  <c r="D34" i="93"/>
  <c r="D39" i="93"/>
  <c r="D43" i="93"/>
  <c r="D40" i="93"/>
  <c r="D38" i="93"/>
  <c r="D41" i="93"/>
  <c r="D36" i="93"/>
  <c r="D47" i="93"/>
  <c r="D52" i="93"/>
  <c r="D45" i="93"/>
  <c r="D50" i="93"/>
  <c r="D48" i="93"/>
  <c r="D44" i="93"/>
  <c r="D51" i="93"/>
  <c r="D46" i="93"/>
  <c r="D53" i="93"/>
  <c r="D49" i="93"/>
  <c r="D15" i="93"/>
  <c r="D22" i="93"/>
  <c r="D19" i="93"/>
  <c r="D16" i="93"/>
  <c r="D14" i="93"/>
  <c r="D23" i="93"/>
  <c r="D21" i="93"/>
  <c r="D17" i="93"/>
  <c r="D20" i="93"/>
  <c r="D18" i="93"/>
  <c r="D33" i="93"/>
  <c r="D31" i="93"/>
  <c r="O95" i="90"/>
  <c r="O263" i="90"/>
  <c r="O179" i="90"/>
  <c r="AL21" i="89"/>
  <c r="AN21" i="89" s="1"/>
  <c r="AI52" i="89" s="1"/>
  <c r="O117" i="90" s="1"/>
  <c r="O452" i="90"/>
  <c r="O305" i="90"/>
  <c r="O158" i="90"/>
  <c r="O347" i="90"/>
  <c r="O431" i="90"/>
  <c r="O221" i="90"/>
  <c r="O74" i="90"/>
  <c r="AL22" i="89"/>
  <c r="AN22" i="89" s="1"/>
  <c r="AI53" i="89" s="1"/>
  <c r="O139" i="90" s="1"/>
  <c r="O473" i="90"/>
  <c r="O389" i="90"/>
  <c r="O242" i="90"/>
  <c r="O326" i="90"/>
  <c r="O410" i="90"/>
  <c r="O137" i="90"/>
  <c r="AL23" i="89"/>
  <c r="AN23" i="89" s="1"/>
  <c r="AI54" i="89" s="1"/>
  <c r="O161" i="90" s="1"/>
  <c r="O368" i="90"/>
  <c r="O53" i="90"/>
  <c r="O116" i="90"/>
  <c r="O200" i="90"/>
  <c r="AL24" i="89"/>
  <c r="AN24" i="89" s="1"/>
  <c r="AI55" i="89" s="1"/>
  <c r="O435" i="90" s="1"/>
  <c r="D8" i="91"/>
  <c r="AL15" i="89"/>
  <c r="AN15" i="89" s="1"/>
  <c r="AI46" i="89" s="1"/>
  <c r="O69" i="90" s="1"/>
  <c r="B7" i="91"/>
  <c r="D7" i="91" s="1"/>
  <c r="O155" i="90"/>
  <c r="O239" i="90"/>
  <c r="O344" i="90"/>
  <c r="O386" i="90"/>
  <c r="O449" i="90"/>
  <c r="O407" i="90"/>
  <c r="AL12" i="89"/>
  <c r="AN12" i="89" s="1"/>
  <c r="AI43" i="89" s="1"/>
  <c r="O45" i="90" s="1"/>
  <c r="O260" i="90"/>
  <c r="O470" i="90"/>
  <c r="AL16" i="89"/>
  <c r="AN16" i="89" s="1"/>
  <c r="AI47" i="89" s="1"/>
  <c r="O406" i="90" s="1"/>
  <c r="O281" i="90"/>
  <c r="O428" i="90"/>
  <c r="O365" i="90"/>
  <c r="AL14" i="89"/>
  <c r="AN14" i="89" s="1"/>
  <c r="AI45" i="89" s="1"/>
  <c r="O131" i="90" s="1"/>
  <c r="O50" i="90"/>
  <c r="O176" i="90"/>
  <c r="O218" i="90"/>
  <c r="O113" i="90"/>
  <c r="O71" i="90"/>
  <c r="AL19" i="89"/>
  <c r="AN19" i="89" s="1"/>
  <c r="AI50" i="89" s="1"/>
  <c r="O346" i="90" s="1"/>
  <c r="O323" i="90"/>
  <c r="O302" i="90"/>
  <c r="O197" i="90"/>
  <c r="O92" i="90"/>
  <c r="AL18" i="89"/>
  <c r="AN18" i="89" s="1"/>
  <c r="AI49" i="89" s="1"/>
  <c r="O198" i="90" s="1"/>
  <c r="B6" i="91"/>
  <c r="D6" i="91" s="1"/>
  <c r="AA8" i="92"/>
  <c r="AD8" i="92" s="1"/>
  <c r="AF8" i="92" s="1"/>
  <c r="B5" i="91"/>
  <c r="E5" i="91" s="1"/>
  <c r="AA7" i="92"/>
  <c r="AD7" i="92" s="1"/>
  <c r="AF7" i="92" s="1"/>
  <c r="AL9" i="89"/>
  <c r="AN9" i="89" s="1"/>
  <c r="AI40" i="89" s="1"/>
  <c r="O210" i="90" s="1"/>
  <c r="U23" i="88"/>
  <c r="U27" i="88" s="1"/>
  <c r="O77" i="90"/>
  <c r="AL11" i="89"/>
  <c r="AN11" i="89" s="1"/>
  <c r="AI42" i="89" s="1"/>
  <c r="O359" i="90" s="1"/>
  <c r="AL10" i="89"/>
  <c r="AN10" i="89" s="1"/>
  <c r="AI41" i="89" s="1"/>
  <c r="O106" i="90" s="1"/>
  <c r="O90" i="90"/>
  <c r="O249" i="90"/>
  <c r="O186" i="90"/>
  <c r="O39" i="90"/>
  <c r="O291" i="90"/>
  <c r="O144" i="90"/>
  <c r="O333" i="90"/>
  <c r="O270" i="90"/>
  <c r="O60" i="90"/>
  <c r="O375" i="90"/>
  <c r="O312" i="90"/>
  <c r="O81" i="90"/>
  <c r="O438" i="90"/>
  <c r="O354" i="90"/>
  <c r="O123" i="90"/>
  <c r="O228" i="90"/>
  <c r="O417" i="90"/>
  <c r="O165" i="90"/>
  <c r="O102" i="90"/>
  <c r="O459" i="90"/>
  <c r="O207" i="90"/>
  <c r="O396" i="90"/>
  <c r="O125" i="90"/>
  <c r="O398" i="90"/>
  <c r="O314" i="90"/>
  <c r="O272" i="90"/>
  <c r="O335" i="90"/>
  <c r="O167" i="90"/>
  <c r="O209" i="90"/>
  <c r="O419" i="90"/>
  <c r="O62" i="90"/>
  <c r="O356" i="90"/>
  <c r="O461" i="90"/>
  <c r="O293" i="90"/>
  <c r="O104" i="90"/>
  <c r="O440" i="90"/>
  <c r="O41" i="90"/>
  <c r="O377" i="90"/>
  <c r="O230" i="90"/>
  <c r="O188" i="90"/>
  <c r="O251" i="90"/>
  <c r="O83" i="90"/>
  <c r="O146" i="90"/>
  <c r="O353" i="90"/>
  <c r="O80" i="90"/>
  <c r="O206" i="90"/>
  <c r="O311" i="90"/>
  <c r="O437" i="90"/>
  <c r="O101" i="90"/>
  <c r="O458" i="90"/>
  <c r="O122" i="90"/>
  <c r="O227" i="90"/>
  <c r="O332" i="90"/>
  <c r="O416" i="90"/>
  <c r="O38" i="90"/>
  <c r="O143" i="90"/>
  <c r="O248" i="90"/>
  <c r="O374" i="90"/>
  <c r="O185" i="90"/>
  <c r="O269" i="90"/>
  <c r="O59" i="90"/>
  <c r="O164" i="90"/>
  <c r="O290" i="90"/>
  <c r="O395" i="90"/>
  <c r="O361" i="90"/>
  <c r="O151" i="90"/>
  <c r="O340" i="90"/>
  <c r="O382" i="90"/>
  <c r="O172" i="90"/>
  <c r="O109" i="90"/>
  <c r="O466" i="90"/>
  <c r="O235" i="90"/>
  <c r="O130" i="90"/>
  <c r="O445" i="90"/>
  <c r="O256" i="90"/>
  <c r="O193" i="90"/>
  <c r="O403" i="90"/>
  <c r="O319" i="90"/>
  <c r="O214" i="90"/>
  <c r="O46" i="90"/>
  <c r="O277" i="90"/>
  <c r="O88" i="90"/>
  <c r="O424" i="90"/>
  <c r="O298" i="90"/>
  <c r="O67" i="90"/>
  <c r="O61" i="90"/>
  <c r="O418" i="90"/>
  <c r="O250" i="90"/>
  <c r="O124" i="90"/>
  <c r="O103" i="90"/>
  <c r="O292" i="90"/>
  <c r="O397" i="90"/>
  <c r="O145" i="90"/>
  <c r="O439" i="90"/>
  <c r="O334" i="90"/>
  <c r="O208" i="90"/>
  <c r="O187" i="90"/>
  <c r="O82" i="90"/>
  <c r="O376" i="90"/>
  <c r="O313" i="90"/>
  <c r="O166" i="90"/>
  <c r="O460" i="90"/>
  <c r="O40" i="90"/>
  <c r="O355" i="90"/>
  <c r="O229" i="90"/>
  <c r="O271" i="90"/>
  <c r="AJ6" i="83"/>
  <c r="AJ7" i="83"/>
  <c r="AJ8" i="83"/>
  <c r="AJ9" i="83"/>
  <c r="AJ10" i="83"/>
  <c r="AJ11" i="83"/>
  <c r="AJ12" i="83"/>
  <c r="AJ13" i="83"/>
  <c r="AJ14" i="83"/>
  <c r="AJ15" i="83"/>
  <c r="AJ16" i="83"/>
  <c r="AJ17" i="83"/>
  <c r="AJ18" i="83"/>
  <c r="AJ19" i="83"/>
  <c r="AJ20" i="83"/>
  <c r="AJ21" i="83"/>
  <c r="AJ22" i="83"/>
  <c r="AJ23" i="83"/>
  <c r="AJ24" i="83"/>
  <c r="AJ25" i="83"/>
  <c r="AJ26" i="83"/>
  <c r="AJ27" i="83"/>
  <c r="AJ28" i="83"/>
  <c r="AJ29" i="83"/>
  <c r="AJ30" i="83"/>
  <c r="AJ31" i="83"/>
  <c r="AJ32" i="83"/>
  <c r="AJ33" i="83"/>
  <c r="AJ34" i="83"/>
  <c r="AJ35" i="83"/>
  <c r="AJ36" i="83"/>
  <c r="AJ37" i="83"/>
  <c r="AJ38" i="83"/>
  <c r="AJ39" i="83"/>
  <c r="AJ40" i="83"/>
  <c r="AJ41" i="83"/>
  <c r="AJ42" i="83"/>
  <c r="AJ43" i="83"/>
  <c r="AJ44" i="83"/>
  <c r="AJ45" i="83"/>
  <c r="AJ46" i="83"/>
  <c r="AJ47" i="83"/>
  <c r="AJ48" i="83"/>
  <c r="AJ49" i="83"/>
  <c r="AJ50" i="83"/>
  <c r="AJ51" i="83"/>
  <c r="AJ52" i="83"/>
  <c r="AJ53" i="83"/>
  <c r="AJ54" i="83"/>
  <c r="AJ55" i="83"/>
  <c r="AJ56" i="83"/>
  <c r="AJ57" i="83"/>
  <c r="AJ58" i="83"/>
  <c r="AJ59" i="83"/>
  <c r="AJ60" i="83"/>
  <c r="AJ61" i="83"/>
  <c r="AJ62" i="83"/>
  <c r="AJ63" i="83"/>
  <c r="AJ64" i="83"/>
  <c r="AJ65" i="83"/>
  <c r="AJ66" i="83"/>
  <c r="AJ67" i="83"/>
  <c r="AJ68" i="83"/>
  <c r="AJ69" i="83"/>
  <c r="AJ70" i="83"/>
  <c r="AJ71" i="83"/>
  <c r="AJ72" i="83"/>
  <c r="AJ73" i="83"/>
  <c r="AJ74" i="83"/>
  <c r="AJ75" i="83"/>
  <c r="AJ76" i="83"/>
  <c r="AJ77" i="83"/>
  <c r="AJ78" i="83"/>
  <c r="AJ79" i="83"/>
  <c r="AJ80" i="83"/>
  <c r="AJ81" i="83"/>
  <c r="AJ82" i="83"/>
  <c r="AJ83" i="83"/>
  <c r="AJ84" i="83"/>
  <c r="AJ85" i="83"/>
  <c r="AJ86" i="83"/>
  <c r="AJ87" i="83"/>
  <c r="AJ88" i="83"/>
  <c r="AJ89" i="83"/>
  <c r="AJ90" i="83"/>
  <c r="AJ91" i="83"/>
  <c r="AJ92" i="83"/>
  <c r="AJ93" i="83"/>
  <c r="AJ94" i="83"/>
  <c r="AJ95" i="83"/>
  <c r="AJ96" i="83"/>
  <c r="AJ97" i="83"/>
  <c r="AJ98" i="83"/>
  <c r="AJ99" i="83"/>
  <c r="AJ100" i="83"/>
  <c r="AJ101" i="83"/>
  <c r="AJ102" i="83"/>
  <c r="AJ103" i="83"/>
  <c r="AJ104" i="83"/>
  <c r="AJ5" i="83"/>
  <c r="Z6" i="83"/>
  <c r="Z7" i="83"/>
  <c r="Z8" i="83"/>
  <c r="Z9" i="83"/>
  <c r="Z10" i="83"/>
  <c r="Z11" i="83"/>
  <c r="Z12" i="83"/>
  <c r="Z13" i="83"/>
  <c r="Z14" i="83"/>
  <c r="Z15" i="83"/>
  <c r="Z16" i="83"/>
  <c r="Z17" i="83"/>
  <c r="Z18" i="83"/>
  <c r="Z19" i="83"/>
  <c r="Z20" i="83"/>
  <c r="Z21" i="83"/>
  <c r="Z22" i="83"/>
  <c r="Z23" i="83"/>
  <c r="Z24" i="83"/>
  <c r="Z25" i="83"/>
  <c r="Z26" i="83"/>
  <c r="Z27" i="83"/>
  <c r="Z28" i="83"/>
  <c r="Z29" i="83"/>
  <c r="Z30" i="83"/>
  <c r="Z31" i="83"/>
  <c r="Z32" i="83"/>
  <c r="Z33" i="83"/>
  <c r="Z34" i="83"/>
  <c r="Z35" i="83"/>
  <c r="Z36" i="83"/>
  <c r="Z37" i="83"/>
  <c r="Z38" i="83"/>
  <c r="Z39" i="83"/>
  <c r="Z40" i="83"/>
  <c r="Z41" i="83"/>
  <c r="Z42" i="83"/>
  <c r="Z43" i="83"/>
  <c r="Z44" i="83"/>
  <c r="Z45" i="83"/>
  <c r="Z46" i="83"/>
  <c r="Z47" i="83"/>
  <c r="Z48" i="83"/>
  <c r="Z49" i="83"/>
  <c r="Z50" i="83"/>
  <c r="Z51" i="83"/>
  <c r="Z52" i="83"/>
  <c r="Z53" i="83"/>
  <c r="Z54" i="83"/>
  <c r="Z55" i="83"/>
  <c r="Z56" i="83"/>
  <c r="Z57" i="83"/>
  <c r="Z58" i="83"/>
  <c r="Z59" i="83"/>
  <c r="Z60" i="83"/>
  <c r="Z61" i="83"/>
  <c r="Z62" i="83"/>
  <c r="Z63" i="83"/>
  <c r="Z64" i="83"/>
  <c r="Z65" i="83"/>
  <c r="Z66" i="83"/>
  <c r="Z67" i="83"/>
  <c r="Z68" i="83"/>
  <c r="Z69" i="83"/>
  <c r="Z70" i="83"/>
  <c r="Z71" i="83"/>
  <c r="Z72" i="83"/>
  <c r="Z73" i="83"/>
  <c r="Z74" i="83"/>
  <c r="Z75" i="83"/>
  <c r="Z76" i="83"/>
  <c r="Z77" i="83"/>
  <c r="Z78" i="83"/>
  <c r="Z79" i="83"/>
  <c r="Z80" i="83"/>
  <c r="Z81" i="83"/>
  <c r="Z82" i="83"/>
  <c r="Z83" i="83"/>
  <c r="Z84" i="83"/>
  <c r="Z85" i="83"/>
  <c r="Z86" i="83"/>
  <c r="Z87" i="83"/>
  <c r="Z88" i="83"/>
  <c r="Z89" i="83"/>
  <c r="Z90" i="83"/>
  <c r="Z91" i="83"/>
  <c r="Z92" i="83"/>
  <c r="Z93" i="83"/>
  <c r="Z94" i="83"/>
  <c r="Z95" i="83"/>
  <c r="Z96" i="83"/>
  <c r="Z97" i="83"/>
  <c r="Z98" i="83"/>
  <c r="Z99" i="83"/>
  <c r="Z100" i="83"/>
  <c r="Z101" i="83"/>
  <c r="Z102" i="83"/>
  <c r="Z103" i="83"/>
  <c r="Z104" i="83"/>
  <c r="Z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P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D25" i="93" l="1"/>
  <c r="I25" i="93" s="1"/>
  <c r="D24" i="93"/>
  <c r="G24" i="93" s="1"/>
  <c r="D32" i="93"/>
  <c r="L32" i="93" s="1"/>
  <c r="D28" i="93"/>
  <c r="G28" i="93" s="1"/>
  <c r="O342" i="90"/>
  <c r="D26" i="93"/>
  <c r="K26" i="93" s="1"/>
  <c r="D30" i="93"/>
  <c r="L30" i="93" s="1"/>
  <c r="D27" i="93"/>
  <c r="K27" i="93" s="1"/>
  <c r="K31" i="93"/>
  <c r="F31" i="93"/>
  <c r="H31" i="93"/>
  <c r="J31" i="93"/>
  <c r="L31" i="93"/>
  <c r="G31" i="93"/>
  <c r="I31" i="93"/>
  <c r="L28" i="93"/>
  <c r="I17" i="93"/>
  <c r="K17" i="93"/>
  <c r="F17" i="93"/>
  <c r="H17" i="93"/>
  <c r="J17" i="93"/>
  <c r="L17" i="93"/>
  <c r="G17" i="93"/>
  <c r="H49" i="93"/>
  <c r="J49" i="93"/>
  <c r="L49" i="93"/>
  <c r="G49" i="93"/>
  <c r="I49" i="93"/>
  <c r="K49" i="93"/>
  <c r="F49" i="93"/>
  <c r="K52" i="93"/>
  <c r="F52" i="93"/>
  <c r="H52" i="93"/>
  <c r="J52" i="93"/>
  <c r="L52" i="93"/>
  <c r="G52" i="93"/>
  <c r="I52" i="93"/>
  <c r="F34" i="93"/>
  <c r="L34" i="93"/>
  <c r="J34" i="93"/>
  <c r="H34" i="93"/>
  <c r="G34" i="93"/>
  <c r="I34" i="93"/>
  <c r="K34" i="93"/>
  <c r="I21" i="93"/>
  <c r="K21" i="93"/>
  <c r="F21" i="93"/>
  <c r="H21" i="93"/>
  <c r="J21" i="93"/>
  <c r="L21" i="93"/>
  <c r="G21" i="93"/>
  <c r="H53" i="93"/>
  <c r="J53" i="93"/>
  <c r="L53" i="93"/>
  <c r="G53" i="93"/>
  <c r="I53" i="93"/>
  <c r="K53" i="93"/>
  <c r="F53" i="93"/>
  <c r="K47" i="93"/>
  <c r="F47" i="93"/>
  <c r="H47" i="93"/>
  <c r="J47" i="93"/>
  <c r="L47" i="93"/>
  <c r="G47" i="93"/>
  <c r="I47" i="93"/>
  <c r="F37" i="93"/>
  <c r="H37" i="93"/>
  <c r="J37" i="93"/>
  <c r="L37" i="93"/>
  <c r="G37" i="93"/>
  <c r="I37" i="93"/>
  <c r="K37" i="93"/>
  <c r="L25" i="93"/>
  <c r="L33" i="93"/>
  <c r="H33" i="93"/>
  <c r="F33" i="93"/>
  <c r="J33" i="93"/>
  <c r="K33" i="93"/>
  <c r="I33" i="93"/>
  <c r="G33" i="93"/>
  <c r="F18" i="93"/>
  <c r="H18" i="93"/>
  <c r="J18" i="93"/>
  <c r="L18" i="93"/>
  <c r="G18" i="93"/>
  <c r="I18" i="93"/>
  <c r="K18" i="93"/>
  <c r="G23" i="93"/>
  <c r="I23" i="93"/>
  <c r="K23" i="93"/>
  <c r="F23" i="93"/>
  <c r="H23" i="93"/>
  <c r="J23" i="93"/>
  <c r="L23" i="93"/>
  <c r="G22" i="93"/>
  <c r="I22" i="93"/>
  <c r="K22" i="93"/>
  <c r="F22" i="93"/>
  <c r="H22" i="93"/>
  <c r="J22" i="93"/>
  <c r="L22" i="93"/>
  <c r="I46" i="93"/>
  <c r="K46" i="93"/>
  <c r="F46" i="93"/>
  <c r="H46" i="93"/>
  <c r="J46" i="93"/>
  <c r="L46" i="93"/>
  <c r="G46" i="93"/>
  <c r="J50" i="93"/>
  <c r="H50" i="93"/>
  <c r="G50" i="93"/>
  <c r="I50" i="93"/>
  <c r="K50" i="93"/>
  <c r="F50" i="93"/>
  <c r="L50" i="93"/>
  <c r="G36" i="93"/>
  <c r="I36" i="93"/>
  <c r="K36" i="93"/>
  <c r="F36" i="93"/>
  <c r="H36" i="93"/>
  <c r="J36" i="93"/>
  <c r="L36" i="93"/>
  <c r="J43" i="93"/>
  <c r="L43" i="93"/>
  <c r="G43" i="93"/>
  <c r="I43" i="93"/>
  <c r="K43" i="93"/>
  <c r="F43" i="93"/>
  <c r="H43" i="93"/>
  <c r="F42" i="93"/>
  <c r="H42" i="93"/>
  <c r="J42" i="93"/>
  <c r="L42" i="93"/>
  <c r="G42" i="93"/>
  <c r="I42" i="93"/>
  <c r="K42" i="93"/>
  <c r="H16" i="93"/>
  <c r="J16" i="93"/>
  <c r="L16" i="93"/>
  <c r="G16" i="93"/>
  <c r="I16" i="93"/>
  <c r="K16" i="93"/>
  <c r="F16" i="93"/>
  <c r="K44" i="93"/>
  <c r="F44" i="93"/>
  <c r="H44" i="93"/>
  <c r="J44" i="93"/>
  <c r="L44" i="93"/>
  <c r="G44" i="93"/>
  <c r="I44" i="93"/>
  <c r="F38" i="93"/>
  <c r="H38" i="93"/>
  <c r="J38" i="93"/>
  <c r="L38" i="93"/>
  <c r="G38" i="93"/>
  <c r="I38" i="93"/>
  <c r="K38" i="93"/>
  <c r="F19" i="93"/>
  <c r="H19" i="93"/>
  <c r="J19" i="93"/>
  <c r="L19" i="93"/>
  <c r="G19" i="93"/>
  <c r="I19" i="93"/>
  <c r="K19" i="93"/>
  <c r="K48" i="93"/>
  <c r="J48" i="93"/>
  <c r="H48" i="93"/>
  <c r="F48" i="93"/>
  <c r="L48" i="93"/>
  <c r="G48" i="93"/>
  <c r="I48" i="93"/>
  <c r="K40" i="93"/>
  <c r="F40" i="93"/>
  <c r="H40" i="93"/>
  <c r="J40" i="93"/>
  <c r="L40" i="93"/>
  <c r="G40" i="93"/>
  <c r="I40" i="93"/>
  <c r="O245" i="90"/>
  <c r="H32" i="93"/>
  <c r="H29" i="93"/>
  <c r="K29" i="93"/>
  <c r="I29" i="93"/>
  <c r="F29" i="93"/>
  <c r="J29" i="93"/>
  <c r="G29" i="93"/>
  <c r="L29" i="93"/>
  <c r="L20" i="93"/>
  <c r="G20" i="93"/>
  <c r="I20" i="93"/>
  <c r="K20" i="93"/>
  <c r="F20" i="93"/>
  <c r="H20" i="93"/>
  <c r="J20" i="93"/>
  <c r="H14" i="93"/>
  <c r="I14" i="93"/>
  <c r="L14" i="93"/>
  <c r="J14" i="93"/>
  <c r="F14" i="93"/>
  <c r="K14" i="93"/>
  <c r="G14" i="93"/>
  <c r="F15" i="93"/>
  <c r="H15" i="93"/>
  <c r="J15" i="93"/>
  <c r="L15" i="93"/>
  <c r="G15" i="93"/>
  <c r="I15" i="93"/>
  <c r="K15" i="93"/>
  <c r="K51" i="93"/>
  <c r="F51" i="93"/>
  <c r="H51" i="93"/>
  <c r="J51" i="93"/>
  <c r="L51" i="93"/>
  <c r="G51" i="93"/>
  <c r="I51" i="93"/>
  <c r="F45" i="93"/>
  <c r="H45" i="93"/>
  <c r="J45" i="93"/>
  <c r="L45" i="93"/>
  <c r="G45" i="93"/>
  <c r="I45" i="93"/>
  <c r="K45" i="93"/>
  <c r="L41" i="93"/>
  <c r="K41" i="93"/>
  <c r="I41" i="93"/>
  <c r="G41" i="93"/>
  <c r="F41" i="93"/>
  <c r="H41" i="93"/>
  <c r="J41" i="93"/>
  <c r="J39" i="93"/>
  <c r="L39" i="93"/>
  <c r="G39" i="93"/>
  <c r="I39" i="93"/>
  <c r="K39" i="93"/>
  <c r="F39" i="93"/>
  <c r="H39" i="93"/>
  <c r="I35" i="93"/>
  <c r="L35" i="93"/>
  <c r="J35" i="93"/>
  <c r="G35" i="93"/>
  <c r="K35" i="93"/>
  <c r="H35" i="93"/>
  <c r="F35" i="93"/>
  <c r="O453" i="90"/>
  <c r="O285" i="90"/>
  <c r="O118" i="90"/>
  <c r="O308" i="90"/>
  <c r="O266" i="90"/>
  <c r="O224" i="90"/>
  <c r="O476" i="90"/>
  <c r="O434" i="90"/>
  <c r="O201" i="90"/>
  <c r="O287" i="90"/>
  <c r="O432" i="90"/>
  <c r="O223" i="90"/>
  <c r="O348" i="90"/>
  <c r="O372" i="90"/>
  <c r="O455" i="90"/>
  <c r="O203" i="90"/>
  <c r="O413" i="90"/>
  <c r="O202" i="90"/>
  <c r="O138" i="90"/>
  <c r="O288" i="90"/>
  <c r="O456" i="90"/>
  <c r="O351" i="90"/>
  <c r="O246" i="90"/>
  <c r="O429" i="90"/>
  <c r="O267" i="90"/>
  <c r="O265" i="90"/>
  <c r="O264" i="90"/>
  <c r="O286" i="90"/>
  <c r="O120" i="90"/>
  <c r="O330" i="90"/>
  <c r="O97" i="90"/>
  <c r="O349" i="90"/>
  <c r="O390" i="90"/>
  <c r="O181" i="90"/>
  <c r="O160" i="90"/>
  <c r="O306" i="90"/>
  <c r="O414" i="90"/>
  <c r="O57" i="90"/>
  <c r="O99" i="90"/>
  <c r="O350" i="90"/>
  <c r="O371" i="90"/>
  <c r="O119" i="90"/>
  <c r="O477" i="90"/>
  <c r="O204" i="90"/>
  <c r="O329" i="90"/>
  <c r="O141" i="90"/>
  <c r="O244" i="90"/>
  <c r="O75" i="90"/>
  <c r="O412" i="90"/>
  <c r="O328" i="90"/>
  <c r="O180" i="90"/>
  <c r="O54" i="90"/>
  <c r="O222" i="90"/>
  <c r="O433" i="90"/>
  <c r="O307" i="90"/>
  <c r="O76" i="90"/>
  <c r="O183" i="90"/>
  <c r="O78" i="90"/>
  <c r="O159" i="90"/>
  <c r="O327" i="90"/>
  <c r="O309" i="90"/>
  <c r="O162" i="90"/>
  <c r="O393" i="90"/>
  <c r="O98" i="90"/>
  <c r="O182" i="90"/>
  <c r="O56" i="90"/>
  <c r="O140" i="90"/>
  <c r="O392" i="90"/>
  <c r="O225" i="90"/>
  <c r="O391" i="90"/>
  <c r="O369" i="90"/>
  <c r="O475" i="90"/>
  <c r="O474" i="90"/>
  <c r="O96" i="90"/>
  <c r="O411" i="90"/>
  <c r="O243" i="90"/>
  <c r="O55" i="90"/>
  <c r="O454" i="90"/>
  <c r="O370" i="90"/>
  <c r="O215" i="90"/>
  <c r="O237" i="90"/>
  <c r="O257" i="90"/>
  <c r="O153" i="90"/>
  <c r="E7" i="91"/>
  <c r="O444" i="90"/>
  <c r="O278" i="90"/>
  <c r="O173" i="90"/>
  <c r="O110" i="90"/>
  <c r="O362" i="90"/>
  <c r="O367" i="90"/>
  <c r="O157" i="90"/>
  <c r="O52" i="90"/>
  <c r="O276" i="90"/>
  <c r="O213" i="90"/>
  <c r="O234" i="90"/>
  <c r="O405" i="90"/>
  <c r="O384" i="90"/>
  <c r="O216" i="90"/>
  <c r="O48" i="90"/>
  <c r="O363" i="90"/>
  <c r="O472" i="90"/>
  <c r="O283" i="90"/>
  <c r="O279" i="90"/>
  <c r="O195" i="90"/>
  <c r="O409" i="90"/>
  <c r="O111" i="90"/>
  <c r="O321" i="90"/>
  <c r="O136" i="90"/>
  <c r="O178" i="90"/>
  <c r="O468" i="90"/>
  <c r="O300" i="90"/>
  <c r="O447" i="90"/>
  <c r="O426" i="90"/>
  <c r="O132" i="90"/>
  <c r="O258" i="90"/>
  <c r="O174" i="90"/>
  <c r="O241" i="90"/>
  <c r="O108" i="90"/>
  <c r="O360" i="90"/>
  <c r="O402" i="90"/>
  <c r="O255" i="90"/>
  <c r="O129" i="90"/>
  <c r="O465" i="90"/>
  <c r="O112" i="90"/>
  <c r="O66" i="90"/>
  <c r="O297" i="90"/>
  <c r="O150" i="90"/>
  <c r="O448" i="90"/>
  <c r="O318" i="90"/>
  <c r="O339" i="90"/>
  <c r="O91" i="90"/>
  <c r="O192" i="90"/>
  <c r="O87" i="90"/>
  <c r="O469" i="90"/>
  <c r="O381" i="90"/>
  <c r="O171" i="90"/>
  <c r="O423" i="90"/>
  <c r="O387" i="90"/>
  <c r="E6" i="91"/>
  <c r="O404" i="90"/>
  <c r="O320" i="90"/>
  <c r="O217" i="90"/>
  <c r="O238" i="90"/>
  <c r="O280" i="90"/>
  <c r="O336" i="90"/>
  <c r="O236" i="90"/>
  <c r="O194" i="90"/>
  <c r="O89" i="90"/>
  <c r="O152" i="90"/>
  <c r="O299" i="90"/>
  <c r="O427" i="90"/>
  <c r="O70" i="90"/>
  <c r="O259" i="90"/>
  <c r="O343" i="90"/>
  <c r="O196" i="90"/>
  <c r="O133" i="90"/>
  <c r="O385" i="90"/>
  <c r="O189" i="90"/>
  <c r="O446" i="90"/>
  <c r="O47" i="90"/>
  <c r="O467" i="90"/>
  <c r="O154" i="90"/>
  <c r="O49" i="90"/>
  <c r="O84" i="90"/>
  <c r="O68" i="90"/>
  <c r="O383" i="90"/>
  <c r="O425" i="90"/>
  <c r="O341" i="90"/>
  <c r="O156" i="90"/>
  <c r="O135" i="90"/>
  <c r="O322" i="90"/>
  <c r="O301" i="90"/>
  <c r="O175" i="90"/>
  <c r="O364" i="90"/>
  <c r="O93" i="90"/>
  <c r="O282" i="90"/>
  <c r="O366" i="90"/>
  <c r="O324" i="90"/>
  <c r="O219" i="90"/>
  <c r="O408" i="90"/>
  <c r="O303" i="90"/>
  <c r="O471" i="90"/>
  <c r="O240" i="90"/>
  <c r="O262" i="90"/>
  <c r="O115" i="90"/>
  <c r="O114" i="90"/>
  <c r="O199" i="90"/>
  <c r="O451" i="90"/>
  <c r="O304" i="90"/>
  <c r="O51" i="90"/>
  <c r="O177" i="90"/>
  <c r="O450" i="90"/>
  <c r="O261" i="90"/>
  <c r="O94" i="90"/>
  <c r="O220" i="90"/>
  <c r="O388" i="90"/>
  <c r="O325" i="90"/>
  <c r="O72" i="90"/>
  <c r="O345" i="90"/>
  <c r="O73" i="90"/>
  <c r="O430" i="90"/>
  <c r="O252" i="90"/>
  <c r="O231" i="90"/>
  <c r="O273" i="90"/>
  <c r="D5" i="91"/>
  <c r="O462" i="90"/>
  <c r="O147" i="90"/>
  <c r="O357" i="90"/>
  <c r="O63" i="90"/>
  <c r="O420" i="90"/>
  <c r="O399" i="90"/>
  <c r="O315" i="90"/>
  <c r="O294" i="90"/>
  <c r="O441" i="90"/>
  <c r="O42" i="90"/>
  <c r="O168" i="90"/>
  <c r="O378" i="90"/>
  <c r="O105" i="90"/>
  <c r="O126" i="90"/>
  <c r="O422" i="90"/>
  <c r="U24" i="88"/>
  <c r="U25" i="88"/>
  <c r="U26" i="88"/>
  <c r="O170" i="90"/>
  <c r="O463" i="90"/>
  <c r="O149" i="90"/>
  <c r="O43" i="90"/>
  <c r="O44" i="90"/>
  <c r="O190" i="90"/>
  <c r="O443" i="90"/>
  <c r="O337" i="90"/>
  <c r="O85" i="90"/>
  <c r="O275" i="90"/>
  <c r="O464" i="90"/>
  <c r="O400" i="90"/>
  <c r="O274" i="90"/>
  <c r="O316" i="90"/>
  <c r="O338" i="90"/>
  <c r="O296" i="90"/>
  <c r="O191" i="90"/>
  <c r="O295" i="90"/>
  <c r="O253" i="90"/>
  <c r="O148" i="90"/>
  <c r="O401" i="90"/>
  <c r="O317" i="90"/>
  <c r="O107" i="90"/>
  <c r="O254" i="90"/>
  <c r="O212" i="90"/>
  <c r="O65" i="90"/>
  <c r="O127" i="90"/>
  <c r="O232" i="90"/>
  <c r="O379" i="90"/>
  <c r="O169" i="90"/>
  <c r="O442" i="90"/>
  <c r="O128" i="90"/>
  <c r="O380" i="90"/>
  <c r="O233" i="90"/>
  <c r="O86" i="90"/>
  <c r="O358" i="90"/>
  <c r="O64" i="90"/>
  <c r="O211" i="90"/>
  <c r="O421" i="90"/>
  <c r="BX15" i="83"/>
  <c r="BM20" i="83"/>
  <c r="BM21" i="83" s="1"/>
  <c r="BO9" i="83"/>
  <c r="BM9" i="83"/>
  <c r="H25" i="93" l="1"/>
  <c r="F25" i="93"/>
  <c r="K25" i="93"/>
  <c r="L24" i="93"/>
  <c r="G26" i="93"/>
  <c r="K24" i="93"/>
  <c r="F24" i="93"/>
  <c r="AQ344" i="93" s="1"/>
  <c r="H26" i="93"/>
  <c r="J24" i="93"/>
  <c r="I24" i="93"/>
  <c r="G25" i="93"/>
  <c r="AQ145" i="93" s="1"/>
  <c r="F26" i="93"/>
  <c r="H24" i="93"/>
  <c r="AQ424" i="93" s="1"/>
  <c r="J25" i="93"/>
  <c r="I32" i="93"/>
  <c r="AQ312" i="93" s="1"/>
  <c r="J27" i="93"/>
  <c r="F28" i="93"/>
  <c r="AQ188" i="93" s="1"/>
  <c r="K28" i="93"/>
  <c r="AQ948" i="93" s="1"/>
  <c r="J28" i="93"/>
  <c r="AQ908" i="93" s="1"/>
  <c r="I28" i="93"/>
  <c r="H28" i="93"/>
  <c r="AQ268" i="93" s="1"/>
  <c r="K32" i="93"/>
  <c r="AQ952" i="93" s="1"/>
  <c r="F32" i="93"/>
  <c r="AQ192" i="93" s="1"/>
  <c r="G32" i="93"/>
  <c r="J32" i="93"/>
  <c r="AQ672" i="93" s="1"/>
  <c r="J26" i="93"/>
  <c r="AQ666" i="93" s="1"/>
  <c r="I26" i="93"/>
  <c r="AQ306" i="93" s="1"/>
  <c r="H30" i="93"/>
  <c r="J30" i="93"/>
  <c r="AQ670" i="93" s="1"/>
  <c r="I30" i="93"/>
  <c r="AQ470" i="93" s="1"/>
  <c r="G30" i="93"/>
  <c r="AQ390" i="93" s="1"/>
  <c r="F30" i="93"/>
  <c r="L26" i="93"/>
  <c r="K30" i="93"/>
  <c r="AQ710" i="93" s="1"/>
  <c r="I27" i="93"/>
  <c r="AQ467" i="93" s="1"/>
  <c r="H27" i="93"/>
  <c r="AQ587" i="93" s="1"/>
  <c r="G27" i="93"/>
  <c r="AQ147" i="93" s="1"/>
  <c r="F27" i="93"/>
  <c r="AQ107" i="93" s="1"/>
  <c r="L27" i="93"/>
  <c r="AQ81" i="93"/>
  <c r="AQ161" i="93"/>
  <c r="AQ241" i="93"/>
  <c r="AQ401" i="93"/>
  <c r="AQ561" i="93"/>
  <c r="AQ801" i="93"/>
  <c r="AQ1041" i="93"/>
  <c r="AQ685" i="93"/>
  <c r="AQ925" i="93"/>
  <c r="AQ1165" i="93"/>
  <c r="AQ51" i="93"/>
  <c r="AQ131" i="93"/>
  <c r="AQ211" i="93"/>
  <c r="AQ371" i="93"/>
  <c r="AQ531" i="93"/>
  <c r="AQ771" i="93"/>
  <c r="AQ1011" i="93"/>
  <c r="AQ15" i="93"/>
  <c r="AQ95" i="93"/>
  <c r="AQ175" i="93"/>
  <c r="AQ335" i="93"/>
  <c r="AQ495" i="93"/>
  <c r="AQ735" i="93"/>
  <c r="AQ975" i="93"/>
  <c r="AQ660" i="93"/>
  <c r="AQ900" i="93"/>
  <c r="AQ1140" i="93"/>
  <c r="AQ69" i="93"/>
  <c r="AQ149" i="93"/>
  <c r="AQ229" i="93"/>
  <c r="AQ389" i="93"/>
  <c r="AQ549" i="93"/>
  <c r="AQ789" i="93"/>
  <c r="AQ1029" i="93"/>
  <c r="AQ272" i="93"/>
  <c r="AQ432" i="93"/>
  <c r="AQ592" i="93"/>
  <c r="AQ832" i="93"/>
  <c r="AQ1072" i="93"/>
  <c r="AQ720" i="93"/>
  <c r="AQ960" i="93"/>
  <c r="AQ1200" i="93"/>
  <c r="AQ699" i="93"/>
  <c r="AQ939" i="93"/>
  <c r="AQ1179" i="93"/>
  <c r="AQ667" i="93"/>
  <c r="AQ907" i="93"/>
  <c r="AQ1147" i="93"/>
  <c r="AQ1146" i="93"/>
  <c r="AQ324" i="93"/>
  <c r="AQ484" i="93"/>
  <c r="AQ644" i="93"/>
  <c r="AQ884" i="93"/>
  <c r="AQ1124" i="93"/>
  <c r="AQ284" i="93"/>
  <c r="AQ444" i="93"/>
  <c r="AQ604" i="93"/>
  <c r="AQ844" i="93"/>
  <c r="AQ1084" i="93"/>
  <c r="AQ584" i="93"/>
  <c r="AQ83" i="93"/>
  <c r="AQ163" i="93"/>
  <c r="AQ243" i="93"/>
  <c r="AQ403" i="93"/>
  <c r="AQ563" i="93"/>
  <c r="AQ803" i="93"/>
  <c r="AQ1043" i="93"/>
  <c r="AQ316" i="93"/>
  <c r="AQ476" i="93"/>
  <c r="AQ636" i="93"/>
  <c r="AQ876" i="93"/>
  <c r="AQ1116" i="93"/>
  <c r="AQ446" i="93"/>
  <c r="AQ606" i="93"/>
  <c r="AQ286" i="93"/>
  <c r="AQ846" i="93"/>
  <c r="AQ1086" i="93"/>
  <c r="AQ663" i="93"/>
  <c r="AQ903" i="93"/>
  <c r="AQ1143" i="93"/>
  <c r="AQ18" i="93"/>
  <c r="AQ98" i="93"/>
  <c r="AQ178" i="93"/>
  <c r="AQ338" i="93"/>
  <c r="AQ498" i="93"/>
  <c r="AQ738" i="93"/>
  <c r="AQ978" i="93"/>
  <c r="AQ665" i="93"/>
  <c r="AQ905" i="93"/>
  <c r="AQ1145" i="93"/>
  <c r="AQ277" i="93"/>
  <c r="AQ437" i="93"/>
  <c r="AQ597" i="93"/>
  <c r="AQ837" i="93"/>
  <c r="AQ1077" i="93"/>
  <c r="AQ93" i="93"/>
  <c r="AQ173" i="93"/>
  <c r="AQ253" i="93"/>
  <c r="AQ413" i="93"/>
  <c r="AQ573" i="93"/>
  <c r="AQ813" i="93"/>
  <c r="AQ1053" i="93"/>
  <c r="AQ21" i="93"/>
  <c r="AQ101" i="93"/>
  <c r="AQ181" i="93"/>
  <c r="AQ341" i="93"/>
  <c r="AQ501" i="93"/>
  <c r="AQ741" i="93"/>
  <c r="AQ981" i="93"/>
  <c r="AQ394" i="93"/>
  <c r="AQ554" i="93"/>
  <c r="AQ74" i="93"/>
  <c r="AQ154" i="93"/>
  <c r="AQ234" i="93"/>
  <c r="AQ794" i="93"/>
  <c r="AQ1034" i="93"/>
  <c r="AQ692" i="93"/>
  <c r="AQ932" i="93"/>
  <c r="AQ1172" i="93"/>
  <c r="AQ508" i="93"/>
  <c r="AQ748" i="93"/>
  <c r="AQ60" i="93"/>
  <c r="AQ140" i="93"/>
  <c r="AQ220" i="93"/>
  <c r="AQ380" i="93"/>
  <c r="AQ540" i="93"/>
  <c r="AQ780" i="93"/>
  <c r="AQ1020" i="93"/>
  <c r="AQ715" i="93"/>
  <c r="AQ955" i="93"/>
  <c r="AQ1195" i="93"/>
  <c r="AQ319" i="93"/>
  <c r="AQ479" i="93"/>
  <c r="AQ639" i="93"/>
  <c r="AQ879" i="93"/>
  <c r="AQ1119" i="93"/>
  <c r="AQ681" i="93"/>
  <c r="AQ921" i="93"/>
  <c r="AQ1161" i="93"/>
  <c r="AQ325" i="93"/>
  <c r="AQ485" i="93"/>
  <c r="AQ645" i="93"/>
  <c r="AQ885" i="93"/>
  <c r="AQ1125" i="93"/>
  <c r="AQ669" i="93"/>
  <c r="AQ909" i="93"/>
  <c r="AQ1149" i="93"/>
  <c r="AQ328" i="93"/>
  <c r="AQ488" i="93"/>
  <c r="AQ648" i="93"/>
  <c r="AQ888" i="93"/>
  <c r="AQ1128" i="93"/>
  <c r="AQ299" i="93"/>
  <c r="AQ459" i="93"/>
  <c r="AQ619" i="93"/>
  <c r="AQ859" i="93"/>
  <c r="AQ1099" i="93"/>
  <c r="AQ267" i="93"/>
  <c r="AQ427" i="93"/>
  <c r="AQ1067" i="93"/>
  <c r="AQ426" i="93"/>
  <c r="AQ586" i="93"/>
  <c r="AQ266" i="93"/>
  <c r="AQ826" i="93"/>
  <c r="AQ1066" i="93"/>
  <c r="AQ678" i="93"/>
  <c r="AQ918" i="93"/>
  <c r="AQ1158" i="93"/>
  <c r="AQ296" i="93"/>
  <c r="AQ456" i="93"/>
  <c r="AQ616" i="93"/>
  <c r="AQ856" i="93"/>
  <c r="AQ1096" i="93"/>
  <c r="AQ256" i="93"/>
  <c r="AQ416" i="93"/>
  <c r="AQ576" i="93"/>
  <c r="AQ816" i="93"/>
  <c r="AQ1056" i="93"/>
  <c r="AQ722" i="93"/>
  <c r="AQ962" i="93"/>
  <c r="AQ1202" i="93"/>
  <c r="AQ43" i="93"/>
  <c r="AQ123" i="93"/>
  <c r="AQ203" i="93"/>
  <c r="AQ363" i="93"/>
  <c r="AQ523" i="93"/>
  <c r="AQ763" i="93"/>
  <c r="AQ1003" i="93"/>
  <c r="AQ276" i="93"/>
  <c r="AQ436" i="93"/>
  <c r="AQ596" i="93"/>
  <c r="AQ836" i="93"/>
  <c r="AQ1076" i="93"/>
  <c r="AQ490" i="93"/>
  <c r="AQ330" i="93"/>
  <c r="AQ650" i="93"/>
  <c r="AQ890" i="93"/>
  <c r="AQ1130" i="93"/>
  <c r="AQ366" i="93"/>
  <c r="AQ526" i="93"/>
  <c r="AQ46" i="93"/>
  <c r="AQ126" i="93"/>
  <c r="AQ206" i="93"/>
  <c r="AQ766" i="93"/>
  <c r="AQ1006" i="93"/>
  <c r="AQ263" i="93"/>
  <c r="AQ423" i="93"/>
  <c r="AQ583" i="93"/>
  <c r="AQ823" i="93"/>
  <c r="AQ1063" i="93"/>
  <c r="AQ73" i="93"/>
  <c r="AQ153" i="93"/>
  <c r="AQ233" i="93"/>
  <c r="AQ393" i="93"/>
  <c r="AQ553" i="93"/>
  <c r="AQ793" i="93"/>
  <c r="AQ1033" i="93"/>
  <c r="AQ265" i="93"/>
  <c r="AQ425" i="93"/>
  <c r="AQ585" i="93"/>
  <c r="AQ825" i="93"/>
  <c r="AQ1065" i="93"/>
  <c r="AQ77" i="93"/>
  <c r="AQ157" i="93"/>
  <c r="AQ237" i="93"/>
  <c r="AQ397" i="93"/>
  <c r="AQ557" i="93"/>
  <c r="AQ797" i="93"/>
  <c r="AQ1037" i="93"/>
  <c r="AQ687" i="93"/>
  <c r="AQ927" i="93"/>
  <c r="AQ1167" i="93"/>
  <c r="AQ701" i="93"/>
  <c r="AQ941" i="93"/>
  <c r="AQ1181" i="93"/>
  <c r="AQ310" i="93"/>
  <c r="AQ1110" i="93"/>
  <c r="AQ332" i="93"/>
  <c r="AQ492" i="93"/>
  <c r="AQ652" i="93"/>
  <c r="AQ892" i="93"/>
  <c r="AQ1132" i="93"/>
  <c r="AQ729" i="93"/>
  <c r="AQ969" i="93"/>
  <c r="AQ1209" i="93"/>
  <c r="AQ311" i="93"/>
  <c r="AQ471" i="93"/>
  <c r="AQ631" i="93"/>
  <c r="AQ871" i="93"/>
  <c r="AQ1111" i="93"/>
  <c r="AQ75" i="93"/>
  <c r="AQ155" i="93"/>
  <c r="AQ235" i="93"/>
  <c r="AQ395" i="93"/>
  <c r="AQ555" i="93"/>
  <c r="AQ795" i="93"/>
  <c r="AQ1035" i="93"/>
  <c r="AQ279" i="93"/>
  <c r="AQ439" i="93"/>
  <c r="AQ599" i="93"/>
  <c r="AQ839" i="93"/>
  <c r="AQ1079" i="93"/>
  <c r="AQ79" i="93"/>
  <c r="AQ159" i="93"/>
  <c r="AQ239" i="93"/>
  <c r="AQ399" i="93"/>
  <c r="AQ559" i="93"/>
  <c r="AQ799" i="93"/>
  <c r="AQ1039" i="93"/>
  <c r="AQ281" i="93"/>
  <c r="AQ441" i="93"/>
  <c r="AQ601" i="93"/>
  <c r="AQ841" i="93"/>
  <c r="AQ1081" i="93"/>
  <c r="AQ721" i="93"/>
  <c r="AQ961" i="93"/>
  <c r="AQ1201" i="93"/>
  <c r="AQ85" i="93"/>
  <c r="AQ165" i="93"/>
  <c r="AQ245" i="93"/>
  <c r="AQ405" i="93"/>
  <c r="AQ565" i="93"/>
  <c r="AQ805" i="93"/>
  <c r="AQ1045" i="93"/>
  <c r="AQ45" i="93"/>
  <c r="AQ125" i="93"/>
  <c r="AQ205" i="93"/>
  <c r="AQ365" i="93"/>
  <c r="AQ525" i="93"/>
  <c r="AQ765" i="93"/>
  <c r="AQ1005" i="93"/>
  <c r="AQ691" i="93"/>
  <c r="AQ931" i="93"/>
  <c r="AQ1171" i="93"/>
  <c r="AQ695" i="93"/>
  <c r="AQ935" i="93"/>
  <c r="AQ1175" i="93"/>
  <c r="AQ655" i="93"/>
  <c r="AQ1135" i="93"/>
  <c r="AQ895" i="93"/>
  <c r="AQ694" i="93"/>
  <c r="AQ934" i="93"/>
  <c r="AQ1174" i="93"/>
  <c r="AQ294" i="93"/>
  <c r="AQ454" i="93"/>
  <c r="AQ614" i="93"/>
  <c r="AQ854" i="93"/>
  <c r="AQ1094" i="93"/>
  <c r="AQ20" i="93"/>
  <c r="AQ100" i="93"/>
  <c r="AQ180" i="93"/>
  <c r="AQ340" i="93"/>
  <c r="AQ500" i="93"/>
  <c r="AQ740" i="93"/>
  <c r="AQ980" i="93"/>
  <c r="AQ29" i="93"/>
  <c r="AQ109" i="93"/>
  <c r="AQ189" i="93"/>
  <c r="AQ349" i="93"/>
  <c r="AQ509" i="93"/>
  <c r="AQ749" i="93"/>
  <c r="AQ989" i="93"/>
  <c r="AQ320" i="93"/>
  <c r="AQ480" i="93"/>
  <c r="AQ640" i="93"/>
  <c r="AQ880" i="93"/>
  <c r="AQ1120" i="93"/>
  <c r="AQ280" i="93"/>
  <c r="AQ440" i="93"/>
  <c r="AQ600" i="93"/>
  <c r="AQ840" i="93"/>
  <c r="AQ1080" i="93"/>
  <c r="AQ88" i="93"/>
  <c r="AQ168" i="93"/>
  <c r="AQ248" i="93"/>
  <c r="AQ408" i="93"/>
  <c r="AQ568" i="93"/>
  <c r="AQ808" i="93"/>
  <c r="AQ1048" i="93"/>
  <c r="AQ688" i="93"/>
  <c r="AQ928" i="93"/>
  <c r="AQ1168" i="93"/>
  <c r="AQ59" i="93"/>
  <c r="AQ139" i="93"/>
  <c r="AQ219" i="93"/>
  <c r="AQ379" i="93"/>
  <c r="AQ539" i="93"/>
  <c r="AQ779" i="93"/>
  <c r="AQ1019" i="93"/>
  <c r="AQ19" i="93"/>
  <c r="AQ99" i="93"/>
  <c r="AQ179" i="93"/>
  <c r="AQ339" i="93"/>
  <c r="AQ499" i="93"/>
  <c r="AQ739" i="93"/>
  <c r="AQ979" i="93"/>
  <c r="AQ27" i="93"/>
  <c r="AQ507" i="93"/>
  <c r="AQ66" i="93"/>
  <c r="AQ146" i="93"/>
  <c r="AQ226" i="93"/>
  <c r="AQ386" i="93"/>
  <c r="AQ546" i="93"/>
  <c r="AQ786" i="93"/>
  <c r="AQ1026" i="93"/>
  <c r="AQ506" i="93"/>
  <c r="AQ26" i="93"/>
  <c r="AQ106" i="93"/>
  <c r="AQ186" i="93"/>
  <c r="AQ346" i="93"/>
  <c r="AQ746" i="93"/>
  <c r="AQ986" i="93"/>
  <c r="AQ478" i="93"/>
  <c r="AQ318" i="93"/>
  <c r="AQ638" i="93"/>
  <c r="AQ878" i="93"/>
  <c r="AQ1118" i="93"/>
  <c r="AQ278" i="93"/>
  <c r="AQ438" i="93"/>
  <c r="AQ598" i="93"/>
  <c r="AQ838" i="93"/>
  <c r="AQ1078" i="93"/>
  <c r="AQ724" i="93"/>
  <c r="AQ964" i="93"/>
  <c r="AQ1204" i="93"/>
  <c r="AQ56" i="93"/>
  <c r="AQ136" i="93"/>
  <c r="AQ216" i="93"/>
  <c r="AQ376" i="93"/>
  <c r="AQ536" i="93"/>
  <c r="AQ776" i="93"/>
  <c r="AQ1016" i="93"/>
  <c r="AQ704" i="93"/>
  <c r="AQ944" i="93"/>
  <c r="AQ1184" i="93"/>
  <c r="AQ322" i="93"/>
  <c r="AQ482" i="93"/>
  <c r="AQ642" i="93"/>
  <c r="AQ882" i="93"/>
  <c r="AQ1122" i="93"/>
  <c r="AQ442" i="93"/>
  <c r="AQ602" i="93"/>
  <c r="AQ282" i="93"/>
  <c r="AQ842" i="93"/>
  <c r="AQ1082" i="93"/>
  <c r="AQ723" i="93"/>
  <c r="AQ963" i="93"/>
  <c r="AQ1203" i="93"/>
  <c r="AQ683" i="93"/>
  <c r="AQ923" i="93"/>
  <c r="AQ1163" i="93"/>
  <c r="AQ36" i="93"/>
  <c r="AQ116" i="93"/>
  <c r="AQ196" i="93"/>
  <c r="AQ356" i="93"/>
  <c r="AQ516" i="93"/>
  <c r="AQ756" i="93"/>
  <c r="AQ996" i="93"/>
  <c r="AQ410" i="93"/>
  <c r="AQ570" i="93"/>
  <c r="AQ90" i="93"/>
  <c r="AQ170" i="93"/>
  <c r="AQ250" i="93"/>
  <c r="AQ810" i="93"/>
  <c r="AQ1050" i="93"/>
  <c r="AQ726" i="93"/>
  <c r="AQ966" i="93"/>
  <c r="AQ1206" i="93"/>
  <c r="AQ262" i="93"/>
  <c r="AQ422" i="93"/>
  <c r="AQ582" i="93"/>
  <c r="AQ822" i="93"/>
  <c r="AQ1062" i="93"/>
  <c r="AQ382" i="93"/>
  <c r="AQ542" i="93"/>
  <c r="AQ62" i="93"/>
  <c r="AQ142" i="93"/>
  <c r="AQ222" i="93"/>
  <c r="AQ782" i="93"/>
  <c r="AQ1022" i="93"/>
  <c r="AQ23" i="93"/>
  <c r="AQ103" i="93"/>
  <c r="AQ183" i="93"/>
  <c r="AQ343" i="93"/>
  <c r="AQ503" i="93"/>
  <c r="AQ743" i="93"/>
  <c r="AQ983" i="93"/>
  <c r="AQ698" i="93"/>
  <c r="AQ938" i="93"/>
  <c r="AQ1178" i="93"/>
  <c r="AQ658" i="93"/>
  <c r="AQ898" i="93"/>
  <c r="AQ1138" i="93"/>
  <c r="AQ313" i="93"/>
  <c r="AQ473" i="93"/>
  <c r="AQ633" i="93"/>
  <c r="AQ873" i="93"/>
  <c r="AQ1113" i="93"/>
  <c r="AQ273" i="93"/>
  <c r="AQ433" i="93"/>
  <c r="AQ593" i="93"/>
  <c r="AQ833" i="93"/>
  <c r="AQ1073" i="93"/>
  <c r="AQ25" i="93"/>
  <c r="AQ105" i="93"/>
  <c r="AQ185" i="93"/>
  <c r="AQ345" i="93"/>
  <c r="AQ505" i="93"/>
  <c r="AQ745" i="93"/>
  <c r="AQ985" i="93"/>
  <c r="AQ327" i="93"/>
  <c r="AQ487" i="93"/>
  <c r="AQ647" i="93"/>
  <c r="AQ887" i="93"/>
  <c r="AQ1127" i="93"/>
  <c r="AQ287" i="93"/>
  <c r="AQ447" i="93"/>
  <c r="AQ607" i="93"/>
  <c r="AQ847" i="93"/>
  <c r="AQ1087" i="93"/>
  <c r="AQ733" i="93"/>
  <c r="AQ973" i="93"/>
  <c r="AQ1213" i="93"/>
  <c r="AQ693" i="93"/>
  <c r="AQ933" i="93"/>
  <c r="AQ1173" i="93"/>
  <c r="AQ661" i="93"/>
  <c r="AQ901" i="93"/>
  <c r="AQ1141" i="93"/>
  <c r="AQ301" i="93"/>
  <c r="AQ461" i="93"/>
  <c r="AQ621" i="93"/>
  <c r="AQ861" i="93"/>
  <c r="AQ1101" i="93"/>
  <c r="AQ714" i="93"/>
  <c r="AQ954" i="93"/>
  <c r="AQ1194" i="93"/>
  <c r="AQ674" i="93"/>
  <c r="AQ914" i="93"/>
  <c r="AQ1154" i="93"/>
  <c r="AQ92" i="93"/>
  <c r="AQ172" i="93"/>
  <c r="AQ252" i="93"/>
  <c r="AQ412" i="93"/>
  <c r="AQ572" i="93"/>
  <c r="AQ812" i="93"/>
  <c r="AQ1052" i="93"/>
  <c r="AQ52" i="93"/>
  <c r="AQ132" i="93"/>
  <c r="AQ212" i="93"/>
  <c r="AQ372" i="93"/>
  <c r="AQ532" i="93"/>
  <c r="AQ772" i="93"/>
  <c r="AQ1012" i="93"/>
  <c r="AQ329" i="93"/>
  <c r="AQ489" i="93"/>
  <c r="AQ649" i="93"/>
  <c r="AQ889" i="93"/>
  <c r="AQ1129" i="93"/>
  <c r="AQ289" i="93"/>
  <c r="AQ449" i="93"/>
  <c r="AQ609" i="93"/>
  <c r="AQ849" i="93"/>
  <c r="AQ1089" i="93"/>
  <c r="AQ257" i="93"/>
  <c r="AQ417" i="93"/>
  <c r="AQ577" i="93"/>
  <c r="AQ817" i="93"/>
  <c r="AQ1057" i="93"/>
  <c r="AQ308" i="93"/>
  <c r="AQ468" i="93"/>
  <c r="AQ628" i="93"/>
  <c r="AQ868" i="93"/>
  <c r="AQ1108" i="93"/>
  <c r="AQ71" i="93"/>
  <c r="AQ151" i="93"/>
  <c r="AQ231" i="93"/>
  <c r="AQ391" i="93"/>
  <c r="AQ551" i="93"/>
  <c r="AQ791" i="93"/>
  <c r="AQ1031" i="93"/>
  <c r="AQ31" i="93"/>
  <c r="AQ111" i="93"/>
  <c r="AQ191" i="93"/>
  <c r="AQ351" i="93"/>
  <c r="AQ511" i="93"/>
  <c r="AQ751" i="93"/>
  <c r="AQ991" i="93"/>
  <c r="AQ275" i="93"/>
  <c r="AQ435" i="93"/>
  <c r="AQ595" i="93"/>
  <c r="AQ835" i="93"/>
  <c r="AQ1075" i="93"/>
  <c r="AQ719" i="93"/>
  <c r="AQ959" i="93"/>
  <c r="AQ1199" i="93"/>
  <c r="AQ679" i="93"/>
  <c r="AQ919" i="93"/>
  <c r="AQ1159" i="93"/>
  <c r="AQ725" i="93"/>
  <c r="AQ965" i="93"/>
  <c r="AQ1205" i="93"/>
  <c r="AQ91" i="93"/>
  <c r="AQ171" i="93"/>
  <c r="AQ251" i="93"/>
  <c r="AQ411" i="93"/>
  <c r="AQ571" i="93"/>
  <c r="AQ811" i="93"/>
  <c r="AQ1051" i="93"/>
  <c r="AQ55" i="93"/>
  <c r="AQ135" i="93"/>
  <c r="AQ215" i="93"/>
  <c r="AQ375" i="93"/>
  <c r="AQ535" i="93"/>
  <c r="AQ775" i="93"/>
  <c r="AQ1015" i="93"/>
  <c r="AQ654" i="93"/>
  <c r="AQ894" i="93"/>
  <c r="AQ1134" i="93"/>
  <c r="AQ300" i="93"/>
  <c r="AQ460" i="93"/>
  <c r="AQ620" i="93"/>
  <c r="AQ860" i="93"/>
  <c r="AQ1100" i="93"/>
  <c r="AQ709" i="93"/>
  <c r="AQ949" i="93"/>
  <c r="AQ1189" i="93"/>
  <c r="AQ472" i="93"/>
  <c r="AQ48" i="93"/>
  <c r="AQ128" i="93"/>
  <c r="AQ208" i="93"/>
  <c r="AQ368" i="93"/>
  <c r="AQ528" i="93"/>
  <c r="AQ768" i="93"/>
  <c r="AQ1008" i="93"/>
  <c r="AQ659" i="93"/>
  <c r="AQ1139" i="93"/>
  <c r="AQ899" i="93"/>
  <c r="AQ307" i="93"/>
  <c r="AQ696" i="93"/>
  <c r="AQ936" i="93"/>
  <c r="AQ1176" i="93"/>
  <c r="AQ656" i="93"/>
  <c r="AQ896" i="93"/>
  <c r="AQ1136" i="93"/>
  <c r="AQ64" i="93"/>
  <c r="AQ144" i="93"/>
  <c r="AQ224" i="93"/>
  <c r="AQ384" i="93"/>
  <c r="AQ544" i="93"/>
  <c r="AQ784" i="93"/>
  <c r="AQ1024" i="93"/>
  <c r="AQ283" i="93"/>
  <c r="AQ443" i="93"/>
  <c r="AQ603" i="93"/>
  <c r="AQ843" i="93"/>
  <c r="AQ1083" i="93"/>
  <c r="AQ676" i="93"/>
  <c r="AQ916" i="93"/>
  <c r="AQ1156" i="93"/>
  <c r="AQ730" i="93"/>
  <c r="AQ970" i="93"/>
  <c r="AQ1210" i="93"/>
  <c r="AQ690" i="93"/>
  <c r="AQ930" i="93"/>
  <c r="AQ1170" i="93"/>
  <c r="AQ702" i="93"/>
  <c r="AQ942" i="93"/>
  <c r="AQ1182" i="93"/>
  <c r="AQ303" i="93"/>
  <c r="AQ463" i="93"/>
  <c r="AQ623" i="93"/>
  <c r="AQ863" i="93"/>
  <c r="AQ1103" i="93"/>
  <c r="AQ378" i="93"/>
  <c r="AQ538" i="93"/>
  <c r="AQ58" i="93"/>
  <c r="AQ138" i="93"/>
  <c r="AQ218" i="93"/>
  <c r="AQ778" i="93"/>
  <c r="AQ1018" i="93"/>
  <c r="AQ673" i="93"/>
  <c r="AQ913" i="93"/>
  <c r="AQ1153" i="93"/>
  <c r="AQ305" i="93"/>
  <c r="AQ465" i="93"/>
  <c r="AQ625" i="93"/>
  <c r="AQ865" i="93"/>
  <c r="AQ1105" i="93"/>
  <c r="AQ317" i="93"/>
  <c r="AQ477" i="93"/>
  <c r="AQ637" i="93"/>
  <c r="AQ877" i="93"/>
  <c r="AQ1117" i="93"/>
  <c r="AQ727" i="93"/>
  <c r="AQ967" i="93"/>
  <c r="AQ1207" i="93"/>
  <c r="AQ61" i="93"/>
  <c r="AQ141" i="93"/>
  <c r="AQ221" i="93"/>
  <c r="AQ381" i="93"/>
  <c r="AQ541" i="93"/>
  <c r="AQ781" i="93"/>
  <c r="AQ1021" i="93"/>
  <c r="AQ430" i="93"/>
  <c r="AQ590" i="93"/>
  <c r="AQ270" i="93"/>
  <c r="AQ830" i="93"/>
  <c r="AQ1070" i="93"/>
  <c r="AQ1150" i="93"/>
  <c r="AQ34" i="93"/>
  <c r="AQ114" i="93"/>
  <c r="AQ194" i="93"/>
  <c r="AQ354" i="93"/>
  <c r="AQ514" i="93"/>
  <c r="AQ754" i="93"/>
  <c r="AQ994" i="93"/>
  <c r="AQ49" i="93"/>
  <c r="AQ129" i="93"/>
  <c r="AQ209" i="93"/>
  <c r="AQ369" i="93"/>
  <c r="AQ529" i="93"/>
  <c r="AQ769" i="93"/>
  <c r="AQ1009" i="93"/>
  <c r="AQ697" i="93"/>
  <c r="AQ937" i="93"/>
  <c r="AQ1177" i="93"/>
  <c r="AQ671" i="93"/>
  <c r="AQ911" i="93"/>
  <c r="AQ1151" i="93"/>
  <c r="AQ315" i="93"/>
  <c r="AQ475" i="93"/>
  <c r="AQ635" i="93"/>
  <c r="AQ875" i="93"/>
  <c r="AQ1115" i="93"/>
  <c r="AQ321" i="93"/>
  <c r="AQ481" i="93"/>
  <c r="AQ641" i="93"/>
  <c r="AQ881" i="93"/>
  <c r="AQ1121" i="93"/>
  <c r="AQ285" i="93"/>
  <c r="AQ445" i="93"/>
  <c r="AQ605" i="93"/>
  <c r="AQ845" i="93"/>
  <c r="AQ1085" i="93"/>
  <c r="AQ731" i="93"/>
  <c r="AQ971" i="93"/>
  <c r="AQ1211" i="93"/>
  <c r="AQ54" i="93"/>
  <c r="AQ134" i="93"/>
  <c r="AQ214" i="93"/>
  <c r="AQ374" i="93"/>
  <c r="AQ534" i="93"/>
  <c r="AQ774" i="93"/>
  <c r="AQ1014" i="93"/>
  <c r="AQ260" i="93"/>
  <c r="AQ420" i="93"/>
  <c r="AQ580" i="93"/>
  <c r="AQ820" i="93"/>
  <c r="AQ1060" i="93"/>
  <c r="AQ269" i="93"/>
  <c r="AQ429" i="93"/>
  <c r="AQ589" i="93"/>
  <c r="AQ829" i="93"/>
  <c r="AQ1069" i="93"/>
  <c r="AQ72" i="93"/>
  <c r="AQ152" i="93"/>
  <c r="AQ232" i="93"/>
  <c r="AQ392" i="93"/>
  <c r="AQ552" i="93"/>
  <c r="AQ792" i="93"/>
  <c r="AQ1032" i="93"/>
  <c r="AQ680" i="93"/>
  <c r="AQ920" i="93"/>
  <c r="AQ1160" i="93"/>
  <c r="AQ288" i="93"/>
  <c r="AQ448" i="93"/>
  <c r="AQ608" i="93"/>
  <c r="AQ848" i="93"/>
  <c r="AQ1088" i="93"/>
  <c r="AQ259" i="93"/>
  <c r="AQ419" i="93"/>
  <c r="AQ579" i="93"/>
  <c r="AQ819" i="93"/>
  <c r="AQ1059" i="93"/>
  <c r="AQ67" i="93"/>
  <c r="AQ718" i="93"/>
  <c r="AQ958" i="93"/>
  <c r="AQ1198" i="93"/>
  <c r="AQ84" i="93"/>
  <c r="AQ164" i="93"/>
  <c r="AQ244" i="93"/>
  <c r="AQ404" i="93"/>
  <c r="AQ564" i="93"/>
  <c r="AQ804" i="93"/>
  <c r="AQ1044" i="93"/>
  <c r="AQ44" i="93"/>
  <c r="AQ124" i="93"/>
  <c r="AQ204" i="93"/>
  <c r="AQ364" i="93"/>
  <c r="AQ524" i="93"/>
  <c r="AQ764" i="93"/>
  <c r="AQ1004" i="93"/>
  <c r="AQ184" i="93"/>
  <c r="AQ984" i="93"/>
  <c r="AQ682" i="93"/>
  <c r="AQ922" i="93"/>
  <c r="AQ1162" i="93"/>
  <c r="AQ76" i="93"/>
  <c r="AQ156" i="93"/>
  <c r="AQ236" i="93"/>
  <c r="AQ396" i="93"/>
  <c r="AQ556" i="93"/>
  <c r="AQ796" i="93"/>
  <c r="AQ1036" i="93"/>
  <c r="AQ86" i="93"/>
  <c r="AQ166" i="93"/>
  <c r="AQ246" i="93"/>
  <c r="AQ406" i="93"/>
  <c r="AQ566" i="93"/>
  <c r="AQ806" i="93"/>
  <c r="AQ1046" i="93"/>
  <c r="AQ662" i="93"/>
  <c r="AQ902" i="93"/>
  <c r="AQ1142" i="93"/>
  <c r="AQ462" i="93"/>
  <c r="AQ302" i="93"/>
  <c r="AQ622" i="93"/>
  <c r="AQ862" i="93"/>
  <c r="AQ1102" i="93"/>
  <c r="AQ63" i="93"/>
  <c r="AQ143" i="93"/>
  <c r="AQ223" i="93"/>
  <c r="AQ383" i="93"/>
  <c r="AQ543" i="93"/>
  <c r="AQ783" i="93"/>
  <c r="AQ1023" i="93"/>
  <c r="AQ33" i="93"/>
  <c r="AQ113" i="93"/>
  <c r="AQ193" i="93"/>
  <c r="AQ353" i="93"/>
  <c r="AQ513" i="93"/>
  <c r="AQ753" i="93"/>
  <c r="AQ993" i="93"/>
  <c r="AQ705" i="93"/>
  <c r="AQ945" i="93"/>
  <c r="AQ1185" i="93"/>
  <c r="AQ37" i="93"/>
  <c r="AQ117" i="93"/>
  <c r="AQ197" i="93"/>
  <c r="AQ357" i="93"/>
  <c r="AQ517" i="93"/>
  <c r="AQ757" i="93"/>
  <c r="AQ997" i="93"/>
  <c r="AQ53" i="93"/>
  <c r="AQ133" i="93"/>
  <c r="AQ213" i="93"/>
  <c r="AQ373" i="93"/>
  <c r="AQ533" i="93"/>
  <c r="AQ773" i="93"/>
  <c r="AQ1013" i="93"/>
  <c r="AQ510" i="93"/>
  <c r="AQ30" i="93"/>
  <c r="AQ110" i="93"/>
  <c r="AQ190" i="93"/>
  <c r="AQ350" i="93"/>
  <c r="AQ750" i="93"/>
  <c r="AQ990" i="93"/>
  <c r="AQ274" i="93"/>
  <c r="AQ434" i="93"/>
  <c r="AQ594" i="93"/>
  <c r="AQ834" i="93"/>
  <c r="AQ1074" i="93"/>
  <c r="AQ292" i="93"/>
  <c r="AQ452" i="93"/>
  <c r="AQ612" i="93"/>
  <c r="AQ852" i="93"/>
  <c r="AQ1092" i="93"/>
  <c r="AQ689" i="93"/>
  <c r="AQ929" i="93"/>
  <c r="AQ1169" i="93"/>
  <c r="AQ657" i="93"/>
  <c r="AQ897" i="93"/>
  <c r="AQ1137" i="93"/>
  <c r="AQ297" i="93"/>
  <c r="AQ457" i="93"/>
  <c r="AQ617" i="93"/>
  <c r="AQ857" i="93"/>
  <c r="AQ1097" i="93"/>
  <c r="AQ708" i="93"/>
  <c r="AQ271" i="93"/>
  <c r="AQ431" i="93"/>
  <c r="AQ591" i="93"/>
  <c r="AQ831" i="93"/>
  <c r="AQ1071" i="93"/>
  <c r="AQ35" i="93"/>
  <c r="AQ115" i="93"/>
  <c r="AQ195" i="93"/>
  <c r="AQ355" i="93"/>
  <c r="AQ515" i="93"/>
  <c r="AQ755" i="93"/>
  <c r="AQ995" i="93"/>
  <c r="AQ675" i="93"/>
  <c r="AQ915" i="93"/>
  <c r="AQ1155" i="93"/>
  <c r="AQ39" i="93"/>
  <c r="AQ119" i="93"/>
  <c r="AQ199" i="93"/>
  <c r="AQ359" i="93"/>
  <c r="AQ519" i="93"/>
  <c r="AQ759" i="93"/>
  <c r="AQ999" i="93"/>
  <c r="AQ41" i="93"/>
  <c r="AQ121" i="93"/>
  <c r="AQ201" i="93"/>
  <c r="AQ361" i="93"/>
  <c r="AQ521" i="93"/>
  <c r="AQ761" i="93"/>
  <c r="AQ1001" i="93"/>
  <c r="AQ331" i="93"/>
  <c r="AQ491" i="93"/>
  <c r="AQ651" i="93"/>
  <c r="AQ891" i="93"/>
  <c r="AQ1131" i="93"/>
  <c r="AQ291" i="93"/>
  <c r="AQ451" i="93"/>
  <c r="AQ611" i="93"/>
  <c r="AQ851" i="93"/>
  <c r="AQ1091" i="93"/>
  <c r="AQ295" i="93"/>
  <c r="AQ455" i="93"/>
  <c r="AQ615" i="93"/>
  <c r="AQ855" i="93"/>
  <c r="AQ1095" i="93"/>
  <c r="AQ255" i="93"/>
  <c r="AQ415" i="93"/>
  <c r="AQ575" i="93"/>
  <c r="AQ815" i="93"/>
  <c r="AQ1055" i="93"/>
  <c r="AQ494" i="93"/>
  <c r="AQ94" i="93"/>
  <c r="AQ174" i="93"/>
  <c r="AQ334" i="93"/>
  <c r="AQ734" i="93"/>
  <c r="AQ974" i="93"/>
  <c r="AQ14" i="93"/>
  <c r="AQ414" i="93"/>
  <c r="AQ574" i="93"/>
  <c r="AQ254" i="93"/>
  <c r="AQ814" i="93"/>
  <c r="AQ1054" i="93"/>
  <c r="AQ700" i="93"/>
  <c r="AQ940" i="93"/>
  <c r="AQ1180" i="93"/>
  <c r="AQ309" i="93"/>
  <c r="AQ469" i="93"/>
  <c r="AQ629" i="93"/>
  <c r="AQ869" i="93"/>
  <c r="AQ1109" i="93"/>
  <c r="AQ712" i="93"/>
  <c r="AQ32" i="93"/>
  <c r="AQ80" i="93"/>
  <c r="AQ160" i="93"/>
  <c r="AQ240" i="93"/>
  <c r="AQ400" i="93"/>
  <c r="AQ560" i="93"/>
  <c r="AQ800" i="93"/>
  <c r="AQ1040" i="93"/>
  <c r="AQ40" i="93"/>
  <c r="AQ120" i="93"/>
  <c r="AQ200" i="93"/>
  <c r="AQ360" i="93"/>
  <c r="AQ520" i="93"/>
  <c r="AQ760" i="93"/>
  <c r="AQ1000" i="93"/>
  <c r="AQ728" i="93"/>
  <c r="AQ968" i="93"/>
  <c r="AQ1208" i="93"/>
  <c r="AQ707" i="93"/>
  <c r="AQ947" i="93"/>
  <c r="AQ1187" i="93"/>
  <c r="AQ706" i="93"/>
  <c r="AQ946" i="93"/>
  <c r="AQ1186" i="93"/>
  <c r="AQ398" i="93"/>
  <c r="AQ558" i="93"/>
  <c r="AQ78" i="93"/>
  <c r="AQ158" i="93"/>
  <c r="AQ238" i="93"/>
  <c r="AQ798" i="93"/>
  <c r="AQ1038" i="93"/>
  <c r="AQ38" i="93"/>
  <c r="AQ118" i="93"/>
  <c r="AQ198" i="93"/>
  <c r="AQ358" i="93"/>
  <c r="AQ518" i="93"/>
  <c r="AQ758" i="93"/>
  <c r="AQ998" i="93"/>
  <c r="AQ684" i="93"/>
  <c r="AQ924" i="93"/>
  <c r="AQ1164" i="93"/>
  <c r="AQ16" i="93"/>
  <c r="AQ96" i="93"/>
  <c r="AQ176" i="93"/>
  <c r="AQ336" i="93"/>
  <c r="AQ496" i="93"/>
  <c r="AQ736" i="93"/>
  <c r="AQ976" i="93"/>
  <c r="AQ664" i="93"/>
  <c r="AQ904" i="93"/>
  <c r="AQ1144" i="93"/>
  <c r="AQ304" i="93"/>
  <c r="AQ464" i="93"/>
  <c r="AQ624" i="93"/>
  <c r="AQ864" i="93"/>
  <c r="AQ1104" i="93"/>
  <c r="AQ82" i="93"/>
  <c r="AQ162" i="93"/>
  <c r="AQ242" i="93"/>
  <c r="AQ402" i="93"/>
  <c r="AQ562" i="93"/>
  <c r="AQ802" i="93"/>
  <c r="AQ1042" i="93"/>
  <c r="AQ362" i="93"/>
  <c r="AQ522" i="93"/>
  <c r="AQ42" i="93"/>
  <c r="AQ122" i="93"/>
  <c r="AQ202" i="93"/>
  <c r="AQ762" i="93"/>
  <c r="AQ1002" i="93"/>
  <c r="AQ323" i="93"/>
  <c r="AQ483" i="93"/>
  <c r="AQ643" i="93"/>
  <c r="AQ883" i="93"/>
  <c r="AQ1123" i="93"/>
  <c r="AQ716" i="93"/>
  <c r="AQ956" i="93"/>
  <c r="AQ1196" i="93"/>
  <c r="AQ50" i="93"/>
  <c r="AQ130" i="93"/>
  <c r="AQ210" i="93"/>
  <c r="AQ370" i="93"/>
  <c r="AQ530" i="93"/>
  <c r="AQ770" i="93"/>
  <c r="AQ1010" i="93"/>
  <c r="AQ290" i="93"/>
  <c r="AQ450" i="93"/>
  <c r="AQ610" i="93"/>
  <c r="AQ850" i="93"/>
  <c r="AQ1090" i="93"/>
  <c r="AQ686" i="93"/>
  <c r="AQ926" i="93"/>
  <c r="AQ1166" i="93"/>
  <c r="AQ326" i="93"/>
  <c r="AQ486" i="93"/>
  <c r="AQ646" i="93"/>
  <c r="AQ886" i="93"/>
  <c r="AQ1126" i="93"/>
  <c r="AQ22" i="93"/>
  <c r="AQ102" i="93"/>
  <c r="AQ182" i="93"/>
  <c r="AQ342" i="93"/>
  <c r="AQ502" i="93"/>
  <c r="AQ742" i="93"/>
  <c r="AQ982" i="93"/>
  <c r="AQ703" i="93"/>
  <c r="AQ943" i="93"/>
  <c r="AQ1183" i="93"/>
  <c r="AQ458" i="93"/>
  <c r="AQ298" i="93"/>
  <c r="AQ618" i="93"/>
  <c r="AQ858" i="93"/>
  <c r="AQ1098" i="93"/>
  <c r="AQ258" i="93"/>
  <c r="AQ418" i="93"/>
  <c r="AQ578" i="93"/>
  <c r="AQ818" i="93"/>
  <c r="AQ1058" i="93"/>
  <c r="AQ713" i="93"/>
  <c r="AQ953" i="93"/>
  <c r="AQ1193" i="93"/>
  <c r="AQ65" i="93"/>
  <c r="AQ545" i="93"/>
  <c r="AQ717" i="93"/>
  <c r="AQ957" i="93"/>
  <c r="AQ1197" i="93"/>
  <c r="AQ677" i="93"/>
  <c r="AQ917" i="93"/>
  <c r="AQ1157" i="93"/>
  <c r="AQ87" i="93"/>
  <c r="AQ167" i="93"/>
  <c r="AQ247" i="93"/>
  <c r="AQ407" i="93"/>
  <c r="AQ567" i="93"/>
  <c r="AQ807" i="93"/>
  <c r="AQ1047" i="93"/>
  <c r="AQ47" i="93"/>
  <c r="AQ127" i="93"/>
  <c r="AQ207" i="93"/>
  <c r="AQ367" i="93"/>
  <c r="AQ527" i="93"/>
  <c r="AQ767" i="93"/>
  <c r="AQ1007" i="93"/>
  <c r="AQ333" i="93"/>
  <c r="AQ493" i="93"/>
  <c r="AQ653" i="93"/>
  <c r="AQ893" i="93"/>
  <c r="AQ1133" i="93"/>
  <c r="AQ293" i="93"/>
  <c r="AQ453" i="93"/>
  <c r="AQ613" i="93"/>
  <c r="AQ853" i="93"/>
  <c r="AQ1093" i="93"/>
  <c r="AQ261" i="93"/>
  <c r="AQ421" i="93"/>
  <c r="AQ581" i="93"/>
  <c r="AQ821" i="93"/>
  <c r="AQ1061" i="93"/>
  <c r="AQ474" i="93"/>
  <c r="AQ314" i="93"/>
  <c r="AQ634" i="93"/>
  <c r="AQ874" i="93"/>
  <c r="AQ1114" i="93"/>
  <c r="AQ732" i="93"/>
  <c r="AQ972" i="93"/>
  <c r="AQ1212" i="93"/>
  <c r="AQ89" i="93"/>
  <c r="AQ169" i="93"/>
  <c r="AQ249" i="93"/>
  <c r="AQ409" i="93"/>
  <c r="AQ569" i="93"/>
  <c r="AQ809" i="93"/>
  <c r="AQ1049" i="93"/>
  <c r="AQ57" i="93"/>
  <c r="AQ137" i="93"/>
  <c r="AQ217" i="93"/>
  <c r="AQ377" i="93"/>
  <c r="AQ537" i="93"/>
  <c r="AQ777" i="93"/>
  <c r="AQ1017" i="93"/>
  <c r="AQ17" i="93"/>
  <c r="AQ97" i="93"/>
  <c r="AQ177" i="93"/>
  <c r="AQ337" i="93"/>
  <c r="AQ497" i="93"/>
  <c r="AQ737" i="93"/>
  <c r="AQ977" i="93"/>
  <c r="AQ588" i="93"/>
  <c r="AQ828" i="93"/>
  <c r="AQ68" i="93"/>
  <c r="AQ148" i="93"/>
  <c r="AQ228" i="93"/>
  <c r="AQ388" i="93"/>
  <c r="AQ548" i="93"/>
  <c r="AQ788" i="93"/>
  <c r="AQ1028" i="93"/>
  <c r="AQ711" i="93"/>
  <c r="AQ951" i="93"/>
  <c r="AQ1191" i="93"/>
  <c r="BM22" i="83"/>
  <c r="AQ385" i="93" l="1"/>
  <c r="AQ752" i="93"/>
  <c r="AQ744" i="93"/>
  <c r="AQ104" i="93"/>
  <c r="AQ1025" i="93"/>
  <c r="AQ225" i="93"/>
  <c r="AQ512" i="93"/>
  <c r="AQ504" i="93"/>
  <c r="AQ24" i="93"/>
  <c r="AQ785" i="93"/>
  <c r="AQ112" i="93"/>
  <c r="AQ866" i="93"/>
  <c r="AQ872" i="93"/>
  <c r="AQ28" i="93"/>
  <c r="AQ1064" i="93"/>
  <c r="AQ264" i="93"/>
  <c r="AQ824" i="93"/>
  <c r="AQ108" i="93"/>
  <c r="AQ632" i="93"/>
  <c r="AQ668" i="93"/>
  <c r="AQ1030" i="93"/>
  <c r="AQ1107" i="93"/>
  <c r="AQ1112" i="93"/>
  <c r="AQ230" i="93"/>
  <c r="AQ870" i="93"/>
  <c r="AQ906" i="93"/>
  <c r="AQ428" i="93"/>
  <c r="AQ1192" i="93"/>
  <c r="AQ1188" i="93"/>
  <c r="AQ987" i="93"/>
  <c r="AQ187" i="93"/>
  <c r="AQ630" i="93"/>
  <c r="AQ348" i="93"/>
  <c r="AQ1190" i="93"/>
  <c r="AQ347" i="93"/>
  <c r="AQ950" i="93"/>
  <c r="AQ1068" i="93"/>
  <c r="AQ747" i="93"/>
  <c r="AQ988" i="93"/>
  <c r="AQ352" i="93"/>
  <c r="AQ626" i="93"/>
  <c r="AQ867" i="93"/>
  <c r="AQ790" i="93"/>
  <c r="AQ150" i="93"/>
  <c r="AQ992" i="93"/>
  <c r="AQ466" i="93"/>
  <c r="AQ627" i="93"/>
  <c r="AQ1148" i="93"/>
  <c r="AQ550" i="93"/>
  <c r="AQ70" i="93"/>
  <c r="AQ1106" i="93"/>
  <c r="AQ910" i="93"/>
  <c r="AQ1152" i="93"/>
  <c r="AQ547" i="93"/>
  <c r="AQ912" i="93"/>
  <c r="AQ827" i="93"/>
  <c r="AQ387" i="93"/>
  <c r="AQ1027" i="93"/>
  <c r="AQ227" i="93"/>
  <c r="AQ787" i="93"/>
  <c r="BM23" i="83"/>
  <c r="BM24" i="83" l="1"/>
  <c r="AV15" i="83"/>
  <c r="AY15" i="83" s="1"/>
  <c r="AV11" i="83"/>
  <c r="AS7" i="83"/>
  <c r="AV7" i="83" s="1"/>
  <c r="AY7" i="83" s="1"/>
  <c r="AS8" i="83"/>
  <c r="AV8" i="83" s="1"/>
  <c r="AY8" i="83" s="1"/>
  <c r="AS9" i="83"/>
  <c r="AV9" i="83" s="1"/>
  <c r="AY9" i="83" s="1"/>
  <c r="AS10" i="83"/>
  <c r="AV10" i="83" s="1"/>
  <c r="AY10" i="83" s="1"/>
  <c r="AV12" i="83"/>
  <c r="AY12" i="83" s="1"/>
  <c r="AV13" i="83"/>
  <c r="AY13" i="83" s="1"/>
  <c r="AV14" i="83"/>
  <c r="AY14" i="83" s="1"/>
  <c r="AS16" i="83"/>
  <c r="AV16" i="83" s="1"/>
  <c r="AY16" i="83" s="1"/>
  <c r="AS17" i="83"/>
  <c r="AV17" i="83" s="1"/>
  <c r="AY17" i="83" s="1"/>
  <c r="AS18" i="83"/>
  <c r="AV18" i="83" s="1"/>
  <c r="AY18" i="83" s="1"/>
  <c r="AS19" i="83"/>
  <c r="AV19" i="83" s="1"/>
  <c r="AY19" i="83" s="1"/>
  <c r="AS20" i="83"/>
  <c r="AV20" i="83" s="1"/>
  <c r="AY20" i="83" s="1"/>
  <c r="AS21" i="83"/>
  <c r="AV21" i="83" s="1"/>
  <c r="AY21" i="83" s="1"/>
  <c r="AS22" i="83"/>
  <c r="AV22" i="83" s="1"/>
  <c r="AY22" i="83" s="1"/>
  <c r="AS23" i="83"/>
  <c r="AV23" i="83" s="1"/>
  <c r="AY23" i="83" s="1"/>
  <c r="AS24" i="83"/>
  <c r="AV24" i="83" s="1"/>
  <c r="AY24" i="83" s="1"/>
  <c r="AS25" i="83"/>
  <c r="AV25" i="83" s="1"/>
  <c r="AY25" i="83" s="1"/>
  <c r="AS26" i="83"/>
  <c r="AV26" i="83" s="1"/>
  <c r="AY26" i="83" s="1"/>
  <c r="AS27" i="83"/>
  <c r="AV27" i="83" s="1"/>
  <c r="AY27" i="83" s="1"/>
  <c r="AS28" i="83"/>
  <c r="AV28" i="83" s="1"/>
  <c r="AY28" i="83" s="1"/>
  <c r="AS29" i="83"/>
  <c r="AV29" i="83" s="1"/>
  <c r="AY29" i="83" s="1"/>
  <c r="AS30" i="83"/>
  <c r="AV30" i="83" s="1"/>
  <c r="AY30" i="83" s="1"/>
  <c r="AS31" i="83"/>
  <c r="AV31" i="83" s="1"/>
  <c r="AY31" i="83" s="1"/>
  <c r="AS32" i="83"/>
  <c r="AV32" i="83" s="1"/>
  <c r="AY32" i="83" s="1"/>
  <c r="AS33" i="83"/>
  <c r="AV33" i="83" s="1"/>
  <c r="AY33" i="83" s="1"/>
  <c r="AS34" i="83"/>
  <c r="AV34" i="83" s="1"/>
  <c r="AY34" i="83" s="1"/>
  <c r="AS35" i="83"/>
  <c r="AV35" i="83" s="1"/>
  <c r="AY35" i="83" s="1"/>
  <c r="AS36" i="83"/>
  <c r="AV36" i="83" s="1"/>
  <c r="AY36" i="83" s="1"/>
  <c r="AS37" i="83"/>
  <c r="AV37" i="83" s="1"/>
  <c r="AY37" i="83" s="1"/>
  <c r="AS38" i="83"/>
  <c r="AV38" i="83" s="1"/>
  <c r="AY38" i="83" s="1"/>
  <c r="AS39" i="83"/>
  <c r="AV39" i="83" s="1"/>
  <c r="AY39" i="83" s="1"/>
  <c r="AS40" i="83"/>
  <c r="AV40" i="83" s="1"/>
  <c r="AY40" i="83" s="1"/>
  <c r="AS41" i="83"/>
  <c r="AV41" i="83" s="1"/>
  <c r="AY41" i="83" s="1"/>
  <c r="AS42" i="83"/>
  <c r="AV42" i="83" s="1"/>
  <c r="AY42" i="83" s="1"/>
  <c r="AS43" i="83"/>
  <c r="AV43" i="83" s="1"/>
  <c r="AY43" i="83" s="1"/>
  <c r="AS44" i="83"/>
  <c r="AV44" i="83" s="1"/>
  <c r="AY44" i="83" s="1"/>
  <c r="AS45" i="83"/>
  <c r="AV45" i="83" s="1"/>
  <c r="AY45" i="83" s="1"/>
  <c r="AS46" i="83"/>
  <c r="AV46" i="83" s="1"/>
  <c r="AY46" i="83" s="1"/>
  <c r="AS47" i="83"/>
  <c r="AV47" i="83" s="1"/>
  <c r="AY47" i="83" s="1"/>
  <c r="AS48" i="83"/>
  <c r="AV48" i="83" s="1"/>
  <c r="AY48" i="83" s="1"/>
  <c r="AS49" i="83"/>
  <c r="AV49" i="83" s="1"/>
  <c r="AY49" i="83" s="1"/>
  <c r="AS50" i="83"/>
  <c r="AV50" i="83" s="1"/>
  <c r="AY50" i="83" s="1"/>
  <c r="AS51" i="83"/>
  <c r="AV51" i="83" s="1"/>
  <c r="AY51" i="83" s="1"/>
  <c r="AS52" i="83"/>
  <c r="AV52" i="83" s="1"/>
  <c r="AY52" i="83" s="1"/>
  <c r="AS53" i="83"/>
  <c r="AV53" i="83" s="1"/>
  <c r="AY53" i="83" s="1"/>
  <c r="AS54" i="83"/>
  <c r="AV54" i="83" s="1"/>
  <c r="AY54" i="83" s="1"/>
  <c r="AS55" i="83"/>
  <c r="AS56" i="83"/>
  <c r="AV56" i="83" s="1"/>
  <c r="AY56" i="83" s="1"/>
  <c r="AS57" i="83"/>
  <c r="AV57" i="83" s="1"/>
  <c r="AY57" i="83" s="1"/>
  <c r="AS58" i="83"/>
  <c r="AV58" i="83" s="1"/>
  <c r="AY58" i="83" s="1"/>
  <c r="AS59" i="83"/>
  <c r="AV59" i="83" s="1"/>
  <c r="AY59" i="83" s="1"/>
  <c r="AS60" i="83"/>
  <c r="AV60" i="83" s="1"/>
  <c r="AY60" i="83" s="1"/>
  <c r="AS61" i="83"/>
  <c r="AV61" i="83" s="1"/>
  <c r="AY61" i="83" s="1"/>
  <c r="AS62" i="83"/>
  <c r="AV62" i="83" s="1"/>
  <c r="AY62" i="83" s="1"/>
  <c r="AS63" i="83"/>
  <c r="AV63" i="83" s="1"/>
  <c r="AY63" i="83" s="1"/>
  <c r="AS64" i="83"/>
  <c r="AV64" i="83" s="1"/>
  <c r="AY64" i="83" s="1"/>
  <c r="AS65" i="83"/>
  <c r="AV65" i="83" s="1"/>
  <c r="AY65" i="83" s="1"/>
  <c r="AS66" i="83"/>
  <c r="AV66" i="83" s="1"/>
  <c r="AY66" i="83" s="1"/>
  <c r="AS67" i="83"/>
  <c r="AV67" i="83" s="1"/>
  <c r="AY67" i="83" s="1"/>
  <c r="AS68" i="83"/>
  <c r="AV68" i="83" s="1"/>
  <c r="AY68" i="83" s="1"/>
  <c r="AS69" i="83"/>
  <c r="AV69" i="83" s="1"/>
  <c r="AY69" i="83" s="1"/>
  <c r="AS70" i="83"/>
  <c r="AV70" i="83" s="1"/>
  <c r="AY70" i="83" s="1"/>
  <c r="AS71" i="83"/>
  <c r="AV71" i="83" s="1"/>
  <c r="AY71" i="83" s="1"/>
  <c r="AS72" i="83"/>
  <c r="AV72" i="83" s="1"/>
  <c r="AY72" i="83" s="1"/>
  <c r="AS73" i="83"/>
  <c r="AV73" i="83" s="1"/>
  <c r="AY73" i="83" s="1"/>
  <c r="AS74" i="83"/>
  <c r="AV74" i="83" s="1"/>
  <c r="AY74" i="83" s="1"/>
  <c r="AS75" i="83"/>
  <c r="AV75" i="83" s="1"/>
  <c r="AY75" i="83" s="1"/>
  <c r="AS76" i="83"/>
  <c r="AV76" i="83" s="1"/>
  <c r="AY76" i="83" s="1"/>
  <c r="AS77" i="83"/>
  <c r="AV77" i="83" s="1"/>
  <c r="AY77" i="83" s="1"/>
  <c r="AS78" i="83"/>
  <c r="AV78" i="83" s="1"/>
  <c r="AY78" i="83" s="1"/>
  <c r="AS79" i="83"/>
  <c r="AV79" i="83" s="1"/>
  <c r="AY79" i="83" s="1"/>
  <c r="AS80" i="83"/>
  <c r="AV80" i="83" s="1"/>
  <c r="AY80" i="83" s="1"/>
  <c r="AS81" i="83"/>
  <c r="AV81" i="83" s="1"/>
  <c r="AY81" i="83" s="1"/>
  <c r="AS82" i="83"/>
  <c r="AV82" i="83" s="1"/>
  <c r="AY82" i="83" s="1"/>
  <c r="AS83" i="83"/>
  <c r="AV83" i="83" s="1"/>
  <c r="AY83" i="83" s="1"/>
  <c r="AS84" i="83"/>
  <c r="AV84" i="83" s="1"/>
  <c r="AY84" i="83" s="1"/>
  <c r="AS85" i="83"/>
  <c r="AV85" i="83" s="1"/>
  <c r="AY85" i="83" s="1"/>
  <c r="AS86" i="83"/>
  <c r="AV86" i="83" s="1"/>
  <c r="AY86" i="83" s="1"/>
  <c r="AS87" i="83"/>
  <c r="AV87" i="83" s="1"/>
  <c r="AY87" i="83" s="1"/>
  <c r="AS88" i="83"/>
  <c r="AV88" i="83" s="1"/>
  <c r="AY88" i="83" s="1"/>
  <c r="AS89" i="83"/>
  <c r="AV89" i="83" s="1"/>
  <c r="AY89" i="83" s="1"/>
  <c r="AS90" i="83"/>
  <c r="AV90" i="83" s="1"/>
  <c r="AY90" i="83" s="1"/>
  <c r="AS91" i="83"/>
  <c r="AV91" i="83" s="1"/>
  <c r="AY91" i="83" s="1"/>
  <c r="AS92" i="83"/>
  <c r="AV92" i="83" s="1"/>
  <c r="AY92" i="83" s="1"/>
  <c r="AS93" i="83"/>
  <c r="AV93" i="83" s="1"/>
  <c r="AY93" i="83" s="1"/>
  <c r="AS94" i="83"/>
  <c r="AV94" i="83" s="1"/>
  <c r="AY94" i="83" s="1"/>
  <c r="AS95" i="83"/>
  <c r="AV95" i="83" s="1"/>
  <c r="AY95" i="83" s="1"/>
  <c r="AS96" i="83"/>
  <c r="AV96" i="83" s="1"/>
  <c r="AY96" i="83" s="1"/>
  <c r="AS97" i="83"/>
  <c r="AV97" i="83" s="1"/>
  <c r="AY97" i="83" s="1"/>
  <c r="AS98" i="83"/>
  <c r="AV98" i="83" s="1"/>
  <c r="AY98" i="83" s="1"/>
  <c r="AS99" i="83"/>
  <c r="AV99" i="83" s="1"/>
  <c r="AY99" i="83" s="1"/>
  <c r="AS100" i="83"/>
  <c r="AV100" i="83" s="1"/>
  <c r="AY100" i="83" s="1"/>
  <c r="AS101" i="83"/>
  <c r="AV101" i="83" s="1"/>
  <c r="AY101" i="83" s="1"/>
  <c r="AS102" i="83"/>
  <c r="AV102" i="83" s="1"/>
  <c r="AY102" i="83" s="1"/>
  <c r="AS103" i="83"/>
  <c r="AV103" i="83" s="1"/>
  <c r="AY103" i="83" s="1"/>
  <c r="AS104" i="83"/>
  <c r="AV104" i="83" s="1"/>
  <c r="AY104" i="83" s="1"/>
  <c r="AS105" i="83"/>
  <c r="AV105" i="83" s="1"/>
  <c r="AY105" i="83" s="1"/>
  <c r="AS6" i="83"/>
  <c r="AV6" i="83" s="1"/>
  <c r="AY6" i="83" s="1"/>
  <c r="AV55" i="83" l="1"/>
  <c r="AY55" i="83" s="1"/>
  <c r="BD12" i="83"/>
  <c r="BD16" i="83"/>
  <c r="BD20" i="83"/>
  <c r="BD24" i="83"/>
  <c r="BD28" i="83"/>
  <c r="BD32" i="83"/>
  <c r="BD36" i="83"/>
  <c r="BD40" i="83"/>
  <c r="BD44" i="83"/>
  <c r="BD48" i="83"/>
  <c r="BD52" i="83"/>
  <c r="BD56" i="83"/>
  <c r="BD60" i="83"/>
  <c r="BD64" i="83"/>
  <c r="BD68" i="83"/>
  <c r="BD72" i="83"/>
  <c r="BD76" i="83"/>
  <c r="BD80" i="83"/>
  <c r="BD84" i="83"/>
  <c r="BD88" i="83"/>
  <c r="BD92" i="83"/>
  <c r="BD96" i="83"/>
  <c r="BD100" i="83"/>
  <c r="BD104" i="83"/>
  <c r="BD10" i="83"/>
  <c r="BD18" i="83"/>
  <c r="BD26" i="83"/>
  <c r="BD34" i="83"/>
  <c r="BD42" i="83"/>
  <c r="BD50" i="83"/>
  <c r="BD58" i="83"/>
  <c r="BD66" i="83"/>
  <c r="BD74" i="83"/>
  <c r="BD82" i="83"/>
  <c r="BD90" i="83"/>
  <c r="BD98" i="83"/>
  <c r="BD6" i="83"/>
  <c r="BD7" i="83"/>
  <c r="BD13" i="83"/>
  <c r="BD17" i="83"/>
  <c r="BD21" i="83"/>
  <c r="BD25" i="83"/>
  <c r="BD29" i="83"/>
  <c r="BD33" i="83"/>
  <c r="BD37" i="83"/>
  <c r="BD41" i="83"/>
  <c r="BD45" i="83"/>
  <c r="BD49" i="83"/>
  <c r="BD53" i="83"/>
  <c r="BD57" i="83"/>
  <c r="BD61" i="83"/>
  <c r="BD65" i="83"/>
  <c r="BD69" i="83"/>
  <c r="BD73" i="83"/>
  <c r="BD77" i="83"/>
  <c r="BD81" i="83"/>
  <c r="BD85" i="83"/>
  <c r="BD89" i="83"/>
  <c r="BD93" i="83"/>
  <c r="BD97" i="83"/>
  <c r="BD101" i="83"/>
  <c r="BD105" i="83"/>
  <c r="BD14" i="83"/>
  <c r="BD22" i="83"/>
  <c r="BD30" i="83"/>
  <c r="BD38" i="83"/>
  <c r="BD46" i="83"/>
  <c r="BD54" i="83"/>
  <c r="BD62" i="83"/>
  <c r="BD70" i="83"/>
  <c r="BD78" i="83"/>
  <c r="BD86" i="83"/>
  <c r="BD94" i="83"/>
  <c r="BD102" i="83"/>
  <c r="BD11" i="83"/>
  <c r="BD27" i="83"/>
  <c r="BD43" i="83"/>
  <c r="BD59" i="83"/>
  <c r="BD75" i="83"/>
  <c r="BD91" i="83"/>
  <c r="BD95" i="83"/>
  <c r="BD35" i="83"/>
  <c r="BD67" i="83"/>
  <c r="BD99" i="83"/>
  <c r="BD39" i="83"/>
  <c r="BD71" i="83"/>
  <c r="BD103" i="83"/>
  <c r="BD15" i="83"/>
  <c r="BD31" i="83"/>
  <c r="BD47" i="83"/>
  <c r="BD63" i="83"/>
  <c r="BD79" i="83"/>
  <c r="BD19" i="83"/>
  <c r="BD51" i="83"/>
  <c r="BD83" i="83"/>
  <c r="BD23" i="83"/>
  <c r="BD55" i="83"/>
  <c r="BD87" i="83"/>
  <c r="BM25" i="83"/>
  <c r="AY11" i="83"/>
  <c r="BE15" i="83" s="1"/>
  <c r="BE71" i="83"/>
  <c r="BE87" i="83"/>
  <c r="BC35" i="83"/>
  <c r="BC51" i="83"/>
  <c r="BC83" i="83"/>
  <c r="BC99" i="83"/>
  <c r="BD8" i="83"/>
  <c r="BE24" i="83"/>
  <c r="BE40" i="83"/>
  <c r="BE56" i="83"/>
  <c r="BE88" i="83"/>
  <c r="BE104" i="83"/>
  <c r="BC20" i="83"/>
  <c r="BC36" i="83"/>
  <c r="BC52" i="83"/>
  <c r="BC68" i="83"/>
  <c r="BC84" i="83"/>
  <c r="BC100" i="83"/>
  <c r="BE17" i="83"/>
  <c r="BE33" i="83"/>
  <c r="BE49" i="83"/>
  <c r="BE65" i="83"/>
  <c r="BE81" i="83"/>
  <c r="BE97" i="83"/>
  <c r="BC13" i="83"/>
  <c r="BC29" i="83"/>
  <c r="BC45" i="83"/>
  <c r="BC61" i="83"/>
  <c r="BC77" i="83"/>
  <c r="BC93" i="83"/>
  <c r="BE10" i="83"/>
  <c r="BE26" i="83"/>
  <c r="BE42" i="83"/>
  <c r="BE58" i="83"/>
  <c r="BE74" i="83"/>
  <c r="BE90" i="83"/>
  <c r="BE6" i="83"/>
  <c r="BC22" i="83"/>
  <c r="BC38" i="83"/>
  <c r="BC54" i="83"/>
  <c r="BC70" i="83"/>
  <c r="BC86" i="83"/>
  <c r="BC102" i="83"/>
  <c r="N42" i="81"/>
  <c r="O47" i="81" s="1"/>
  <c r="C2" i="84"/>
  <c r="D7" i="84" s="1"/>
  <c r="D15" i="84" l="1"/>
  <c r="D14" i="84"/>
  <c r="D13" i="84"/>
  <c r="D12" i="84"/>
  <c r="D11" i="84"/>
  <c r="D10" i="84"/>
  <c r="D4" i="84"/>
  <c r="D8" i="84"/>
  <c r="E5" i="84"/>
  <c r="E17" i="84"/>
  <c r="E6" i="84"/>
  <c r="E18" i="84"/>
  <c r="E7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BC19" i="83"/>
  <c r="BE55" i="83"/>
  <c r="BE72" i="83"/>
  <c r="BE8" i="83"/>
  <c r="BC67" i="83"/>
  <c r="BE103" i="83"/>
  <c r="BE39" i="83"/>
  <c r="BE23" i="83"/>
  <c r="BC98" i="83"/>
  <c r="BC50" i="83"/>
  <c r="BC34" i="83"/>
  <c r="BC18" i="83"/>
  <c r="BE102" i="83"/>
  <c r="BE86" i="83"/>
  <c r="BE70" i="83"/>
  <c r="BE54" i="83"/>
  <c r="BE38" i="83"/>
  <c r="BE22" i="83"/>
  <c r="BC6" i="83"/>
  <c r="BC89" i="83"/>
  <c r="BC73" i="83"/>
  <c r="BC57" i="83"/>
  <c r="BC41" i="83"/>
  <c r="BC25" i="83"/>
  <c r="BC9" i="83"/>
  <c r="BE93" i="83"/>
  <c r="BE77" i="83"/>
  <c r="BE61" i="83"/>
  <c r="BE45" i="83"/>
  <c r="BE29" i="83"/>
  <c r="BE13" i="83"/>
  <c r="BC96" i="83"/>
  <c r="BC80" i="83"/>
  <c r="BC64" i="83"/>
  <c r="BC48" i="83"/>
  <c r="BC32" i="83"/>
  <c r="BC16" i="83"/>
  <c r="BE100" i="83"/>
  <c r="BE84" i="83"/>
  <c r="BE68" i="83"/>
  <c r="BE52" i="83"/>
  <c r="BE36" i="83"/>
  <c r="BE20" i="83"/>
  <c r="BC95" i="83"/>
  <c r="BC79" i="83"/>
  <c r="BC63" i="83"/>
  <c r="BC47" i="83"/>
  <c r="BC31" i="83"/>
  <c r="BC15" i="83"/>
  <c r="BE99" i="83"/>
  <c r="BE83" i="83"/>
  <c r="BE67" i="83"/>
  <c r="BE51" i="83"/>
  <c r="BE35" i="83"/>
  <c r="BE19" i="83"/>
  <c r="BC82" i="83"/>
  <c r="BC94" i="83"/>
  <c r="BC78" i="83"/>
  <c r="BC62" i="83"/>
  <c r="BC46" i="83"/>
  <c r="BC30" i="83"/>
  <c r="BC14" i="83"/>
  <c r="BE98" i="83"/>
  <c r="BE82" i="83"/>
  <c r="BE66" i="83"/>
  <c r="BE50" i="83"/>
  <c r="BE34" i="83"/>
  <c r="BE18" i="83"/>
  <c r="BC101" i="83"/>
  <c r="BC85" i="83"/>
  <c r="BC69" i="83"/>
  <c r="BC53" i="83"/>
  <c r="BC37" i="83"/>
  <c r="BC21" i="83"/>
  <c r="BE105" i="83"/>
  <c r="BE89" i="83"/>
  <c r="BE73" i="83"/>
  <c r="BE57" i="83"/>
  <c r="BE41" i="83"/>
  <c r="BE25" i="83"/>
  <c r="BE9" i="83"/>
  <c r="BC92" i="83"/>
  <c r="BC76" i="83"/>
  <c r="BC60" i="83"/>
  <c r="BC44" i="83"/>
  <c r="BC28" i="83"/>
  <c r="BC12" i="83"/>
  <c r="BE96" i="83"/>
  <c r="BE80" i="83"/>
  <c r="BE64" i="83"/>
  <c r="BE48" i="83"/>
  <c r="BE32" i="83"/>
  <c r="BE16" i="83"/>
  <c r="BC105" i="83"/>
  <c r="BC91" i="83"/>
  <c r="BC75" i="83"/>
  <c r="BC59" i="83"/>
  <c r="BC43" i="83"/>
  <c r="BC27" i="83"/>
  <c r="BC11" i="83"/>
  <c r="BE95" i="83"/>
  <c r="BE79" i="83"/>
  <c r="BE63" i="83"/>
  <c r="BE47" i="83"/>
  <c r="BE31" i="83"/>
  <c r="BE11" i="83"/>
  <c r="BC66" i="83"/>
  <c r="BC90" i="83"/>
  <c r="BC74" i="83"/>
  <c r="BC58" i="83"/>
  <c r="BC42" i="83"/>
  <c r="BC26" i="83"/>
  <c r="BC10" i="83"/>
  <c r="BE94" i="83"/>
  <c r="BE78" i="83"/>
  <c r="BE62" i="83"/>
  <c r="BE46" i="83"/>
  <c r="BE30" i="83"/>
  <c r="BE14" i="83"/>
  <c r="BC97" i="83"/>
  <c r="BC81" i="83"/>
  <c r="BC65" i="83"/>
  <c r="BC49" i="83"/>
  <c r="BC33" i="83"/>
  <c r="BC17" i="83"/>
  <c r="BE101" i="83"/>
  <c r="BE85" i="83"/>
  <c r="BE69" i="83"/>
  <c r="BE53" i="83"/>
  <c r="BE37" i="83"/>
  <c r="BE21" i="83"/>
  <c r="BC104" i="83"/>
  <c r="BC88" i="83"/>
  <c r="BC72" i="83"/>
  <c r="BC56" i="83"/>
  <c r="BC40" i="83"/>
  <c r="BC24" i="83"/>
  <c r="BC8" i="83"/>
  <c r="BE92" i="83"/>
  <c r="BE76" i="83"/>
  <c r="BE60" i="83"/>
  <c r="BE44" i="83"/>
  <c r="BE28" i="83"/>
  <c r="BE12" i="83"/>
  <c r="BC103" i="83"/>
  <c r="BC87" i="83"/>
  <c r="BC71" i="83"/>
  <c r="BC55" i="83"/>
  <c r="BC39" i="83"/>
  <c r="BC23" i="83"/>
  <c r="BC7" i="83"/>
  <c r="BE91" i="83"/>
  <c r="BE75" i="83"/>
  <c r="BE59" i="83"/>
  <c r="BE43" i="83"/>
  <c r="BE27" i="83"/>
  <c r="BE7" i="83"/>
  <c r="BM26" i="83"/>
  <c r="BD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P78" i="81" l="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BM3" i="83"/>
  <c r="BM14" i="83" s="1"/>
  <c r="BM27" i="83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BX13" i="83" l="1"/>
  <c r="BX14" i="83" s="1"/>
  <c r="P37" i="81"/>
  <c r="BM28" i="83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BM29" i="83" l="1"/>
  <c r="BM30" i="83" l="1"/>
  <c r="BM31" i="83" l="1"/>
  <c r="BM32" i="83" l="1"/>
  <c r="BM33" i="83" l="1"/>
  <c r="BM34" i="83" l="1"/>
  <c r="BM35" i="83" l="1"/>
  <c r="BM36" i="83" l="1"/>
  <c r="BM37" i="83" l="1"/>
  <c r="BM38" i="83" l="1"/>
  <c r="BM39" i="83" l="1"/>
  <c r="BM40" i="83" l="1"/>
  <c r="BM41" i="83" l="1"/>
  <c r="BM42" i="83" l="1"/>
  <c r="BM43" i="83" l="1"/>
  <c r="BN17" i="83" l="1"/>
  <c r="BN20" i="83" l="1"/>
  <c r="BN19" i="83"/>
  <c r="BN21" i="83"/>
  <c r="BN22" i="83"/>
  <c r="BN23" i="83"/>
  <c r="BN24" i="83"/>
  <c r="BN25" i="83"/>
  <c r="BN26" i="83"/>
  <c r="BN27" i="83"/>
  <c r="BN28" i="83"/>
  <c r="BN29" i="83"/>
  <c r="BN30" i="83"/>
  <c r="BN31" i="83"/>
  <c r="BN32" i="83"/>
  <c r="BN33" i="83"/>
  <c r="BN34" i="83"/>
  <c r="BN35" i="83"/>
  <c r="BN36" i="83"/>
  <c r="BN37" i="83"/>
  <c r="BN38" i="83"/>
  <c r="BN39" i="83"/>
  <c r="BN40" i="83"/>
  <c r="BN41" i="83"/>
  <c r="BN42" i="83"/>
  <c r="BN43" i="83"/>
  <c r="BU34" i="83" l="1"/>
  <c r="BO34" i="83"/>
  <c r="BT34" i="83"/>
  <c r="BR34" i="83"/>
  <c r="BP34" i="83"/>
  <c r="BS34" i="83"/>
  <c r="BQ34" i="83"/>
  <c r="BT26" i="83"/>
  <c r="BO26" i="83"/>
  <c r="BQ26" i="83"/>
  <c r="BP26" i="83"/>
  <c r="BU26" i="83"/>
  <c r="BR26" i="83"/>
  <c r="BS26" i="83"/>
  <c r="BQ41" i="83"/>
  <c r="BO41" i="83"/>
  <c r="BU41" i="83"/>
  <c r="BS41" i="83"/>
  <c r="BR41" i="83"/>
  <c r="BT41" i="83"/>
  <c r="BP41" i="83"/>
  <c r="BP37" i="83"/>
  <c r="BS37" i="83"/>
  <c r="BR37" i="83"/>
  <c r="BO37" i="83"/>
  <c r="BT37" i="83"/>
  <c r="BQ37" i="83"/>
  <c r="BU37" i="83"/>
  <c r="BP33" i="83"/>
  <c r="BS33" i="83"/>
  <c r="BO33" i="83"/>
  <c r="BR33" i="83"/>
  <c r="BU33" i="83"/>
  <c r="BQ33" i="83"/>
  <c r="BT33" i="83"/>
  <c r="BP29" i="83"/>
  <c r="BQ29" i="83"/>
  <c r="BS29" i="83"/>
  <c r="BT29" i="83"/>
  <c r="BU29" i="83"/>
  <c r="BO29" i="83"/>
  <c r="BR29" i="83"/>
  <c r="BP25" i="83"/>
  <c r="BO25" i="83"/>
  <c r="BU25" i="83"/>
  <c r="BQ25" i="83"/>
  <c r="BS25" i="83"/>
  <c r="BR25" i="83"/>
  <c r="BT25" i="83"/>
  <c r="BS21" i="83"/>
  <c r="BU21" i="83"/>
  <c r="BO21" i="83"/>
  <c r="BR21" i="83"/>
  <c r="BP21" i="83"/>
  <c r="BQ21" i="83"/>
  <c r="BT21" i="83"/>
  <c r="BP42" i="83"/>
  <c r="BU42" i="83"/>
  <c r="BQ42" i="83"/>
  <c r="BS42" i="83"/>
  <c r="BO42" i="83"/>
  <c r="BT42" i="83"/>
  <c r="BR42" i="83"/>
  <c r="BR30" i="83"/>
  <c r="BQ30" i="83"/>
  <c r="BU30" i="83"/>
  <c r="BS30" i="83"/>
  <c r="BT30" i="83"/>
  <c r="BP30" i="83"/>
  <c r="BO30" i="83"/>
  <c r="BU40" i="83"/>
  <c r="BR40" i="83"/>
  <c r="BS40" i="83"/>
  <c r="BQ40" i="83"/>
  <c r="BP40" i="83"/>
  <c r="BO40" i="83"/>
  <c r="BT40" i="83"/>
  <c r="BP32" i="83"/>
  <c r="BO32" i="83"/>
  <c r="BQ32" i="83"/>
  <c r="BU32" i="83"/>
  <c r="BS32" i="83"/>
  <c r="BR32" i="83"/>
  <c r="BT32" i="83"/>
  <c r="BU28" i="83"/>
  <c r="BQ28" i="83"/>
  <c r="BR28" i="83"/>
  <c r="BO28" i="83"/>
  <c r="BT28" i="83"/>
  <c r="BP28" i="83"/>
  <c r="BS28" i="83"/>
  <c r="BR24" i="83"/>
  <c r="BO24" i="83"/>
  <c r="BS24" i="83"/>
  <c r="BQ24" i="83"/>
  <c r="BP24" i="83"/>
  <c r="BT24" i="83"/>
  <c r="BU24" i="83"/>
  <c r="BU19" i="83"/>
  <c r="BO19" i="83"/>
  <c r="BQ19" i="83"/>
  <c r="BP19" i="83"/>
  <c r="BS19" i="83"/>
  <c r="BR19" i="83"/>
  <c r="BT19" i="83"/>
  <c r="BS38" i="83"/>
  <c r="BU38" i="83"/>
  <c r="BR38" i="83"/>
  <c r="BT38" i="83"/>
  <c r="BQ38" i="83"/>
  <c r="BP38" i="83"/>
  <c r="BO38" i="83"/>
  <c r="BO22" i="83"/>
  <c r="BT22" i="83"/>
  <c r="BR22" i="83"/>
  <c r="BP22" i="83"/>
  <c r="BQ22" i="83"/>
  <c r="BU22" i="83"/>
  <c r="BS22" i="83"/>
  <c r="BU36" i="83"/>
  <c r="BO36" i="83"/>
  <c r="BP36" i="83"/>
  <c r="BT36" i="83"/>
  <c r="BS36" i="83"/>
  <c r="BQ36" i="83"/>
  <c r="BR36" i="83"/>
  <c r="BN44" i="83"/>
  <c r="BT43" i="83"/>
  <c r="BO43" i="83"/>
  <c r="BP43" i="83"/>
  <c r="BU43" i="83"/>
  <c r="BS43" i="83"/>
  <c r="BQ43" i="83"/>
  <c r="BR43" i="83"/>
  <c r="BQ39" i="83"/>
  <c r="BS39" i="83"/>
  <c r="BP39" i="83"/>
  <c r="BO39" i="83"/>
  <c r="BT39" i="83"/>
  <c r="BR39" i="83"/>
  <c r="BU39" i="83"/>
  <c r="BR35" i="83"/>
  <c r="BQ35" i="83"/>
  <c r="BT35" i="83"/>
  <c r="BU35" i="83"/>
  <c r="BO35" i="83"/>
  <c r="BS35" i="83"/>
  <c r="BP35" i="83"/>
  <c r="BS31" i="83"/>
  <c r="BR31" i="83"/>
  <c r="BQ31" i="83"/>
  <c r="BU31" i="83"/>
  <c r="BO31" i="83"/>
  <c r="BP31" i="83"/>
  <c r="BT31" i="83"/>
  <c r="BT27" i="83"/>
  <c r="BS27" i="83"/>
  <c r="BO27" i="83"/>
  <c r="BR27" i="83"/>
  <c r="BQ27" i="83"/>
  <c r="BP27" i="83"/>
  <c r="BU27" i="83"/>
  <c r="BP23" i="83"/>
  <c r="BU23" i="83"/>
  <c r="BR23" i="83"/>
  <c r="BS23" i="83"/>
  <c r="BQ23" i="83"/>
  <c r="BO23" i="83"/>
  <c r="BT23" i="83"/>
  <c r="BU20" i="83"/>
  <c r="BQ20" i="83"/>
  <c r="BS20" i="83"/>
  <c r="BP20" i="83"/>
  <c r="BO20" i="83"/>
  <c r="BT20" i="83"/>
  <c r="BR20" i="83"/>
  <c r="BN45" i="83" l="1"/>
  <c r="BO44" i="83"/>
  <c r="BU44" i="83"/>
  <c r="BS44" i="83"/>
  <c r="BQ44" i="83"/>
  <c r="BT44" i="83"/>
  <c r="BP44" i="83"/>
  <c r="BR44" i="83"/>
  <c r="BN46" i="83" l="1"/>
  <c r="BS45" i="83"/>
  <c r="BQ45" i="83"/>
  <c r="BU45" i="83"/>
  <c r="BR45" i="83"/>
  <c r="BO45" i="83"/>
  <c r="BP45" i="83"/>
  <c r="BT45" i="83"/>
  <c r="BN47" i="83" l="1"/>
  <c r="BS46" i="83"/>
  <c r="BT46" i="83"/>
  <c r="BQ46" i="83"/>
  <c r="BO46" i="83"/>
  <c r="BP46" i="83"/>
  <c r="BU46" i="83"/>
  <c r="BR46" i="83"/>
  <c r="BN48" i="83" l="1"/>
  <c r="BT47" i="83"/>
  <c r="BR47" i="83"/>
  <c r="BS47" i="83"/>
  <c r="BO47" i="83"/>
  <c r="BU47" i="83"/>
  <c r="BP47" i="83"/>
  <c r="BQ47" i="83"/>
  <c r="BN49" i="83" l="1"/>
  <c r="BR48" i="83"/>
  <c r="BT48" i="83"/>
  <c r="BS48" i="83"/>
  <c r="BQ48" i="83"/>
  <c r="BU48" i="83"/>
  <c r="BO48" i="83"/>
  <c r="BP48" i="83"/>
  <c r="BN50" i="83" l="1"/>
  <c r="BP49" i="83"/>
  <c r="BO49" i="83"/>
  <c r="BS49" i="83"/>
  <c r="BT49" i="83"/>
  <c r="BU49" i="83"/>
  <c r="BR49" i="83"/>
  <c r="BQ49" i="83"/>
  <c r="BN51" i="83" l="1"/>
  <c r="BS50" i="83"/>
  <c r="BO50" i="83"/>
  <c r="BQ50" i="83"/>
  <c r="BR50" i="83"/>
  <c r="BP50" i="83"/>
  <c r="BU50" i="83"/>
  <c r="BT50" i="83"/>
  <c r="BN52" i="83" l="1"/>
  <c r="BS51" i="83"/>
  <c r="BU51" i="83"/>
  <c r="BT51" i="83"/>
  <c r="BP51" i="83"/>
  <c r="BQ51" i="83"/>
  <c r="BO51" i="83"/>
  <c r="BR51" i="83"/>
  <c r="BN53" i="83" l="1"/>
  <c r="BO52" i="83"/>
  <c r="BT52" i="83"/>
  <c r="BR52" i="83"/>
  <c r="BP52" i="83"/>
  <c r="BQ52" i="83"/>
  <c r="BS52" i="83"/>
  <c r="BU52" i="83"/>
  <c r="BN54" i="83" l="1"/>
  <c r="BT53" i="83"/>
  <c r="BQ53" i="83"/>
  <c r="BR53" i="83"/>
  <c r="BO53" i="83"/>
  <c r="BU53" i="83"/>
  <c r="BS53" i="83"/>
  <c r="BP53" i="83"/>
  <c r="BN55" i="83" l="1"/>
  <c r="BQ54" i="83"/>
  <c r="BO54" i="83"/>
  <c r="BT54" i="83"/>
  <c r="BP54" i="83"/>
  <c r="BS54" i="83"/>
  <c r="BR54" i="83"/>
  <c r="BU54" i="83"/>
  <c r="BN56" i="83" l="1"/>
  <c r="BS55" i="83"/>
  <c r="BU55" i="83"/>
  <c r="BO55" i="83"/>
  <c r="BP55" i="83"/>
  <c r="BR55" i="83"/>
  <c r="BQ55" i="83"/>
  <c r="BT55" i="83"/>
  <c r="BN57" i="83" l="1"/>
  <c r="BQ56" i="83"/>
  <c r="BR56" i="83"/>
  <c r="BT56" i="83"/>
  <c r="BP56" i="83"/>
  <c r="BS56" i="83"/>
  <c r="BU56" i="83"/>
  <c r="BO56" i="83"/>
  <c r="BN58" i="83" l="1"/>
  <c r="BR57" i="83"/>
  <c r="BU57" i="83"/>
  <c r="BP57" i="83"/>
  <c r="BQ57" i="83"/>
  <c r="BS57" i="83"/>
  <c r="BO57" i="83"/>
  <c r="BT57" i="83"/>
  <c r="BT58" i="83" l="1"/>
  <c r="BP58" i="83"/>
  <c r="BQ58" i="83"/>
  <c r="BU58" i="83"/>
  <c r="BO58" i="83"/>
  <c r="BS58" i="83"/>
  <c r="BR58" i="83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<sst xmlns="http://schemas.openxmlformats.org/spreadsheetml/2006/main" count="7626" uniqueCount="662">
  <si>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</si>
  <si>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</si>
  <si>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</si>
  <si>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</si>
  <si>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</si>
  <si>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</si>
  <si>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</si>
  <si>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</si>
  <si>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</si>
  <si>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</si>
  <si>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</si>
  <si>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</si>
  <si>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</si>
  <si>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</si>
  <si>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</si>
  <si>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</si>
  <si>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</si>
  <si>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</si>
  <si>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</si>
  <si>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</si>
  <si>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</si>
  <si>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</si>
  <si>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</si>
  <si>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</si>
  <si>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</si>
  <si>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</si>
  <si>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</si>
  <si>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</si>
  <si>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</si>
  <si>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</si>
  <si>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</si>
  <si>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</si>
  <si>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</si>
  <si>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</si>
  <si>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</si>
  <si>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</si>
  <si>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</si>
  <si>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</si>
  <si>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</si>
  <si>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</si>
  <si>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普通</t>
    <phoneticPr fontId="2" type="noConversion"/>
  </si>
  <si>
    <t>困难</t>
    <phoneticPr fontId="2" type="noConversion"/>
  </si>
  <si>
    <t>芦花古楼</t>
  </si>
  <si>
    <t>通关第一章，挂机1~4扫荡1小时</t>
    <phoneticPr fontId="2" type="noConversion"/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</si>
  <si>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</si>
  <si>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</si>
  <si>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</si>
  <si>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</si>
  <si>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</si>
  <si>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</si>
  <si>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</si>
  <si>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</si>
  <si>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通关第二章。
通关困难第一章。
芦花-风过4关。
挂机2-8扫荡2小时。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</si>
  <si>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</si>
  <si>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</si>
  <si>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</si>
  <si>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</si>
  <si>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</si>
  <si>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</si>
  <si>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</si>
  <si>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</si>
  <si>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</si>
  <si>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</si>
  <si>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</si>
  <si>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</si>
  <si>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</si>
  <si>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</si>
  <si>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</si>
  <si>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</si>
  <si>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</si>
  <si>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</si>
  <si>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</si>
  <si>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</si>
  <si>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</si>
  <si>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</si>
  <si>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</si>
  <si>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</si>
  <si>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</si>
  <si>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</si>
  <si>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</si>
  <si>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通关第3章8关。
通关困难第2章
芦花-风过7关。
挂机3-7扫荡5小时。</t>
    <phoneticPr fontId="2" type="noConversion"/>
  </si>
  <si>
    <t>通关第3章15关。
芦花-风过10关。
芦花-花5关
挂机3-15扫荡12小时。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</si>
  <si>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</si>
  <si>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</si>
  <si>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</si>
  <si>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</si>
  <si>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</si>
  <si>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</si>
  <si>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</si>
  <si>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</si>
  <si>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</si>
  <si>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</si>
  <si>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</si>
  <si>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</si>
  <si>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</si>
  <si>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</si>
  <si>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芦花币.F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</si>
  <si>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</si>
  <si>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</si>
  <si>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</si>
  <si>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</si>
  <si>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</si>
  <si>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</si>
  <si>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</si>
  <si>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</si>
  <si>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</si>
  <si>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升级消耗</t>
    <phoneticPr fontId="2" type="noConversion"/>
  </si>
  <si>
    <t>购买消耗</t>
    <phoneticPr fontId="2" type="noConversion"/>
  </si>
  <si>
    <t>碎片数量</t>
    <phoneticPr fontId="2" type="noConversion"/>
  </si>
  <si>
    <t>神器1</t>
    <phoneticPr fontId="2" type="noConversion"/>
  </si>
  <si>
    <t>升级总数</t>
    <phoneticPr fontId="2" type="noConversion"/>
  </si>
  <si>
    <t>强化</t>
    <phoneticPr fontId="2" type="noConversion"/>
  </si>
  <si>
    <t>买碎片</t>
    <phoneticPr fontId="2" type="noConversion"/>
  </si>
  <si>
    <t>买神器</t>
    <phoneticPr fontId="2" type="noConversion"/>
  </si>
  <si>
    <t>强化消耗</t>
    <phoneticPr fontId="2" type="noConversion"/>
  </si>
  <si>
    <t>权重</t>
    <phoneticPr fontId="2" type="noConversion"/>
  </si>
  <si>
    <t>等差</t>
    <phoneticPr fontId="2" type="noConversion"/>
  </si>
  <si>
    <t>等比</t>
    <phoneticPr fontId="2" type="noConversion"/>
  </si>
  <si>
    <t>占比</t>
    <phoneticPr fontId="2" type="noConversion"/>
  </si>
  <si>
    <t>购买总数</t>
    <phoneticPr fontId="2" type="noConversion"/>
  </si>
  <si>
    <t>碎片单价</t>
    <phoneticPr fontId="2" type="noConversion"/>
  </si>
  <si>
    <t>碎片需求</t>
    <phoneticPr fontId="2" type="noConversion"/>
  </si>
  <si>
    <t>等级</t>
    <phoneticPr fontId="2" type="noConversion"/>
  </si>
  <si>
    <t>碎片数</t>
    <phoneticPr fontId="2" type="noConversion"/>
  </si>
  <si>
    <t>神器消耗</t>
    <phoneticPr fontId="2" type="noConversion"/>
  </si>
  <si>
    <t>购买占比</t>
    <phoneticPr fontId="2" type="noConversion"/>
  </si>
  <si>
    <t>芦花购买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</si>
  <si>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</si>
  <si>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</si>
  <si>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</si>
  <si>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</si>
  <si>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</si>
  <si>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</si>
  <si>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</si>
  <si>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</si>
  <si>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</si>
  <si>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</si>
  <si>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</si>
  <si>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</si>
  <si>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</si>
  <si>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</si>
  <si>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</si>
  <si>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</si>
  <si>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</si>
  <si>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</si>
  <si>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</si>
  <si>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</si>
  <si>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</si>
  <si>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</si>
  <si>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</si>
  <si>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</si>
  <si>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</si>
  <si>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</si>
  <si>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</si>
  <si>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</si>
  <si>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</si>
  <si>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</si>
  <si>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</si>
  <si>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</si>
  <si>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</si>
  <si>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</si>
  <si>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</si>
  <si>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</si>
  <si>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</si>
  <si>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</si>
  <si>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</si>
  <si>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</si>
  <si>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</si>
  <si>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</si>
  <si>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</si>
  <si>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</si>
  <si>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</si>
  <si>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</si>
  <si>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</si>
  <si>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</si>
  <si>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</si>
  <si>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</si>
  <si>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</si>
  <si>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</si>
  <si>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</si>
  <si>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</si>
  <si>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</si>
  <si>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</si>
  <si>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</si>
  <si>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</si>
  <si>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</si>
  <si>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</si>
  <si>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</si>
  <si>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</si>
  <si>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</si>
  <si>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</si>
  <si>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</si>
  <si>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</si>
  <si>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</si>
  <si>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</si>
  <si>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</si>
  <si>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</si>
  <si>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</si>
  <si>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</si>
  <si>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</si>
  <si>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</si>
  <si>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</si>
  <si>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</si>
  <si>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</si>
  <si>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</si>
  <si>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</si>
  <si>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</si>
  <si>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</si>
  <si>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</si>
  <si>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</si>
  <si>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</si>
  <si>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</si>
  <si>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</si>
  <si>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</si>
  <si>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</si>
  <si>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</si>
  <si>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</si>
  <si>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</si>
  <si>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</si>
  <si>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</si>
  <si>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</si>
  <si>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</si>
  <si>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</si>
  <si>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</si>
  <si>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</si>
  <si>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</si>
  <si>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</si>
  <si>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</si>
  <si>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</si>
  <si>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</si>
  <si>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等活</t>
  </si>
  <si>
    <t>上限等级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</si>
  <si>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</si>
  <si>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</si>
  <si>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</si>
  <si>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</si>
  <si>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</si>
  <si>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</si>
  <si>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</si>
  <si>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</si>
  <si>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</si>
  <si>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</si>
  <si>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</si>
  <si>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</si>
  <si>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</si>
  <si>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</si>
  <si>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</si>
  <si>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</si>
  <si>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</si>
  <si>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</si>
  <si>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</si>
  <si>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</si>
  <si>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</si>
  <si>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</si>
  <si>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</si>
  <si>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</si>
  <si>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</si>
  <si>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</si>
  <si>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</si>
  <si>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</si>
  <si>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</si>
  <si>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</si>
  <si>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</si>
  <si>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</si>
  <si>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</si>
  <si>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</si>
  <si>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</si>
  <si>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</si>
  <si>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</si>
  <si>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</si>
  <si>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</si>
  <si>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</si>
  <si>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</si>
  <si>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</si>
  <si>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</si>
  <si>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</si>
  <si>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</si>
  <si>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</si>
  <si>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</si>
  <si>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</si>
  <si>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</si>
  <si>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</si>
  <si>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</si>
  <si>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</si>
  <si>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</si>
  <si>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</si>
  <si>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</si>
  <si>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</si>
  <si>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</si>
  <si>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</si>
  <si>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</si>
  <si>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</si>
  <si>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</si>
  <si>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</si>
  <si>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</si>
  <si>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</si>
  <si>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</si>
  <si>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</si>
  <si>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</si>
  <si>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</si>
  <si>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</si>
  <si>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</si>
  <si>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</si>
  <si>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</si>
  <si>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</si>
  <si>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</si>
  <si>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</si>
  <si>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</si>
  <si>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</si>
  <si>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</si>
  <si>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</si>
  <si>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</si>
  <si>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</si>
  <si>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</si>
  <si>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</si>
  <si>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</si>
  <si>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</si>
  <si>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</si>
  <si>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</si>
  <si>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</si>
  <si>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</si>
  <si>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</si>
  <si>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</si>
  <si>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</si>
  <si>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</si>
  <si>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</si>
  <si>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</si>
  <si>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</si>
  <si>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</si>
  <si>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</si>
  <si>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</si>
  <si>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</si>
  <si>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</si>
  <si>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</si>
  <si>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</si>
  <si>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</si>
  <si>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</si>
  <si>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</si>
  <si>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</si>
  <si>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</si>
  <si>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</si>
  <si>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</si>
  <si>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</si>
  <si>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</si>
  <si>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</si>
  <si>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</si>
  <si>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</si>
  <si>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</si>
  <si>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</si>
  <si>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</si>
  <si>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</si>
  <si>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平民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</si>
  <si>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</si>
  <si>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</si>
  <si>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</si>
  <si>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</si>
  <si>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</si>
  <si>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</si>
  <si>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</si>
  <si>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</si>
  <si>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</si>
  <si>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</si>
  <si>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升星消耗</t>
    <phoneticPr fontId="2" type="noConversion"/>
  </si>
  <si>
    <t>专属武器强化</t>
    <phoneticPr fontId="2" type="noConversion"/>
  </si>
  <si>
    <t>专属武器解封</t>
    <phoneticPr fontId="2" type="noConversion"/>
  </si>
  <si>
    <t>初级神器1-1</t>
    <phoneticPr fontId="2" type="noConversion"/>
  </si>
  <si>
    <t>初级神器1-2</t>
  </si>
  <si>
    <t>初级神器2-1</t>
    <phoneticPr fontId="2" type="noConversion"/>
  </si>
  <si>
    <t>初级神器2-2</t>
  </si>
  <si>
    <t>中级神器3-1</t>
    <phoneticPr fontId="2" type="noConversion"/>
  </si>
  <si>
    <t>中级神器3-2</t>
  </si>
  <si>
    <t>中级神器3-3</t>
  </si>
  <si>
    <t>中级神器3-4</t>
  </si>
  <si>
    <t>中级神器4-1</t>
    <phoneticPr fontId="2" type="noConversion"/>
  </si>
  <si>
    <t>中级神器4-2</t>
  </si>
  <si>
    <t>中级神器4-3</t>
  </si>
  <si>
    <t>中级神器4-4</t>
  </si>
  <si>
    <t>高级神器5-1</t>
    <phoneticPr fontId="2" type="noConversion"/>
  </si>
  <si>
    <t>高级神器5-2</t>
  </si>
  <si>
    <t>高级神器5-3</t>
  </si>
  <si>
    <t>高级神器5-4</t>
  </si>
  <si>
    <t>高级神器5-5</t>
  </si>
  <si>
    <t>高级神器5-6</t>
  </si>
  <si>
    <t>高级神器6-1</t>
    <phoneticPr fontId="2" type="noConversion"/>
  </si>
  <si>
    <t>高级神器6-2</t>
    <phoneticPr fontId="2" type="noConversion"/>
  </si>
  <si>
    <t>高级神器6-3</t>
    <phoneticPr fontId="2" type="noConversion"/>
  </si>
  <si>
    <t>高级神器6-4</t>
    <phoneticPr fontId="2" type="noConversion"/>
  </si>
  <si>
    <t>高级神器6-5</t>
    <phoneticPr fontId="2" type="noConversion"/>
  </si>
  <si>
    <t>高级神器6-6</t>
    <phoneticPr fontId="2" type="noConversion"/>
  </si>
  <si>
    <t>高级神器7-1</t>
    <phoneticPr fontId="2" type="noConversion"/>
  </si>
  <si>
    <t>高级神器7-2</t>
    <phoneticPr fontId="2" type="noConversion"/>
  </si>
  <si>
    <t>高级神器7-3</t>
    <phoneticPr fontId="2" type="noConversion"/>
  </si>
  <si>
    <t>高级神器7-4</t>
    <phoneticPr fontId="2" type="noConversion"/>
  </si>
  <si>
    <t>高级神器7-5</t>
    <phoneticPr fontId="2" type="noConversion"/>
  </si>
  <si>
    <t>高级神器7-6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</si>
  <si>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</si>
  <si>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</si>
  <si>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</si>
  <si>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</si>
  <si>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</si>
  <si>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</si>
  <si>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</si>
  <si>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</si>
  <si>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</si>
  <si>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</si>
  <si>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</si>
  <si>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</si>
  <si>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</si>
  <si>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</si>
  <si>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</si>
  <si>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</si>
  <si>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</si>
  <si>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</si>
  <si>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</si>
  <si>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</si>
  <si>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</si>
  <si>
    <t>坑</t>
    <phoneticPr fontId="2" type="noConversion"/>
  </si>
  <si>
    <t>培养数量</t>
    <phoneticPr fontId="2" type="noConversion"/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</si>
  <si>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</si>
  <si>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</si>
  <si>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</si>
  <si>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</si>
  <si>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</si>
  <si>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</si>
  <si>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</si>
  <si>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</si>
  <si>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神器3</t>
    <phoneticPr fontId="2" type="noConversion"/>
  </si>
  <si>
    <t>神器4</t>
    <phoneticPr fontId="2" type="noConversion"/>
  </si>
  <si>
    <t>神器5,6,7。随机无56</t>
    <phoneticPr fontId="2" type="noConversion"/>
  </si>
  <si>
    <t>神器5，5,6出1</t>
    <phoneticPr fontId="2" type="noConversion"/>
  </si>
  <si>
    <t>神器6，5,6出1</t>
    <phoneticPr fontId="2" type="noConversion"/>
  </si>
  <si>
    <t>神器7，5,6出1</t>
    <phoneticPr fontId="2" type="noConversion"/>
  </si>
  <si>
    <t>神器3出4~12</t>
    <phoneticPr fontId="2" type="noConversion"/>
  </si>
  <si>
    <t>神器4出4~12</t>
    <phoneticPr fontId="2" type="noConversion"/>
  </si>
  <si>
    <t>神器5,6,7，全随,2~4，56出1~2</t>
    <phoneticPr fontId="2" type="noConversion"/>
  </si>
  <si>
    <t>神器5,6,7，普通,3~7，56出2~4</t>
    <phoneticPr fontId="2" type="noConversion"/>
  </si>
  <si>
    <t>神器5,6,7，普通,4~8，56出2~5</t>
    <phoneticPr fontId="2" type="noConversion"/>
  </si>
  <si>
    <t>神器5,6,7，普通,5~10，56出2~6</t>
    <phoneticPr fontId="2" type="noConversion"/>
  </si>
  <si>
    <t>神器5,6,7，普通,6~12，56出3~6</t>
    <phoneticPr fontId="2" type="noConversion"/>
  </si>
  <si>
    <t>神器5,6,7，普通,7~15，56出3~7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</si>
  <si>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</si>
  <si>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</si>
  <si>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</si>
  <si>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</si>
  <si>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</si>
  <si>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</si>
  <si>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</si>
  <si>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</si>
  <si>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</si>
  <si>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</si>
  <si>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</si>
  <si>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</si>
  <si>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</si>
  <si>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</si>
  <si>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</si>
  <si>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</si>
  <si>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</si>
  <si>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</si>
  <si>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</si>
  <si>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</si>
  <si>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</si>
  <si>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</si>
  <si>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</si>
  <si>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</si>
  <si>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</si>
  <si>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</si>
  <si>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</si>
  <si>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</si>
  <si>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</si>
  <si>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</si>
  <si>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</si>
  <si>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</si>
  <si>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</si>
  <si>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</si>
  <si>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</si>
  <si>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</si>
  <si>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</si>
  <si>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</si>
  <si>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</si>
  <si>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</si>
  <si>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</si>
  <si>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</si>
  <si>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</si>
  <si>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</si>
  <si>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</si>
  <si>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</si>
  <si>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</si>
  <si>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</si>
  <si>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</si>
  <si>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</si>
  <si>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</si>
  <si>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</si>
  <si>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</si>
  <si>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</si>
  <si>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</si>
  <si>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</si>
  <si>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</si>
  <si>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</si>
  <si>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</si>
  <si>
    <t>Group</t>
    <phoneticPr fontId="2" type="noConversion"/>
  </si>
  <si>
    <t>Item.type</t>
  </si>
  <si>
    <t>Item.numMin</t>
  </si>
  <si>
    <t>Item.numMax</t>
  </si>
  <si>
    <t>Weight</t>
  </si>
  <si>
    <t>LuckyId</t>
  </si>
  <si>
    <t>#note</t>
    <phoneticPr fontId="2" type="noConversion"/>
  </si>
  <si>
    <t>地煞一:神器掉落</t>
  </si>
  <si>
    <t>地煞一:通用掉落</t>
  </si>
  <si>
    <t>Item.id</t>
    <phoneticPr fontId="2" type="noConversion"/>
  </si>
  <si>
    <t>中级神器1配件1</t>
    <phoneticPr fontId="2" type="noConversion"/>
  </si>
  <si>
    <t>中级神器1配件2</t>
    <phoneticPr fontId="2" type="noConversion"/>
  </si>
  <si>
    <t>初级强化石</t>
    <phoneticPr fontId="2" type="noConversion"/>
  </si>
  <si>
    <t>金币</t>
    <phoneticPr fontId="2" type="noConversion"/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</si>
  <si>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</si>
  <si>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</si>
  <si>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</si>
  <si>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</si>
  <si>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</si>
  <si>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</si>
  <si>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</si>
  <si>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</si>
  <si>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</si>
  <si>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</si>
  <si>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</si>
  <si>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</si>
  <si>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</si>
  <si>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</si>
  <si>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</si>
  <si>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</si>
  <si>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</si>
  <si>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</si>
  <si>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</si>
  <si>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</si>
  <si>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</si>
  <si>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</si>
  <si>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</si>
  <si>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</si>
  <si>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</si>
  <si>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</si>
  <si>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金币</t>
    <phoneticPr fontId="2" type="noConversion"/>
  </si>
  <si>
    <t>芦花币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</si>
  <si>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</si>
  <si>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</si>
  <si>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</si>
  <si>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</si>
  <si>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</si>
  <si>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</si>
  <si>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</si>
  <si>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</si>
  <si>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</si>
  <si>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</si>
  <si>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</si>
  <si>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</si>
  <si>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</si>
  <si>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</si>
  <si>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</si>
  <si>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</si>
  <si>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</si>
  <si>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</si>
  <si>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</si>
  <si>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</si>
  <si>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</si>
  <si>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</si>
  <si>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</si>
  <si>
    <t>等级段</t>
    <phoneticPr fontId="2" type="noConversion"/>
  </si>
  <si>
    <t>金币</t>
    <phoneticPr fontId="2" type="noConversion"/>
  </si>
  <si>
    <t>等级</t>
    <phoneticPr fontId="2" type="noConversion"/>
  </si>
  <si>
    <t>等级段</t>
    <phoneticPr fontId="2" type="noConversion"/>
  </si>
  <si>
    <t>神器</t>
    <phoneticPr fontId="2" type="noConversion"/>
  </si>
  <si>
    <t>碎片系数</t>
    <phoneticPr fontId="2" type="noConversion"/>
  </si>
  <si>
    <t>sum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</si>
  <si>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</si>
  <si>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</si>
  <si>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</si>
  <si>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SUM</t>
    <phoneticPr fontId="2" type="noConversion"/>
  </si>
  <si>
    <t>神器1</t>
    <phoneticPr fontId="2" type="noConversion"/>
  </si>
  <si>
    <t>备注</t>
    <phoneticPr fontId="2" type="noConversion"/>
  </si>
  <si>
    <t>消耗道具ID1</t>
    <phoneticPr fontId="2" type="noConversion"/>
  </si>
  <si>
    <t>消耗道具数量1</t>
    <phoneticPr fontId="2" type="noConversion"/>
  </si>
  <si>
    <t>消耗道具ID2</t>
  </si>
  <si>
    <t>消耗道具数量2</t>
  </si>
  <si>
    <t>神器碎片ID</t>
    <phoneticPr fontId="2" type="noConversion"/>
  </si>
  <si>
    <t>神器ID</t>
    <phoneticPr fontId="2" type="noConversion"/>
  </si>
  <si>
    <t>Loc</t>
    <phoneticPr fontId="2" type="noConversion"/>
  </si>
  <si>
    <t>备注</t>
    <phoneticPr fontId="2" type="noConversion"/>
  </si>
  <si>
    <t>两仪剑鞘</t>
  </si>
  <si>
    <t>剑结</t>
  </si>
  <si>
    <t>护木</t>
  </si>
  <si>
    <t>爪刃</t>
  </si>
  <si>
    <t>绦带</t>
  </si>
  <si>
    <t>文饰</t>
  </si>
  <si>
    <t>骨圈</t>
  </si>
  <si>
    <t>玉结</t>
  </si>
  <si>
    <t>指虎</t>
  </si>
  <si>
    <t>手镖</t>
  </si>
  <si>
    <t>雷钻</t>
  </si>
  <si>
    <t>臂刃</t>
  </si>
  <si>
    <t>鬼王咒</t>
  </si>
  <si>
    <t>虎獠</t>
  </si>
  <si>
    <t>阎王炮</t>
  </si>
  <si>
    <t>狱火锤</t>
  </si>
  <si>
    <t>魔骨</t>
  </si>
  <si>
    <t>封魔匣</t>
  </si>
  <si>
    <t>龙雀刀鞘</t>
  </si>
  <si>
    <t>雀环</t>
  </si>
  <si>
    <t>龙印</t>
  </si>
  <si>
    <t>上古篆文</t>
  </si>
  <si>
    <t>吸魂石</t>
  </si>
  <si>
    <t>卷云链</t>
  </si>
  <si>
    <t>毁灭毒素</t>
  </si>
  <si>
    <t>阿波普之鞘</t>
  </si>
  <si>
    <t>翼骨</t>
  </si>
  <si>
    <t>冥神刻印</t>
  </si>
  <si>
    <t>灼热磨沙</t>
  </si>
  <si>
    <t>禁纹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</si>
  <si>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</si>
  <si>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</si>
  <si>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</si>
  <si>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</si>
  <si>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</si>
  <si>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</si>
  <si>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</si>
  <si>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</si>
  <si>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</si>
  <si>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</si>
  <si>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</si>
  <si>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高级神器1配件1</t>
  </si>
  <si>
    <t>高级神器1配件2</t>
  </si>
  <si>
    <t>高级神器1配件3</t>
  </si>
  <si>
    <t>高级神器1配件4</t>
  </si>
  <si>
    <t>高级神器1配件5</t>
  </si>
  <si>
    <t>高级神器1配件6</t>
  </si>
  <si>
    <t>高级神器2配件1</t>
  </si>
  <si>
    <t>高级神器2配件2</t>
  </si>
  <si>
    <t>高级神器2配件3</t>
  </si>
  <si>
    <t>高级神器2配件4</t>
  </si>
  <si>
    <t>高级神器2配件5</t>
  </si>
  <si>
    <t>高级神器2配件6</t>
  </si>
  <si>
    <t>高级神器3配件1</t>
  </si>
  <si>
    <t>高级神器3配件2</t>
  </si>
  <si>
    <t>高级神器3配件3</t>
  </si>
  <si>
    <t>高级神器3配件4</t>
  </si>
  <si>
    <t>高级神器3配件5</t>
  </si>
  <si>
    <t>高级神器3配件6</t>
  </si>
  <si>
    <t>初级神器1配件1</t>
    <phoneticPr fontId="2" type="noConversion"/>
  </si>
  <si>
    <t>Lvs</t>
  </si>
  <si>
    <t>神器Loc</t>
    <phoneticPr fontId="2" type="noConversion"/>
  </si>
  <si>
    <t>神器低级材料</t>
  </si>
  <si>
    <t>初强.E</t>
    <phoneticPr fontId="2" type="noConversion"/>
  </si>
  <si>
    <t>强化材料</t>
    <phoneticPr fontId="2" type="noConversion"/>
  </si>
  <si>
    <t>强化时间</t>
    <phoneticPr fontId="2" type="noConversion"/>
  </si>
  <si>
    <t>比例</t>
    <phoneticPr fontId="2" type="noConversion"/>
  </si>
  <si>
    <t>消耗道具ID3</t>
    <phoneticPr fontId="2" type="noConversion"/>
  </si>
  <si>
    <t>消耗道具数量3</t>
    <phoneticPr fontId="2" type="noConversion"/>
  </si>
  <si>
    <t>神器低级材料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</si>
  <si>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</si>
  <si>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</si>
  <si>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</si>
  <si>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</si>
  <si>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登录</t>
  </si>
  <si>
    <t>使用1次牧守令</t>
  </si>
  <si>
    <t>恶灵入侵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</si>
</sst>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02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71" t="s">
        <v>13</v>
      </c>
      <c r="C2" s="72"/>
      <c r="D2" s="72"/>
      <c r="E2" s="73"/>
    </row>
    <row r="3" spans="2:5" ht="35.1" customHeight="1" x14ac:dyDescent="0.2">
      <c r="B3" s="2" t="s">
        <v>0</v>
      </c>
      <c r="C3" s="3" t="s">
        <v>11</v>
      </c>
      <c r="D3" s="74" t="s">
        <v>1</v>
      </c>
      <c r="E3" s="76" t="s">
        <v>14</v>
      </c>
    </row>
    <row r="4" spans="2:5" ht="35.1" customHeight="1" x14ac:dyDescent="0.2">
      <c r="B4" s="2" t="s">
        <v>2</v>
      </c>
      <c r="C4" s="3" t="s">
        <v>12</v>
      </c>
      <c r="D4" s="75"/>
      <c r="E4" s="77"/>
    </row>
    <row r="5" spans="2:5" ht="35.1" customHeight="1" x14ac:dyDescent="0.2">
      <c r="B5" s="4" t="s">
        <v>3</v>
      </c>
      <c r="C5" s="78" t="s">
        <v>15</v>
      </c>
      <c r="D5" s="79"/>
      <c r="E5" s="80"/>
    </row>
    <row r="6" spans="2:5" ht="18" x14ac:dyDescent="0.2">
      <c r="B6" s="81" t="s">
        <v>4</v>
      </c>
      <c r="C6" s="82"/>
      <c r="D6" s="82"/>
      <c r="E6" s="83"/>
    </row>
    <row r="7" spans="2:5" ht="18" x14ac:dyDescent="0.2">
      <c r="B7" s="5" t="s">
        <v>5</v>
      </c>
      <c r="C7" s="6" t="s">
        <v>6</v>
      </c>
      <c r="D7" s="69" t="s">
        <v>7</v>
      </c>
      <c r="E7" s="70"/>
    </row>
    <row r="8" spans="2:5" x14ac:dyDescent="0.2">
      <c r="B8" s="7">
        <v>43490</v>
      </c>
      <c r="C8" s="8" t="s">
        <v>10</v>
      </c>
      <c r="D8" s="64" t="s">
        <v>8</v>
      </c>
      <c r="E8" s="65"/>
    </row>
    <row r="9" spans="2:5" x14ac:dyDescent="0.2">
      <c r="B9" s="7"/>
      <c r="C9" s="8"/>
      <c r="D9" s="64"/>
      <c r="E9" s="65"/>
    </row>
    <row r="10" spans="2:5" x14ac:dyDescent="0.2">
      <c r="B10" s="9"/>
      <c r="C10" s="8"/>
      <c r="D10" s="64"/>
      <c r="E10" s="65"/>
    </row>
    <row r="11" spans="2:5" x14ac:dyDescent="0.2">
      <c r="B11" s="9"/>
      <c r="C11" s="8"/>
      <c r="D11" s="64"/>
      <c r="E11" s="65"/>
    </row>
    <row r="12" spans="2:5" x14ac:dyDescent="0.2">
      <c r="B12" s="9"/>
      <c r="C12" s="8"/>
      <c r="D12" s="64"/>
      <c r="E12" s="65"/>
    </row>
    <row r="13" spans="2:5" x14ac:dyDescent="0.2">
      <c r="B13" s="9"/>
      <c r="C13" s="8"/>
      <c r="D13" s="64"/>
      <c r="E13" s="65"/>
    </row>
    <row r="14" spans="2:5" x14ac:dyDescent="0.2">
      <c r="B14" s="9"/>
      <c r="C14" s="8"/>
      <c r="D14" s="64"/>
      <c r="E14" s="65"/>
    </row>
    <row r="15" spans="2:5" x14ac:dyDescent="0.2">
      <c r="B15" s="9"/>
      <c r="C15" s="8"/>
      <c r="D15" s="64"/>
      <c r="E15" s="65"/>
    </row>
    <row r="16" spans="2:5" x14ac:dyDescent="0.2">
      <c r="B16" s="9"/>
      <c r="C16" s="8"/>
      <c r="D16" s="64"/>
      <c r="E16" s="65"/>
    </row>
    <row r="17" spans="2:5" x14ac:dyDescent="0.2">
      <c r="B17" s="9"/>
      <c r="C17" s="8"/>
      <c r="D17" s="64"/>
      <c r="E17" s="65"/>
    </row>
    <row r="18" spans="2:5" x14ac:dyDescent="0.2">
      <c r="B18" s="9"/>
      <c r="C18" s="8"/>
      <c r="D18" s="64"/>
      <c r="E18" s="65"/>
    </row>
    <row r="19" spans="2:5" x14ac:dyDescent="0.2">
      <c r="B19" s="9"/>
      <c r="C19" s="8"/>
      <c r="D19" s="64"/>
      <c r="E19" s="65"/>
    </row>
    <row r="20" spans="2:5" x14ac:dyDescent="0.2">
      <c r="B20" s="9"/>
      <c r="C20" s="8"/>
      <c r="D20" s="64"/>
      <c r="E20" s="65"/>
    </row>
    <row r="21" spans="2:5" x14ac:dyDescent="0.2">
      <c r="B21" s="9"/>
      <c r="C21" s="8"/>
      <c r="D21" s="64"/>
      <c r="E21" s="65"/>
    </row>
    <row r="22" spans="2:5" x14ac:dyDescent="0.2">
      <c r="B22" s="9"/>
      <c r="C22" s="8"/>
      <c r="D22" s="64"/>
      <c r="E22" s="65"/>
    </row>
    <row r="23" spans="2:5" x14ac:dyDescent="0.2">
      <c r="B23" s="9"/>
      <c r="C23" s="8"/>
      <c r="D23" s="64"/>
      <c r="E23" s="65"/>
    </row>
    <row r="24" spans="2:5" x14ac:dyDescent="0.2">
      <c r="B24" s="9"/>
      <c r="C24" s="8"/>
      <c r="D24" s="64"/>
      <c r="E24" s="65"/>
    </row>
    <row r="25" spans="2:5" x14ac:dyDescent="0.2">
      <c r="B25" s="9"/>
      <c r="C25" s="8"/>
      <c r="D25" s="64"/>
      <c r="E25" s="65"/>
    </row>
    <row r="26" spans="2:5" x14ac:dyDescent="0.2">
      <c r="B26" s="9"/>
      <c r="C26" s="8"/>
      <c r="D26" s="64"/>
      <c r="E26" s="65"/>
    </row>
    <row r="27" spans="2:5" x14ac:dyDescent="0.2">
      <c r="B27" s="9"/>
      <c r="C27" s="8"/>
      <c r="D27" s="64"/>
      <c r="E27" s="65"/>
    </row>
    <row r="28" spans="2:5" ht="18" thickBot="1" x14ac:dyDescent="0.25">
      <c r="B28" s="10"/>
      <c r="C28" s="11"/>
      <c r="D28" s="66"/>
      <c r="E28" s="67"/>
    </row>
    <row r="30" spans="2:5" x14ac:dyDescent="0.2">
      <c r="B30" s="68" t="s">
        <v>9</v>
      </c>
      <c r="C30" s="68"/>
      <c r="D30" s="68"/>
      <c r="E30" s="68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workbookViewId="0">
      <selection activeCell="D35" sqref="D35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4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</cols>
  <sheetData>
    <row r="1" spans="1:40" ht="16.5" x14ac:dyDescent="0.2">
      <c r="R1" s="28" t="s">
        <v>253</v>
      </c>
      <c r="S1" s="29">
        <v>3</v>
      </c>
      <c r="T1" s="16"/>
    </row>
    <row r="2" spans="1:40" ht="16.5" x14ac:dyDescent="0.2">
      <c r="A2" s="28" t="s">
        <v>251</v>
      </c>
      <c r="B2" s="29">
        <v>1</v>
      </c>
    </row>
    <row r="3" spans="1:40" ht="20.25" x14ac:dyDescent="0.2">
      <c r="A3" s="84" t="s">
        <v>165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R3" s="84" t="s">
        <v>243</v>
      </c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</row>
    <row r="4" spans="1:40" ht="17.25" x14ac:dyDescent="0.2">
      <c r="A4" s="16"/>
      <c r="B4" s="16"/>
      <c r="C4" s="16"/>
      <c r="D4" s="16"/>
      <c r="E4" s="28" t="s">
        <v>239</v>
      </c>
      <c r="F4" s="29">
        <v>1</v>
      </c>
      <c r="G4" s="29">
        <v>0.5</v>
      </c>
      <c r="H4" s="29">
        <v>0.2</v>
      </c>
      <c r="I4" s="29">
        <v>0.1</v>
      </c>
      <c r="J4" s="29">
        <v>0.05</v>
      </c>
      <c r="K4" s="29">
        <v>0.5</v>
      </c>
      <c r="L4" s="29">
        <v>0.2</v>
      </c>
      <c r="M4" s="29">
        <v>0.1</v>
      </c>
      <c r="N4" s="29">
        <v>0.1</v>
      </c>
      <c r="O4" s="35">
        <v>1</v>
      </c>
      <c r="P4" s="35">
        <v>1</v>
      </c>
      <c r="R4" s="12" t="s">
        <v>219</v>
      </c>
      <c r="S4" s="12" t="s">
        <v>220</v>
      </c>
      <c r="T4" s="12" t="s">
        <v>252</v>
      </c>
      <c r="U4" s="12" t="s">
        <v>229</v>
      </c>
      <c r="V4" s="12" t="s">
        <v>231</v>
      </c>
      <c r="W4" s="12" t="s">
        <v>221</v>
      </c>
      <c r="X4" s="12" t="s">
        <v>222</v>
      </c>
      <c r="Y4" s="12" t="s">
        <v>223</v>
      </c>
      <c r="Z4" s="12" t="s">
        <v>224</v>
      </c>
      <c r="AA4" s="12" t="s">
        <v>241</v>
      </c>
      <c r="AB4" s="12" t="s">
        <v>225</v>
      </c>
      <c r="AC4" s="12" t="s">
        <v>226</v>
      </c>
      <c r="AD4" s="12" t="s">
        <v>227</v>
      </c>
      <c r="AE4" s="12" t="s">
        <v>228</v>
      </c>
      <c r="AJ4" s="12" t="s">
        <v>281</v>
      </c>
      <c r="AK4" s="12" t="s">
        <v>282</v>
      </c>
      <c r="AL4" s="12" t="s">
        <v>283</v>
      </c>
      <c r="AM4" s="12" t="s">
        <v>284</v>
      </c>
      <c r="AN4" s="12" t="s">
        <v>262</v>
      </c>
    </row>
    <row r="5" spans="1:40" ht="16.5" x14ac:dyDescent="0.2">
      <c r="A5" s="16"/>
      <c r="B5" s="16"/>
      <c r="C5" s="16"/>
      <c r="D5" s="16"/>
      <c r="E5" s="28" t="s">
        <v>240</v>
      </c>
      <c r="F5" s="29">
        <v>6</v>
      </c>
      <c r="G5" s="29">
        <v>6</v>
      </c>
      <c r="H5" s="29">
        <v>6</v>
      </c>
      <c r="I5" s="29">
        <v>6</v>
      </c>
      <c r="J5" s="29">
        <v>6</v>
      </c>
      <c r="K5" s="29">
        <v>20</v>
      </c>
      <c r="L5" s="29">
        <v>20</v>
      </c>
      <c r="M5" s="29">
        <v>20</v>
      </c>
      <c r="N5" s="29">
        <v>60</v>
      </c>
      <c r="O5" s="35">
        <v>1</v>
      </c>
      <c r="P5" s="35">
        <v>1</v>
      </c>
      <c r="R5" s="29">
        <v>1</v>
      </c>
      <c r="S5" s="29" t="s">
        <v>230</v>
      </c>
      <c r="T5" s="56">
        <v>3</v>
      </c>
      <c r="U5" s="29">
        <v>5</v>
      </c>
      <c r="V5" s="29">
        <v>15</v>
      </c>
      <c r="W5" s="20">
        <v>0.1</v>
      </c>
      <c r="X5" s="29"/>
      <c r="Y5" s="29"/>
      <c r="Z5" s="29"/>
      <c r="AA5" s="29"/>
      <c r="AB5" s="29"/>
      <c r="AC5" s="29"/>
      <c r="AD5" s="29"/>
      <c r="AE5" s="29"/>
      <c r="AJ5" s="15">
        <f>金币总产!L24</f>
        <v>82741</v>
      </c>
      <c r="AK5" s="20">
        <v>0.1</v>
      </c>
      <c r="AL5" s="15">
        <f>INT(AJ$5*AK5)</f>
        <v>8274</v>
      </c>
      <c r="AM5" s="35">
        <v>1</v>
      </c>
      <c r="AN5" s="15">
        <f>INT(AL5/AM5/$S$1/500)*500</f>
        <v>2500</v>
      </c>
    </row>
    <row r="6" spans="1:40" ht="17.25" x14ac:dyDescent="0.2">
      <c r="A6" s="12" t="s">
        <v>195</v>
      </c>
      <c r="B6" s="12" t="s">
        <v>245</v>
      </c>
      <c r="C6" s="12" t="s">
        <v>244</v>
      </c>
      <c r="D6" s="12" t="s">
        <v>130</v>
      </c>
      <c r="E6" s="12" t="s">
        <v>218</v>
      </c>
      <c r="F6" s="12" t="s">
        <v>211</v>
      </c>
      <c r="G6" s="12" t="s">
        <v>212</v>
      </c>
      <c r="H6" s="12" t="s">
        <v>213</v>
      </c>
      <c r="I6" s="12" t="s">
        <v>214</v>
      </c>
      <c r="J6" s="12" t="s">
        <v>242</v>
      </c>
      <c r="K6" s="12" t="s">
        <v>17</v>
      </c>
      <c r="L6" s="12" t="s">
        <v>18</v>
      </c>
      <c r="M6" s="12" t="s">
        <v>215</v>
      </c>
      <c r="N6" s="12" t="s">
        <v>217</v>
      </c>
      <c r="O6" s="12" t="s">
        <v>264</v>
      </c>
      <c r="P6" s="12" t="s">
        <v>263</v>
      </c>
      <c r="R6" s="29">
        <v>2</v>
      </c>
      <c r="S6" s="29" t="s">
        <v>232</v>
      </c>
      <c r="T6" s="56">
        <v>3</v>
      </c>
      <c r="U6" s="29">
        <v>15</v>
      </c>
      <c r="V6" s="29">
        <v>30</v>
      </c>
      <c r="W6" s="20">
        <v>0.3</v>
      </c>
      <c r="X6" s="29"/>
      <c r="Y6" s="29"/>
      <c r="Z6" s="29"/>
      <c r="AA6" s="29"/>
      <c r="AB6" s="29"/>
      <c r="AC6" s="29"/>
      <c r="AD6" s="29"/>
      <c r="AE6" s="29"/>
      <c r="AK6" s="20">
        <v>0.3</v>
      </c>
      <c r="AL6" s="15">
        <f t="shared" ref="AL6:AL7" si="0">INT(AJ$5*AK6)</f>
        <v>24822</v>
      </c>
      <c r="AM6" s="35">
        <v>1</v>
      </c>
      <c r="AN6" s="15">
        <f t="shared" ref="AN6:AN24" si="1">INT(AL6/AM6/$S$1/500)*500</f>
        <v>8000</v>
      </c>
    </row>
    <row r="7" spans="1:40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5">
        <f>章节关卡!H5</f>
        <v>10</v>
      </c>
      <c r="P7" s="15">
        <f>章节关卡!E5</f>
        <v>4</v>
      </c>
      <c r="R7" s="29">
        <v>3</v>
      </c>
      <c r="S7" s="29" t="s">
        <v>232</v>
      </c>
      <c r="T7" s="56">
        <v>3</v>
      </c>
      <c r="U7" s="29">
        <v>30</v>
      </c>
      <c r="V7" s="29">
        <v>40</v>
      </c>
      <c r="W7" s="20">
        <v>0.6</v>
      </c>
      <c r="X7" s="29"/>
      <c r="Y7" s="29"/>
      <c r="Z7" s="29"/>
      <c r="AA7" s="29"/>
      <c r="AB7" s="20">
        <v>0.1</v>
      </c>
      <c r="AC7" s="29"/>
      <c r="AD7" s="29"/>
      <c r="AE7" s="29"/>
      <c r="AK7" s="20">
        <v>0.6</v>
      </c>
      <c r="AL7" s="15">
        <f t="shared" si="0"/>
        <v>49644</v>
      </c>
      <c r="AM7" s="35">
        <v>1</v>
      </c>
      <c r="AN7" s="15">
        <f t="shared" si="1"/>
        <v>16500</v>
      </c>
    </row>
    <row r="8" spans="1:40" ht="16.5" x14ac:dyDescent="0.2">
      <c r="A8" s="29">
        <v>1</v>
      </c>
      <c r="B8" s="29">
        <v>4</v>
      </c>
      <c r="C8" s="29">
        <v>1</v>
      </c>
      <c r="D8" s="15">
        <f>节奏总表!R5</f>
        <v>7.0000000000000007E-2</v>
      </c>
      <c r="E8" s="15">
        <f>节奏总表!L5*60</f>
        <v>240</v>
      </c>
      <c r="F8" s="20">
        <v>0.25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5">
        <f>章节关卡!H6</f>
        <v>25</v>
      </c>
      <c r="P8" s="15">
        <f>章节关卡!E6</f>
        <v>10</v>
      </c>
      <c r="R8" s="29">
        <v>4</v>
      </c>
      <c r="S8" s="29" t="s">
        <v>233</v>
      </c>
      <c r="T8" s="56">
        <v>3</v>
      </c>
      <c r="U8" s="29">
        <v>40</v>
      </c>
      <c r="V8" s="29">
        <v>50</v>
      </c>
      <c r="W8" s="29"/>
      <c r="X8" s="20">
        <v>0.1</v>
      </c>
      <c r="Y8" s="29"/>
      <c r="Z8" s="29"/>
      <c r="AA8" s="29"/>
      <c r="AB8" s="20">
        <v>0.15</v>
      </c>
      <c r="AC8" s="29"/>
      <c r="AD8" s="29"/>
      <c r="AE8" s="29"/>
      <c r="AJ8" s="15">
        <f>金币总产!L25</f>
        <v>1017652</v>
      </c>
      <c r="AK8" s="20">
        <v>0.1</v>
      </c>
      <c r="AL8" s="15">
        <f>INT(AJ$8*AK8)</f>
        <v>101765</v>
      </c>
      <c r="AM8" s="35">
        <v>1.5</v>
      </c>
      <c r="AN8" s="15">
        <f t="shared" si="1"/>
        <v>22500</v>
      </c>
    </row>
    <row r="9" spans="1:40" ht="16.5" x14ac:dyDescent="0.2">
      <c r="A9" s="29">
        <v>2</v>
      </c>
      <c r="B9" s="29">
        <v>8</v>
      </c>
      <c r="C9" s="29">
        <v>1</v>
      </c>
      <c r="D9" s="15">
        <f>节奏总表!R5</f>
        <v>7.0000000000000007E-2</v>
      </c>
      <c r="E9" s="15">
        <f>节奏总表!L5*60</f>
        <v>240</v>
      </c>
      <c r="F9" s="20">
        <v>0.5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5">
        <f>章节关卡!H7</f>
        <v>42</v>
      </c>
      <c r="P9" s="15">
        <f>章节关卡!E7</f>
        <v>15</v>
      </c>
      <c r="R9" s="29">
        <v>5</v>
      </c>
      <c r="S9" s="29" t="s">
        <v>233</v>
      </c>
      <c r="T9" s="56">
        <v>3</v>
      </c>
      <c r="U9" s="29">
        <v>50</v>
      </c>
      <c r="V9" s="29">
        <v>60</v>
      </c>
      <c r="W9" s="29"/>
      <c r="X9" s="20">
        <v>0.2</v>
      </c>
      <c r="Y9" s="29"/>
      <c r="Z9" s="29"/>
      <c r="AA9" s="29"/>
      <c r="AB9" s="20">
        <v>0.2</v>
      </c>
      <c r="AC9" s="29"/>
      <c r="AD9" s="29"/>
      <c r="AE9" s="29"/>
      <c r="AK9" s="20">
        <v>0.25</v>
      </c>
      <c r="AL9" s="15">
        <f t="shared" ref="AL9:AL11" si="2">INT(AJ$8*AK9)</f>
        <v>254413</v>
      </c>
      <c r="AM9" s="35">
        <v>1.6</v>
      </c>
      <c r="AN9" s="15">
        <f t="shared" si="1"/>
        <v>53000</v>
      </c>
    </row>
    <row r="10" spans="1:40" ht="16.5" x14ac:dyDescent="0.2">
      <c r="A10" s="29">
        <v>3</v>
      </c>
      <c r="B10" s="29">
        <v>9</v>
      </c>
      <c r="C10" s="29">
        <v>1</v>
      </c>
      <c r="D10" s="15">
        <f>节奏总表!R6</f>
        <v>0.30000000000000004</v>
      </c>
      <c r="E10" s="15">
        <f>节奏总表!L6*60</f>
        <v>720</v>
      </c>
      <c r="F10" s="20">
        <v>0.75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5">
        <f>章节关卡!H8</f>
        <v>70</v>
      </c>
      <c r="P10" s="15">
        <f>章节关卡!E8</f>
        <v>20</v>
      </c>
      <c r="R10" s="29">
        <v>6</v>
      </c>
      <c r="S10" s="29" t="s">
        <v>234</v>
      </c>
      <c r="T10" s="56">
        <v>3</v>
      </c>
      <c r="U10" s="29">
        <v>60</v>
      </c>
      <c r="V10" s="29">
        <v>70</v>
      </c>
      <c r="W10" s="29"/>
      <c r="X10" s="20">
        <v>0.3</v>
      </c>
      <c r="Y10" s="29"/>
      <c r="Z10" s="29"/>
      <c r="AA10" s="29"/>
      <c r="AB10" s="20">
        <v>0.25</v>
      </c>
      <c r="AC10" s="29"/>
      <c r="AD10" s="29"/>
      <c r="AE10" s="29"/>
      <c r="AK10" s="20">
        <v>0.3</v>
      </c>
      <c r="AL10" s="15">
        <f t="shared" si="2"/>
        <v>305295</v>
      </c>
      <c r="AM10" s="35">
        <v>1.7</v>
      </c>
      <c r="AN10" s="15">
        <f t="shared" si="1"/>
        <v>59500</v>
      </c>
    </row>
    <row r="11" spans="1:40" ht="16.5" x14ac:dyDescent="0.2">
      <c r="A11" s="29">
        <v>4</v>
      </c>
      <c r="B11" s="29">
        <v>9</v>
      </c>
      <c r="C11" s="29">
        <v>1</v>
      </c>
      <c r="D11" s="15">
        <f>节奏总表!R7</f>
        <v>0.6</v>
      </c>
      <c r="E11" s="15">
        <f>节奏总表!L7*60</f>
        <v>1440</v>
      </c>
      <c r="F11" s="20">
        <v>1</v>
      </c>
      <c r="G11" s="20">
        <v>0.25</v>
      </c>
      <c r="H11" s="20">
        <v>0</v>
      </c>
      <c r="I11" s="20">
        <v>0</v>
      </c>
      <c r="J11" s="20">
        <v>0</v>
      </c>
      <c r="K11" s="20">
        <v>0.25</v>
      </c>
      <c r="L11" s="20">
        <v>0</v>
      </c>
      <c r="M11" s="20">
        <v>0</v>
      </c>
      <c r="N11" s="20">
        <v>0</v>
      </c>
      <c r="O11" s="15">
        <f>章节关卡!H9</f>
        <v>104</v>
      </c>
      <c r="P11" s="15">
        <f>章节关卡!E9</f>
        <v>25</v>
      </c>
      <c r="R11" s="29">
        <v>7</v>
      </c>
      <c r="S11" s="29" t="s">
        <v>234</v>
      </c>
      <c r="T11" s="56">
        <v>3</v>
      </c>
      <c r="U11" s="29">
        <v>70</v>
      </c>
      <c r="V11" s="29">
        <v>80</v>
      </c>
      <c r="W11" s="29"/>
      <c r="X11" s="20">
        <v>0.4</v>
      </c>
      <c r="Y11" s="29"/>
      <c r="Z11" s="29"/>
      <c r="AA11" s="29"/>
      <c r="AB11" s="20">
        <v>0.3</v>
      </c>
      <c r="AC11" s="29"/>
      <c r="AD11" s="29"/>
      <c r="AE11" s="29"/>
      <c r="AK11" s="20">
        <v>0.35</v>
      </c>
      <c r="AL11" s="15">
        <f t="shared" si="2"/>
        <v>356178</v>
      </c>
      <c r="AM11" s="35">
        <v>1.8</v>
      </c>
      <c r="AN11" s="15">
        <f t="shared" si="1"/>
        <v>65500</v>
      </c>
    </row>
    <row r="12" spans="1:40" ht="16.5" x14ac:dyDescent="0.2">
      <c r="A12" s="29">
        <v>5</v>
      </c>
      <c r="B12" s="29">
        <v>15</v>
      </c>
      <c r="C12" s="29">
        <v>1</v>
      </c>
      <c r="D12" s="15">
        <f>节奏总表!R8</f>
        <v>1</v>
      </c>
      <c r="E12" s="15">
        <f>节奏总表!L8*60</f>
        <v>2400</v>
      </c>
      <c r="F12" s="20">
        <v>0.75</v>
      </c>
      <c r="G12" s="20">
        <v>0.5</v>
      </c>
      <c r="H12" s="20">
        <v>0</v>
      </c>
      <c r="I12" s="20">
        <v>0</v>
      </c>
      <c r="J12" s="20">
        <v>0</v>
      </c>
      <c r="K12" s="20">
        <v>0.4</v>
      </c>
      <c r="L12" s="20">
        <v>0</v>
      </c>
      <c r="M12" s="20">
        <v>0</v>
      </c>
      <c r="N12" s="20">
        <v>0</v>
      </c>
      <c r="O12" s="15">
        <f>章节关卡!H10</f>
        <v>144</v>
      </c>
      <c r="P12" s="15">
        <f>章节关卡!E10</f>
        <v>32</v>
      </c>
      <c r="R12" s="29">
        <v>8</v>
      </c>
      <c r="S12" s="29" t="s">
        <v>235</v>
      </c>
      <c r="T12" s="56">
        <v>3</v>
      </c>
      <c r="U12" s="29">
        <v>80</v>
      </c>
      <c r="V12" s="29">
        <v>85</v>
      </c>
      <c r="W12" s="29"/>
      <c r="X12" s="29"/>
      <c r="Y12" s="20">
        <v>0.1</v>
      </c>
      <c r="Z12" s="29"/>
      <c r="AA12" s="29"/>
      <c r="AB12" s="20"/>
      <c r="AC12" s="20">
        <v>0.06</v>
      </c>
      <c r="AD12" s="29"/>
      <c r="AE12" s="29"/>
      <c r="AJ12" s="15">
        <f>金币总产!L26</f>
        <v>1875915</v>
      </c>
      <c r="AK12" s="20">
        <v>0.22</v>
      </c>
      <c r="AL12" s="15">
        <f>INT(AJ$12*AK12)</f>
        <v>412701</v>
      </c>
      <c r="AM12" s="35">
        <v>1.8</v>
      </c>
      <c r="AN12" s="15">
        <f t="shared" si="1"/>
        <v>76000</v>
      </c>
    </row>
    <row r="13" spans="1:40" ht="16.5" x14ac:dyDescent="0.2">
      <c r="A13" s="29">
        <v>6</v>
      </c>
      <c r="B13" s="29">
        <v>15</v>
      </c>
      <c r="C13" s="29">
        <v>1</v>
      </c>
      <c r="D13" s="15">
        <f>节奏总表!R9</f>
        <v>1.5</v>
      </c>
      <c r="E13" s="15">
        <f>节奏总表!L9*60</f>
        <v>3600</v>
      </c>
      <c r="F13" s="20">
        <v>0.5</v>
      </c>
      <c r="G13" s="20">
        <v>0.75</v>
      </c>
      <c r="H13" s="20">
        <v>0</v>
      </c>
      <c r="I13" s="20">
        <v>0</v>
      </c>
      <c r="J13" s="20">
        <v>0</v>
      </c>
      <c r="K13" s="20">
        <v>0.55000000000000004</v>
      </c>
      <c r="L13" s="20">
        <v>0</v>
      </c>
      <c r="M13" s="20">
        <v>0</v>
      </c>
      <c r="N13" s="20">
        <v>0</v>
      </c>
      <c r="O13" s="15">
        <f>章节关卡!H11</f>
        <v>200</v>
      </c>
      <c r="P13" s="15">
        <f>章节关卡!E11</f>
        <v>40</v>
      </c>
      <c r="R13" s="29">
        <v>9</v>
      </c>
      <c r="S13" s="29" t="s">
        <v>235</v>
      </c>
      <c r="T13" s="56">
        <v>3</v>
      </c>
      <c r="U13" s="29">
        <v>85</v>
      </c>
      <c r="V13" s="29">
        <v>90</v>
      </c>
      <c r="W13" s="29"/>
      <c r="X13" s="29"/>
      <c r="Y13" s="20">
        <v>0.2</v>
      </c>
      <c r="Z13" s="29"/>
      <c r="AA13" s="29"/>
      <c r="AB13" s="29"/>
      <c r="AC13" s="20">
        <v>0.1</v>
      </c>
      <c r="AD13" s="29"/>
      <c r="AE13" s="29"/>
      <c r="AK13" s="20">
        <v>0.24</v>
      </c>
      <c r="AL13" s="15">
        <f t="shared" ref="AL13:AL15" si="3">INT(AJ$12*AK13)</f>
        <v>450219</v>
      </c>
      <c r="AM13" s="35">
        <v>1.8</v>
      </c>
      <c r="AN13" s="15">
        <f t="shared" si="1"/>
        <v>83000</v>
      </c>
    </row>
    <row r="14" spans="1:40" ht="16.5" x14ac:dyDescent="0.2">
      <c r="A14" s="29">
        <v>7</v>
      </c>
      <c r="B14" s="29">
        <v>15</v>
      </c>
      <c r="C14" s="29">
        <v>2</v>
      </c>
      <c r="D14" s="15">
        <f>节奏总表!R10</f>
        <v>2</v>
      </c>
      <c r="E14" s="15">
        <f>节奏总表!L10*60</f>
        <v>4800</v>
      </c>
      <c r="F14" s="20">
        <v>0</v>
      </c>
      <c r="G14" s="20">
        <v>1</v>
      </c>
      <c r="H14" s="20">
        <v>0.25</v>
      </c>
      <c r="I14" s="20">
        <v>0</v>
      </c>
      <c r="J14" s="20">
        <v>0</v>
      </c>
      <c r="K14" s="20">
        <v>0.7</v>
      </c>
      <c r="L14" s="20">
        <v>0</v>
      </c>
      <c r="M14" s="20">
        <v>0</v>
      </c>
      <c r="N14" s="20">
        <v>0</v>
      </c>
      <c r="O14" s="15">
        <f>章节关卡!H12</f>
        <v>275</v>
      </c>
      <c r="P14" s="15">
        <f>章节关卡!E12</f>
        <v>50</v>
      </c>
      <c r="R14" s="29">
        <v>10</v>
      </c>
      <c r="S14" s="29" t="s">
        <v>235</v>
      </c>
      <c r="T14" s="56">
        <v>3</v>
      </c>
      <c r="U14" s="29">
        <v>90</v>
      </c>
      <c r="V14" s="29">
        <v>95</v>
      </c>
      <c r="W14" s="29"/>
      <c r="X14" s="29"/>
      <c r="Y14" s="20">
        <v>0.3</v>
      </c>
      <c r="Z14" s="29"/>
      <c r="AA14" s="29"/>
      <c r="AB14" s="29"/>
      <c r="AC14" s="20">
        <v>0.15</v>
      </c>
      <c r="AD14" s="29"/>
      <c r="AE14" s="29"/>
      <c r="AK14" s="20">
        <v>0.26</v>
      </c>
      <c r="AL14" s="15">
        <f t="shared" si="3"/>
        <v>487737</v>
      </c>
      <c r="AM14" s="35">
        <v>1.8</v>
      </c>
      <c r="AN14" s="15">
        <f t="shared" si="1"/>
        <v>90000</v>
      </c>
    </row>
    <row r="15" spans="1:40" ht="16.5" x14ac:dyDescent="0.2">
      <c r="A15" s="29">
        <v>8</v>
      </c>
      <c r="B15" s="29">
        <v>15</v>
      </c>
      <c r="C15" s="29">
        <v>2</v>
      </c>
      <c r="D15" s="15">
        <f>节奏总表!R11</f>
        <v>2.5</v>
      </c>
      <c r="E15" s="15">
        <f>节奏总表!L11*60</f>
        <v>6000</v>
      </c>
      <c r="F15" s="20">
        <v>0</v>
      </c>
      <c r="G15" s="20">
        <v>0.75</v>
      </c>
      <c r="H15" s="20">
        <v>0.5</v>
      </c>
      <c r="I15" s="20">
        <v>0</v>
      </c>
      <c r="J15" s="20">
        <v>0</v>
      </c>
      <c r="K15" s="20">
        <v>0.85</v>
      </c>
      <c r="L15" s="20">
        <v>0</v>
      </c>
      <c r="M15" s="20">
        <v>0</v>
      </c>
      <c r="N15" s="20">
        <v>0</v>
      </c>
      <c r="O15" s="15">
        <f>章节关卡!H13</f>
        <v>360</v>
      </c>
      <c r="P15" s="15">
        <f>章节关卡!E13</f>
        <v>60</v>
      </c>
      <c r="R15" s="29">
        <v>11</v>
      </c>
      <c r="S15" s="29" t="s">
        <v>235</v>
      </c>
      <c r="T15" s="56">
        <v>3</v>
      </c>
      <c r="U15" s="29">
        <v>95</v>
      </c>
      <c r="V15" s="29">
        <v>100</v>
      </c>
      <c r="W15" s="29"/>
      <c r="X15" s="29"/>
      <c r="Y15" s="20">
        <v>0.4</v>
      </c>
      <c r="Z15" s="29"/>
      <c r="AA15" s="29"/>
      <c r="AB15" s="29"/>
      <c r="AC15" s="20">
        <v>0.19</v>
      </c>
      <c r="AD15" s="29"/>
      <c r="AE15" s="29"/>
      <c r="AK15" s="20">
        <v>0.28000000000000003</v>
      </c>
      <c r="AL15" s="15">
        <f t="shared" si="3"/>
        <v>525256</v>
      </c>
      <c r="AM15" s="35">
        <v>1.8</v>
      </c>
      <c r="AN15" s="15">
        <f t="shared" si="1"/>
        <v>97000</v>
      </c>
    </row>
    <row r="16" spans="1:40" ht="16.5" x14ac:dyDescent="0.2">
      <c r="A16" s="29">
        <v>9</v>
      </c>
      <c r="B16" s="29">
        <v>15</v>
      </c>
      <c r="C16" s="29">
        <v>2</v>
      </c>
      <c r="D16" s="15">
        <f>节奏总表!R12</f>
        <v>3.75</v>
      </c>
      <c r="E16" s="15">
        <f>节奏总表!L12*60</f>
        <v>9000</v>
      </c>
      <c r="F16" s="20">
        <v>0</v>
      </c>
      <c r="G16" s="20">
        <v>0.5</v>
      </c>
      <c r="H16" s="20">
        <v>0.75</v>
      </c>
      <c r="I16" s="20">
        <v>0</v>
      </c>
      <c r="J16" s="20">
        <v>0</v>
      </c>
      <c r="K16" s="20">
        <v>1</v>
      </c>
      <c r="L16" s="20">
        <v>0.25</v>
      </c>
      <c r="M16" s="20">
        <v>0</v>
      </c>
      <c r="N16" s="20">
        <v>0</v>
      </c>
      <c r="O16" s="15">
        <f>章节关卡!H14</f>
        <v>468</v>
      </c>
      <c r="P16" s="15">
        <f>章节关卡!E14</f>
        <v>72</v>
      </c>
      <c r="R16" s="29">
        <v>12</v>
      </c>
      <c r="S16" s="29" t="s">
        <v>236</v>
      </c>
      <c r="T16" s="29">
        <v>3</v>
      </c>
      <c r="U16" s="29">
        <v>100</v>
      </c>
      <c r="V16" s="29">
        <v>105</v>
      </c>
      <c r="W16" s="29"/>
      <c r="X16" s="29"/>
      <c r="Y16" s="29"/>
      <c r="Z16" s="20">
        <v>0.1</v>
      </c>
      <c r="AA16" s="29"/>
      <c r="AB16" s="29"/>
      <c r="AC16" s="20">
        <v>0.23</v>
      </c>
      <c r="AD16" s="20"/>
      <c r="AE16" s="29"/>
      <c r="AJ16" s="15">
        <f>金币总产!L27</f>
        <v>4888597</v>
      </c>
      <c r="AK16" s="20">
        <v>0.15</v>
      </c>
      <c r="AL16" s="15">
        <f>INT(AJ$16*AK16)</f>
        <v>733289</v>
      </c>
      <c r="AM16" s="35">
        <v>2</v>
      </c>
      <c r="AN16" s="15">
        <f t="shared" si="1"/>
        <v>122000</v>
      </c>
    </row>
    <row r="17" spans="1:40" ht="16.5" x14ac:dyDescent="0.2">
      <c r="A17" s="29">
        <v>10</v>
      </c>
      <c r="B17" s="29">
        <v>15</v>
      </c>
      <c r="C17" s="29">
        <v>2</v>
      </c>
      <c r="D17" s="15">
        <f>节奏总表!R13</f>
        <v>6.25</v>
      </c>
      <c r="E17" s="15">
        <f>节奏总表!L13*60</f>
        <v>15000</v>
      </c>
      <c r="F17" s="20">
        <v>0</v>
      </c>
      <c r="G17" s="20">
        <v>0</v>
      </c>
      <c r="H17" s="20">
        <v>1</v>
      </c>
      <c r="I17" s="20">
        <v>0.25</v>
      </c>
      <c r="J17" s="20">
        <v>0</v>
      </c>
      <c r="K17" s="20">
        <v>0.75</v>
      </c>
      <c r="L17" s="20">
        <v>0.5</v>
      </c>
      <c r="M17" s="20">
        <v>0</v>
      </c>
      <c r="N17" s="20">
        <v>0</v>
      </c>
      <c r="O17" s="15">
        <f>章节关卡!H15</f>
        <v>616</v>
      </c>
      <c r="P17" s="15">
        <f>章节关卡!E15</f>
        <v>90</v>
      </c>
      <c r="R17" s="29">
        <v>13</v>
      </c>
      <c r="S17" s="29" t="s">
        <v>236</v>
      </c>
      <c r="T17" s="29">
        <v>3</v>
      </c>
      <c r="U17" s="29">
        <v>105</v>
      </c>
      <c r="V17" s="29">
        <v>110</v>
      </c>
      <c r="W17" s="29"/>
      <c r="X17" s="29"/>
      <c r="Y17" s="29"/>
      <c r="Z17" s="20">
        <v>0.2</v>
      </c>
      <c r="AA17" s="29"/>
      <c r="AB17" s="29"/>
      <c r="AC17" s="20">
        <v>0.27</v>
      </c>
      <c r="AD17" s="20"/>
      <c r="AE17" s="29"/>
      <c r="AK17" s="20">
        <v>0.22</v>
      </c>
      <c r="AL17" s="15">
        <f t="shared" ref="AL17:AL19" si="4">INT(AJ$16*AK17)</f>
        <v>1075491</v>
      </c>
      <c r="AM17" s="35">
        <v>2.2000000000000002</v>
      </c>
      <c r="AN17" s="15">
        <f t="shared" si="1"/>
        <v>162500</v>
      </c>
    </row>
    <row r="18" spans="1:40" ht="16.5" x14ac:dyDescent="0.2">
      <c r="A18" s="29">
        <v>11</v>
      </c>
      <c r="B18" s="29">
        <v>15</v>
      </c>
      <c r="C18" s="29">
        <v>3</v>
      </c>
      <c r="D18" s="15">
        <f>节奏总表!R14</f>
        <v>10</v>
      </c>
      <c r="E18" s="15">
        <f>节奏总表!L14*60</f>
        <v>24000</v>
      </c>
      <c r="F18" s="20">
        <v>0</v>
      </c>
      <c r="G18" s="20">
        <v>0</v>
      </c>
      <c r="H18" s="20">
        <v>0.75</v>
      </c>
      <c r="I18" s="20">
        <v>0.5</v>
      </c>
      <c r="J18" s="20">
        <v>0</v>
      </c>
      <c r="K18" s="20">
        <v>0.5</v>
      </c>
      <c r="L18" s="20">
        <v>0.75</v>
      </c>
      <c r="M18" s="20">
        <v>0</v>
      </c>
      <c r="N18" s="20">
        <v>0</v>
      </c>
      <c r="O18" s="15">
        <f>章节关卡!H16</f>
        <v>795</v>
      </c>
      <c r="P18" s="15">
        <f>章节关卡!E16</f>
        <v>110</v>
      </c>
      <c r="R18" s="29">
        <v>14</v>
      </c>
      <c r="S18" s="29" t="s">
        <v>236</v>
      </c>
      <c r="T18" s="29">
        <v>3</v>
      </c>
      <c r="U18" s="29">
        <v>110</v>
      </c>
      <c r="V18" s="29">
        <v>115</v>
      </c>
      <c r="W18" s="29"/>
      <c r="X18" s="29"/>
      <c r="Y18" s="29"/>
      <c r="Z18" s="20">
        <v>0.3</v>
      </c>
      <c r="AA18" s="29"/>
      <c r="AB18" s="29"/>
      <c r="AC18" s="20"/>
      <c r="AD18" s="31">
        <v>0.05</v>
      </c>
      <c r="AE18" s="29"/>
      <c r="AK18" s="20">
        <v>0.28000000000000003</v>
      </c>
      <c r="AL18" s="15">
        <f t="shared" si="4"/>
        <v>1368807</v>
      </c>
      <c r="AM18" s="35">
        <v>2.4</v>
      </c>
      <c r="AN18" s="15">
        <f t="shared" si="1"/>
        <v>190000</v>
      </c>
    </row>
    <row r="19" spans="1:40" ht="16.5" x14ac:dyDescent="0.2">
      <c r="A19" s="29">
        <v>12</v>
      </c>
      <c r="B19" s="29">
        <v>15</v>
      </c>
      <c r="C19" s="29">
        <v>3</v>
      </c>
      <c r="D19" s="15">
        <f>节奏总表!R15</f>
        <v>13.75</v>
      </c>
      <c r="E19" s="15">
        <f>节奏总表!L15*60</f>
        <v>33000</v>
      </c>
      <c r="F19" s="20">
        <v>0</v>
      </c>
      <c r="G19" s="20">
        <v>0</v>
      </c>
      <c r="H19" s="20">
        <v>0.5</v>
      </c>
      <c r="I19" s="20">
        <v>0.75</v>
      </c>
      <c r="J19" s="20">
        <v>0</v>
      </c>
      <c r="K19" s="20">
        <v>0</v>
      </c>
      <c r="L19" s="20">
        <v>1</v>
      </c>
      <c r="M19" s="20">
        <v>0.25</v>
      </c>
      <c r="N19" s="20">
        <v>0.2</v>
      </c>
      <c r="O19" s="15">
        <f>章节关卡!H17</f>
        <v>1040</v>
      </c>
      <c r="P19" s="15">
        <f>章节关卡!E17</f>
        <v>130</v>
      </c>
      <c r="R19" s="29">
        <v>15</v>
      </c>
      <c r="S19" s="29" t="s">
        <v>236</v>
      </c>
      <c r="T19" s="29">
        <v>3</v>
      </c>
      <c r="U19" s="29">
        <v>115</v>
      </c>
      <c r="V19" s="29">
        <v>120</v>
      </c>
      <c r="W19" s="29"/>
      <c r="X19" s="29"/>
      <c r="Y19" s="29"/>
      <c r="Z19" s="20">
        <v>0.4</v>
      </c>
      <c r="AA19" s="29"/>
      <c r="AB19" s="29"/>
      <c r="AC19" s="29"/>
      <c r="AD19" s="31">
        <v>0.08</v>
      </c>
      <c r="AE19" s="29"/>
      <c r="AK19" s="20">
        <v>0.35</v>
      </c>
      <c r="AL19" s="15">
        <f t="shared" si="4"/>
        <v>1711008</v>
      </c>
      <c r="AM19" s="35">
        <v>2.6</v>
      </c>
      <c r="AN19" s="15">
        <f t="shared" si="1"/>
        <v>219000</v>
      </c>
    </row>
    <row r="20" spans="1:40" ht="16.5" x14ac:dyDescent="0.2">
      <c r="A20" s="29">
        <v>13</v>
      </c>
      <c r="B20" s="29">
        <v>15</v>
      </c>
      <c r="C20" s="29">
        <v>3</v>
      </c>
      <c r="D20" s="15">
        <f>节奏总表!R16</f>
        <v>17.5</v>
      </c>
      <c r="E20" s="15">
        <f>节奏总表!L16*60</f>
        <v>42000</v>
      </c>
      <c r="F20" s="20">
        <v>0</v>
      </c>
      <c r="G20" s="20">
        <v>0</v>
      </c>
      <c r="H20" s="20">
        <v>0</v>
      </c>
      <c r="I20" s="20">
        <v>1</v>
      </c>
      <c r="J20" s="20">
        <v>0.25</v>
      </c>
      <c r="K20" s="20">
        <v>0</v>
      </c>
      <c r="L20" s="20">
        <v>0.75</v>
      </c>
      <c r="M20" s="20">
        <v>0.5</v>
      </c>
      <c r="N20" s="20">
        <v>0.35</v>
      </c>
      <c r="O20" s="15">
        <f>章节关卡!H18</f>
        <v>1360</v>
      </c>
      <c r="P20" s="15">
        <f>章节关卡!E18</f>
        <v>150</v>
      </c>
      <c r="R20" s="29">
        <v>16</v>
      </c>
      <c r="S20" s="29" t="s">
        <v>237</v>
      </c>
      <c r="T20" s="29">
        <v>3</v>
      </c>
      <c r="U20" s="29">
        <v>120</v>
      </c>
      <c r="V20" s="29">
        <v>125</v>
      </c>
      <c r="W20" s="29"/>
      <c r="X20" s="29"/>
      <c r="Y20" s="29"/>
      <c r="Z20" s="29"/>
      <c r="AA20" s="20">
        <v>0.1</v>
      </c>
      <c r="AB20" s="29"/>
      <c r="AC20" s="29"/>
      <c r="AD20" s="31">
        <v>0.11</v>
      </c>
      <c r="AE20" s="20">
        <v>0.1</v>
      </c>
      <c r="AJ20" s="15">
        <f>金币总产!L28</f>
        <v>19174837</v>
      </c>
      <c r="AK20" s="20">
        <v>0.1</v>
      </c>
      <c r="AL20" s="15">
        <f>INT(AJ$20*AK20)</f>
        <v>1917483</v>
      </c>
      <c r="AM20" s="35">
        <v>2.8</v>
      </c>
      <c r="AN20" s="15">
        <f t="shared" si="1"/>
        <v>228000</v>
      </c>
    </row>
    <row r="21" spans="1:40" ht="16.5" x14ac:dyDescent="0.2">
      <c r="A21" s="29">
        <v>14</v>
      </c>
      <c r="B21" s="29">
        <v>15</v>
      </c>
      <c r="C21" s="29">
        <v>3</v>
      </c>
      <c r="D21" s="15">
        <f>节奏总表!R17</f>
        <v>25</v>
      </c>
      <c r="E21" s="15">
        <f>节奏总表!L17*60</f>
        <v>60000</v>
      </c>
      <c r="F21" s="20">
        <v>0</v>
      </c>
      <c r="G21" s="20">
        <v>0</v>
      </c>
      <c r="H21" s="20">
        <v>0</v>
      </c>
      <c r="I21" s="20">
        <v>0.75</v>
      </c>
      <c r="J21" s="20">
        <v>0.5</v>
      </c>
      <c r="K21" s="20">
        <v>0</v>
      </c>
      <c r="L21" s="20">
        <v>0.5</v>
      </c>
      <c r="M21" s="20">
        <v>0.75</v>
      </c>
      <c r="N21" s="20">
        <v>0.5</v>
      </c>
      <c r="O21" s="15">
        <f>章节关卡!H19</f>
        <v>1800</v>
      </c>
      <c r="P21" s="15">
        <f>章节关卡!E19</f>
        <v>175</v>
      </c>
      <c r="R21" s="29">
        <v>17</v>
      </c>
      <c r="S21" s="29" t="s">
        <v>237</v>
      </c>
      <c r="T21" s="29">
        <v>3</v>
      </c>
      <c r="U21" s="29">
        <v>125</v>
      </c>
      <c r="V21" s="29">
        <v>130</v>
      </c>
      <c r="W21" s="29"/>
      <c r="X21" s="29"/>
      <c r="Y21" s="29"/>
      <c r="Z21" s="29"/>
      <c r="AA21" s="20">
        <v>0.15</v>
      </c>
      <c r="AB21" s="29"/>
      <c r="AC21" s="29"/>
      <c r="AD21" s="31">
        <v>0.14000000000000001</v>
      </c>
      <c r="AE21" s="20">
        <v>0.15</v>
      </c>
      <c r="AK21" s="20">
        <v>0.15</v>
      </c>
      <c r="AL21" s="15">
        <f t="shared" ref="AL21:AL24" si="5">INT(AJ$20*AK21)</f>
        <v>2876225</v>
      </c>
      <c r="AM21" s="35">
        <v>3</v>
      </c>
      <c r="AN21" s="15">
        <f t="shared" si="1"/>
        <v>319500</v>
      </c>
    </row>
    <row r="22" spans="1:40" ht="16.5" x14ac:dyDescent="0.2">
      <c r="A22" s="29">
        <v>15</v>
      </c>
      <c r="B22" s="29">
        <v>15</v>
      </c>
      <c r="C22" s="29">
        <v>3</v>
      </c>
      <c r="D22" s="15">
        <f>节奏总表!R18</f>
        <v>37.5</v>
      </c>
      <c r="E22" s="15">
        <f>节奏总表!L18*60</f>
        <v>90000</v>
      </c>
      <c r="F22" s="20">
        <v>0</v>
      </c>
      <c r="G22" s="20">
        <v>0</v>
      </c>
      <c r="H22" s="20">
        <v>0</v>
      </c>
      <c r="I22" s="20">
        <v>0.5</v>
      </c>
      <c r="J22" s="20">
        <v>1</v>
      </c>
      <c r="K22" s="20">
        <v>0</v>
      </c>
      <c r="L22" s="20">
        <v>0</v>
      </c>
      <c r="M22" s="20">
        <v>1</v>
      </c>
      <c r="N22" s="20">
        <v>1</v>
      </c>
      <c r="O22" s="15">
        <f>章节关卡!H20</f>
        <v>2500</v>
      </c>
      <c r="P22" s="15">
        <f>章节关卡!E20</f>
        <v>200</v>
      </c>
      <c r="R22" s="29">
        <v>18</v>
      </c>
      <c r="S22" s="29" t="s">
        <v>237</v>
      </c>
      <c r="T22" s="29">
        <v>3</v>
      </c>
      <c r="U22" s="29">
        <v>130</v>
      </c>
      <c r="V22" s="29">
        <v>135</v>
      </c>
      <c r="W22" s="29"/>
      <c r="X22" s="29"/>
      <c r="Y22" s="29"/>
      <c r="Z22" s="29"/>
      <c r="AA22" s="20">
        <v>0.2</v>
      </c>
      <c r="AB22" s="29"/>
      <c r="AC22" s="29"/>
      <c r="AD22" s="31">
        <v>0.17</v>
      </c>
      <c r="AE22" s="20">
        <v>0.2</v>
      </c>
      <c r="AK22" s="20">
        <v>0.2</v>
      </c>
      <c r="AL22" s="15">
        <f t="shared" si="5"/>
        <v>3834967</v>
      </c>
      <c r="AM22" s="35">
        <v>3</v>
      </c>
      <c r="AN22" s="15">
        <f t="shared" si="1"/>
        <v>426000</v>
      </c>
    </row>
    <row r="23" spans="1:40" ht="16.5" x14ac:dyDescent="0.2">
      <c r="A23" s="28" t="s">
        <v>254</v>
      </c>
      <c r="B23" s="15"/>
      <c r="C23" s="15"/>
      <c r="D23" s="15"/>
      <c r="E23" s="15"/>
      <c r="F23" s="15">
        <f>SUMPRODUCT($C$7:$C$22,$E$7:$E$22,F$7:F$22)/F$5*F$4*$B$2</f>
        <v>960</v>
      </c>
      <c r="G23" s="15">
        <f t="shared" ref="G23:P23" si="6">SUMPRODUCT($C$7:$C$22,$E$7:$E$22,G$7:G$22)/G$5*G$4*$B$2</f>
        <v>2655</v>
      </c>
      <c r="H23" s="15">
        <f t="shared" si="6"/>
        <v>5180</v>
      </c>
      <c r="I23" s="15">
        <f t="shared" si="6"/>
        <v>8562.5</v>
      </c>
      <c r="J23" s="15">
        <f t="shared" si="6"/>
        <v>3262.5</v>
      </c>
      <c r="K23" s="15">
        <f t="shared" si="6"/>
        <v>2418</v>
      </c>
      <c r="L23" s="15">
        <f t="shared" si="6"/>
        <v>3570</v>
      </c>
      <c r="M23" s="15">
        <f t="shared" si="6"/>
        <v>2463.75</v>
      </c>
      <c r="N23" s="15">
        <f t="shared" si="6"/>
        <v>706.5</v>
      </c>
      <c r="O23" s="15">
        <f t="shared" si="6"/>
        <v>1365705840</v>
      </c>
      <c r="P23" s="15">
        <f t="shared" si="6"/>
        <v>130663200</v>
      </c>
      <c r="R23" s="29">
        <v>19</v>
      </c>
      <c r="S23" s="29" t="s">
        <v>237</v>
      </c>
      <c r="T23" s="29">
        <v>3</v>
      </c>
      <c r="U23" s="29">
        <v>135</v>
      </c>
      <c r="V23" s="29">
        <v>140</v>
      </c>
      <c r="W23" s="29"/>
      <c r="X23" s="29"/>
      <c r="Y23" s="29"/>
      <c r="Z23" s="29"/>
      <c r="AA23" s="20">
        <v>0.25</v>
      </c>
      <c r="AB23" s="29"/>
      <c r="AC23" s="29"/>
      <c r="AD23" s="31">
        <v>0.2</v>
      </c>
      <c r="AE23" s="20">
        <v>0.25</v>
      </c>
      <c r="AK23" s="20">
        <v>0.25</v>
      </c>
      <c r="AL23" s="15">
        <f t="shared" si="5"/>
        <v>4793709</v>
      </c>
      <c r="AM23" s="35">
        <v>3</v>
      </c>
      <c r="AN23" s="15">
        <f t="shared" si="1"/>
        <v>532500</v>
      </c>
    </row>
    <row r="24" spans="1:40" ht="16.5" x14ac:dyDescent="0.2">
      <c r="A24" s="28" t="s">
        <v>256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>
        <v>0.3</v>
      </c>
      <c r="N24" s="20">
        <v>0.3</v>
      </c>
      <c r="R24" s="29">
        <v>20</v>
      </c>
      <c r="S24" s="29" t="s">
        <v>238</v>
      </c>
      <c r="T24" s="29">
        <v>3</v>
      </c>
      <c r="U24" s="29">
        <v>140</v>
      </c>
      <c r="V24" s="29">
        <v>150</v>
      </c>
      <c r="W24" s="29"/>
      <c r="X24" s="29"/>
      <c r="Y24" s="29"/>
      <c r="Z24" s="29"/>
      <c r="AA24" s="20">
        <v>0.3</v>
      </c>
      <c r="AB24" s="29"/>
      <c r="AC24" s="29"/>
      <c r="AD24" s="31">
        <v>0.25</v>
      </c>
      <c r="AE24" s="20">
        <v>0.3</v>
      </c>
      <c r="AK24" s="20">
        <v>0.3</v>
      </c>
      <c r="AL24" s="15">
        <f t="shared" si="5"/>
        <v>5752451</v>
      </c>
      <c r="AM24" s="35">
        <v>3</v>
      </c>
      <c r="AN24" s="15">
        <f t="shared" si="1"/>
        <v>639000</v>
      </c>
    </row>
    <row r="25" spans="1:40" ht="16.5" x14ac:dyDescent="0.2">
      <c r="A25" s="28" t="s">
        <v>257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>
        <v>0.2</v>
      </c>
      <c r="N25" s="20">
        <v>0</v>
      </c>
      <c r="R25" s="28" t="s">
        <v>255</v>
      </c>
      <c r="W25" s="15">
        <f t="shared" ref="W25:AE25" si="7">F28</f>
        <v>1200</v>
      </c>
      <c r="X25" s="15">
        <f t="shared" si="7"/>
        <v>3318.75</v>
      </c>
      <c r="Y25" s="15">
        <f t="shared" si="7"/>
        <v>6475</v>
      </c>
      <c r="Z25" s="15">
        <f t="shared" si="7"/>
        <v>10703.125</v>
      </c>
      <c r="AA25" s="15">
        <f t="shared" si="7"/>
        <v>4078.125</v>
      </c>
      <c r="AB25" s="15">
        <f t="shared" si="7"/>
        <v>4030</v>
      </c>
      <c r="AC25" s="15">
        <f t="shared" si="7"/>
        <v>8925</v>
      </c>
      <c r="AD25" s="15">
        <f t="shared" si="7"/>
        <v>8212.5</v>
      </c>
      <c r="AE25" s="15">
        <f t="shared" si="7"/>
        <v>2355</v>
      </c>
    </row>
    <row r="26" spans="1:40" ht="16.5" x14ac:dyDescent="0.2">
      <c r="A26" s="28" t="s">
        <v>260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>
        <v>0.5</v>
      </c>
      <c r="N26" s="20">
        <v>0</v>
      </c>
    </row>
    <row r="27" spans="1:40" ht="16.5" x14ac:dyDescent="0.2">
      <c r="A27" s="28" t="s">
        <v>258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0.7</v>
      </c>
    </row>
    <row r="28" spans="1:40" ht="16.5" x14ac:dyDescent="0.2">
      <c r="A28" s="28" t="s">
        <v>259</v>
      </c>
      <c r="B28" s="29"/>
      <c r="C28" s="29"/>
      <c r="D28" s="29"/>
      <c r="E28" s="29"/>
      <c r="F28" s="15">
        <f>F23/F24</f>
        <v>1200</v>
      </c>
      <c r="G28" s="15">
        <f t="shared" ref="G28:N28" si="8">G23/G24</f>
        <v>3318.75</v>
      </c>
      <c r="H28" s="15">
        <f t="shared" si="8"/>
        <v>6475</v>
      </c>
      <c r="I28" s="15">
        <f t="shared" si="8"/>
        <v>10703.125</v>
      </c>
      <c r="J28" s="15">
        <f t="shared" si="8"/>
        <v>4078.125</v>
      </c>
      <c r="K28" s="15">
        <f t="shared" si="8"/>
        <v>4030</v>
      </c>
      <c r="L28" s="15">
        <f t="shared" si="8"/>
        <v>8925</v>
      </c>
      <c r="M28" s="15">
        <f t="shared" si="8"/>
        <v>8212.5</v>
      </c>
      <c r="N28" s="15">
        <f t="shared" si="8"/>
        <v>2355</v>
      </c>
    </row>
    <row r="32" spans="1:40" x14ac:dyDescent="0.2"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8" x14ac:dyDescent="0.2">
      <c r="AI33" s="16"/>
      <c r="AJ33" s="16"/>
      <c r="AK33" s="32"/>
      <c r="AL33" s="16"/>
      <c r="AM33" s="32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7.25" x14ac:dyDescent="0.2">
      <c r="A34" s="12" t="s">
        <v>33</v>
      </c>
      <c r="B34" s="12" t="s">
        <v>246</v>
      </c>
      <c r="C34" s="12" t="s">
        <v>57</v>
      </c>
      <c r="D34" s="12" t="s">
        <v>250</v>
      </c>
      <c r="E34" s="12" t="s">
        <v>211</v>
      </c>
      <c r="F34" s="12" t="s">
        <v>212</v>
      </c>
      <c r="G34" s="12" t="s">
        <v>213</v>
      </c>
      <c r="H34" s="12" t="s">
        <v>214</v>
      </c>
      <c r="I34" s="12" t="s">
        <v>242</v>
      </c>
      <c r="J34" s="12" t="s">
        <v>247</v>
      </c>
      <c r="K34" s="12" t="s">
        <v>248</v>
      </c>
      <c r="L34" s="12" t="s">
        <v>249</v>
      </c>
      <c r="M34" s="12" t="s">
        <v>216</v>
      </c>
      <c r="N34" s="12" t="s">
        <v>261</v>
      </c>
      <c r="O34" s="12" t="s">
        <v>262</v>
      </c>
      <c r="R34" s="12" t="s">
        <v>219</v>
      </c>
      <c r="S34" s="12" t="s">
        <v>220</v>
      </c>
      <c r="T34" s="12" t="s">
        <v>252</v>
      </c>
      <c r="U34" s="12" t="s">
        <v>229</v>
      </c>
      <c r="V34" s="12" t="s">
        <v>231</v>
      </c>
      <c r="W34" s="12" t="s">
        <v>348</v>
      </c>
      <c r="X34" s="12" t="s">
        <v>349</v>
      </c>
      <c r="Y34" s="12" t="s">
        <v>350</v>
      </c>
      <c r="Z34" s="12" t="s">
        <v>221</v>
      </c>
      <c r="AA34" s="12" t="s">
        <v>222</v>
      </c>
      <c r="AB34" s="12" t="s">
        <v>223</v>
      </c>
      <c r="AC34" s="12" t="s">
        <v>224</v>
      </c>
      <c r="AD34" s="12" t="s">
        <v>241</v>
      </c>
      <c r="AE34" s="12" t="s">
        <v>225</v>
      </c>
      <c r="AF34" s="12" t="s">
        <v>226</v>
      </c>
      <c r="AG34" s="12" t="s">
        <v>227</v>
      </c>
      <c r="AH34" s="12" t="s">
        <v>358</v>
      </c>
      <c r="AI34" s="12" t="s">
        <v>285</v>
      </c>
    </row>
    <row r="35" spans="1:48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0.125</v>
      </c>
      <c r="F35" s="22">
        <f t="shared" ref="F35:M35" si="9">(INDEX(G$7:G$22,$B35)*(1-$D35)+INDEX(G$7:G$22,$B35+1)*$D35)*G$4*$B$2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J35" s="22">
        <f t="shared" si="9"/>
        <v>0</v>
      </c>
      <c r="K35" s="22">
        <f t="shared" si="9"/>
        <v>0</v>
      </c>
      <c r="L35" s="22">
        <f t="shared" si="9"/>
        <v>0</v>
      </c>
      <c r="M35" s="22">
        <f t="shared" si="9"/>
        <v>0</v>
      </c>
      <c r="N35" s="37">
        <f>INT((INDEX(O$7:O$22,$B35)*(1-$D35)+INDEX(O$7:O$22,$B35+1)*$D35)*O$4*$B$2)</f>
        <v>17</v>
      </c>
      <c r="O35" s="37">
        <f>INT((INDEX(P$7:P$22,$B35)*(1-$D35)+INDEX(P$7:P$22,$B35+1)*$D35)*P$4*$B$2)</f>
        <v>7</v>
      </c>
      <c r="R35" s="35">
        <v>0</v>
      </c>
      <c r="S35" s="35" t="s">
        <v>351</v>
      </c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48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M36" si="10">(INDEX(F$7:F$22,$B36)*(1-$D36)+INDEX(F$7:F$22,$B36+1)*$D36)*F$4*$B$2</f>
        <v>0.16250000000000001</v>
      </c>
      <c r="F36" s="22">
        <f t="shared" si="10"/>
        <v>0</v>
      </c>
      <c r="G36" s="22">
        <f t="shared" si="10"/>
        <v>0</v>
      </c>
      <c r="H36" s="22">
        <f t="shared" si="10"/>
        <v>0</v>
      </c>
      <c r="I36" s="22">
        <f t="shared" si="10"/>
        <v>0</v>
      </c>
      <c r="J36" s="22">
        <f t="shared" si="10"/>
        <v>0</v>
      </c>
      <c r="K36" s="22">
        <f t="shared" si="10"/>
        <v>0</v>
      </c>
      <c r="L36" s="22">
        <f t="shared" si="10"/>
        <v>0</v>
      </c>
      <c r="M36" s="22">
        <f t="shared" si="10"/>
        <v>0</v>
      </c>
      <c r="N36" s="37">
        <f t="shared" ref="N36:O36" si="11">INT((INDEX(O$7:O$22,$B36)*(1-$D36)+INDEX(O$7:O$22,$B36+1)*$D36)*O$4*$B$2)</f>
        <v>19</v>
      </c>
      <c r="O36" s="37">
        <f t="shared" si="11"/>
        <v>7</v>
      </c>
      <c r="R36" s="29">
        <v>1</v>
      </c>
      <c r="S36" s="29" t="s">
        <v>230</v>
      </c>
      <c r="T36" s="15">
        <f t="shared" ref="T36:T55" si="12">T5</f>
        <v>3</v>
      </c>
      <c r="U36" s="29">
        <v>5</v>
      </c>
      <c r="V36" s="29">
        <v>15</v>
      </c>
      <c r="W36" s="35">
        <v>1</v>
      </c>
      <c r="X36" s="35"/>
      <c r="Y36" s="35"/>
      <c r="Z36" s="15">
        <f t="shared" ref="Z36:Z55" si="13">INT(W$25*W5/$S$1/$T36/5)*5</f>
        <v>10</v>
      </c>
      <c r="AA36" s="15">
        <f t="shared" ref="AA36:AA55" si="14">INT(X$25*X5/$S$1/$T36/5)*5</f>
        <v>0</v>
      </c>
      <c r="AB36" s="15">
        <f t="shared" ref="AB36:AB55" si="15">INT(Y$25*Y5/$S$1/$T36/5)*5</f>
        <v>0</v>
      </c>
      <c r="AC36" s="15">
        <f t="shared" ref="AC36:AC55" si="16">INT(Z$25*Z5/$S$1/$T36/5)*5</f>
        <v>0</v>
      </c>
      <c r="AD36" s="15">
        <f t="shared" ref="AD36:AD55" si="17">INT(AA$25*AA5/$S$1/$T36/5)*5</f>
        <v>0</v>
      </c>
      <c r="AE36" s="15">
        <f t="shared" ref="AE36:AE55" si="18">INT(AB$25*AB5/$S$1/$T36/5)*5</f>
        <v>0</v>
      </c>
      <c r="AF36" s="15">
        <f t="shared" ref="AF36:AF55" si="19">INT(AC$25*AC5/$S$1/$T36/5)*5</f>
        <v>0</v>
      </c>
      <c r="AG36" s="15">
        <f t="shared" ref="AG36:AG55" si="20">INT(AD$25*AD5/$S$1/$T36/5)*5</f>
        <v>0</v>
      </c>
      <c r="AH36" s="15">
        <f t="shared" ref="AH36:AH55" si="21">INT(AE$25*AE5/$S$1/$T36/5)*5</f>
        <v>0</v>
      </c>
      <c r="AI36" s="15">
        <f t="shared" ref="AI36:AI55" si="22">AN5</f>
        <v>2500</v>
      </c>
    </row>
    <row r="37" spans="1:48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M37" si="23">(INDEX(F$7:F$22,$B37)*(1-$D37)+INDEX(F$7:F$22,$B37+1)*$D37)*F$4*$B$2</f>
        <v>0.2</v>
      </c>
      <c r="F37" s="22">
        <f t="shared" si="23"/>
        <v>0</v>
      </c>
      <c r="G37" s="22">
        <f t="shared" si="23"/>
        <v>0</v>
      </c>
      <c r="H37" s="22">
        <f t="shared" si="23"/>
        <v>0</v>
      </c>
      <c r="I37" s="22">
        <f t="shared" si="23"/>
        <v>0</v>
      </c>
      <c r="J37" s="22">
        <f t="shared" si="23"/>
        <v>0</v>
      </c>
      <c r="K37" s="22">
        <f t="shared" si="23"/>
        <v>0</v>
      </c>
      <c r="L37" s="22">
        <f t="shared" si="23"/>
        <v>0</v>
      </c>
      <c r="M37" s="22">
        <f t="shared" si="23"/>
        <v>0</v>
      </c>
      <c r="N37" s="37">
        <f t="shared" ref="N37:O37" si="24">INT((INDEX(O$7:O$22,$B37)*(1-$D37)+INDEX(O$7:O$22,$B37+1)*$D37)*O$4*$B$2)</f>
        <v>22</v>
      </c>
      <c r="O37" s="37">
        <f t="shared" si="24"/>
        <v>8</v>
      </c>
      <c r="R37" s="29">
        <v>2</v>
      </c>
      <c r="S37" s="29" t="s">
        <v>232</v>
      </c>
      <c r="T37" s="15">
        <f t="shared" si="12"/>
        <v>3</v>
      </c>
      <c r="U37" s="29">
        <v>15</v>
      </c>
      <c r="V37" s="29">
        <v>30</v>
      </c>
      <c r="W37" s="35">
        <v>1</v>
      </c>
      <c r="X37" s="35"/>
      <c r="Y37" s="35"/>
      <c r="Z37" s="15">
        <f t="shared" si="13"/>
        <v>40</v>
      </c>
      <c r="AA37" s="15">
        <f t="shared" si="14"/>
        <v>0</v>
      </c>
      <c r="AB37" s="15">
        <f t="shared" si="15"/>
        <v>0</v>
      </c>
      <c r="AC37" s="15">
        <f t="shared" si="16"/>
        <v>0</v>
      </c>
      <c r="AD37" s="15">
        <f t="shared" si="17"/>
        <v>0</v>
      </c>
      <c r="AE37" s="15">
        <f t="shared" si="18"/>
        <v>0</v>
      </c>
      <c r="AF37" s="15">
        <f t="shared" si="19"/>
        <v>0</v>
      </c>
      <c r="AG37" s="15">
        <f t="shared" si="20"/>
        <v>0</v>
      </c>
      <c r="AH37" s="15">
        <f t="shared" si="21"/>
        <v>0</v>
      </c>
      <c r="AI37" s="15">
        <f t="shared" si="22"/>
        <v>8000</v>
      </c>
    </row>
    <row r="38" spans="1:48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M38" si="25">(INDEX(F$7:F$22,$B38)*(1-$D38)+INDEX(F$7:F$22,$B38+1)*$D38)*F$4*$B$2</f>
        <v>0.25</v>
      </c>
      <c r="F38" s="22">
        <f t="shared" si="25"/>
        <v>0</v>
      </c>
      <c r="G38" s="22">
        <f t="shared" si="25"/>
        <v>0</v>
      </c>
      <c r="H38" s="22">
        <f t="shared" si="25"/>
        <v>0</v>
      </c>
      <c r="I38" s="22">
        <f t="shared" si="25"/>
        <v>0</v>
      </c>
      <c r="J38" s="22">
        <f t="shared" si="25"/>
        <v>0</v>
      </c>
      <c r="K38" s="22">
        <f t="shared" si="25"/>
        <v>0</v>
      </c>
      <c r="L38" s="22">
        <f t="shared" si="25"/>
        <v>0</v>
      </c>
      <c r="M38" s="22">
        <f t="shared" si="25"/>
        <v>0</v>
      </c>
      <c r="N38" s="37">
        <f t="shared" ref="N38:O38" si="26">INT((INDEX(O$7:O$22,$B38)*(1-$D38)+INDEX(O$7:O$22,$B38+1)*$D38)*O$4*$B$2)</f>
        <v>25</v>
      </c>
      <c r="O38" s="37">
        <f t="shared" si="26"/>
        <v>10</v>
      </c>
      <c r="R38" s="29">
        <v>3</v>
      </c>
      <c r="S38" s="29" t="s">
        <v>232</v>
      </c>
      <c r="T38" s="15">
        <f t="shared" si="12"/>
        <v>3</v>
      </c>
      <c r="U38" s="29">
        <v>30</v>
      </c>
      <c r="V38" s="29">
        <v>40</v>
      </c>
      <c r="W38" s="35">
        <v>1</v>
      </c>
      <c r="X38" s="35">
        <v>1</v>
      </c>
      <c r="Y38" s="35"/>
      <c r="Z38" s="15">
        <f t="shared" si="13"/>
        <v>80</v>
      </c>
      <c r="AA38" s="15">
        <f t="shared" si="14"/>
        <v>0</v>
      </c>
      <c r="AB38" s="15">
        <f t="shared" si="15"/>
        <v>0</v>
      </c>
      <c r="AC38" s="15">
        <f t="shared" si="16"/>
        <v>0</v>
      </c>
      <c r="AD38" s="15">
        <f t="shared" si="17"/>
        <v>0</v>
      </c>
      <c r="AE38" s="15">
        <f t="shared" si="18"/>
        <v>40</v>
      </c>
      <c r="AF38" s="15">
        <f t="shared" si="19"/>
        <v>0</v>
      </c>
      <c r="AG38" s="15">
        <f t="shared" si="20"/>
        <v>0</v>
      </c>
      <c r="AH38" s="15">
        <f t="shared" si="21"/>
        <v>0</v>
      </c>
      <c r="AI38" s="15">
        <f t="shared" si="22"/>
        <v>16500</v>
      </c>
    </row>
    <row r="39" spans="1:48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M39" si="27">(INDEX(F$7:F$22,$B39)*(1-$D39)+INDEX(F$7:F$22,$B39+1)*$D39)*F$4*$B$2</f>
        <v>0.375</v>
      </c>
      <c r="F39" s="22">
        <f t="shared" si="27"/>
        <v>0</v>
      </c>
      <c r="G39" s="22">
        <f t="shared" si="27"/>
        <v>0</v>
      </c>
      <c r="H39" s="22">
        <f t="shared" si="27"/>
        <v>0</v>
      </c>
      <c r="I39" s="22">
        <f t="shared" si="27"/>
        <v>0</v>
      </c>
      <c r="J39" s="22">
        <f t="shared" si="27"/>
        <v>0</v>
      </c>
      <c r="K39" s="22">
        <f t="shared" si="27"/>
        <v>0</v>
      </c>
      <c r="L39" s="22">
        <f t="shared" si="27"/>
        <v>0</v>
      </c>
      <c r="M39" s="22">
        <f t="shared" si="27"/>
        <v>0</v>
      </c>
      <c r="N39" s="37">
        <f t="shared" ref="N39:O39" si="28">INT((INDEX(O$7:O$22,$B39)*(1-$D39)+INDEX(O$7:O$22,$B39+1)*$D39)*O$4*$B$2)</f>
        <v>33</v>
      </c>
      <c r="O39" s="37">
        <f t="shared" si="28"/>
        <v>12</v>
      </c>
      <c r="R39" s="29">
        <v>4</v>
      </c>
      <c r="S39" s="29" t="s">
        <v>233</v>
      </c>
      <c r="T39" s="15">
        <f t="shared" si="12"/>
        <v>3</v>
      </c>
      <c r="U39" s="29">
        <v>40</v>
      </c>
      <c r="V39" s="29">
        <v>50</v>
      </c>
      <c r="W39" s="35">
        <v>2</v>
      </c>
      <c r="X39" s="35">
        <v>1</v>
      </c>
      <c r="Y39" s="35"/>
      <c r="Z39" s="15">
        <f t="shared" si="13"/>
        <v>0</v>
      </c>
      <c r="AA39" s="15">
        <f t="shared" si="14"/>
        <v>35</v>
      </c>
      <c r="AB39" s="15">
        <f t="shared" si="15"/>
        <v>0</v>
      </c>
      <c r="AC39" s="15">
        <f t="shared" si="16"/>
        <v>0</v>
      </c>
      <c r="AD39" s="15">
        <f t="shared" si="17"/>
        <v>0</v>
      </c>
      <c r="AE39" s="15">
        <f t="shared" si="18"/>
        <v>65</v>
      </c>
      <c r="AF39" s="15">
        <f t="shared" si="19"/>
        <v>0</v>
      </c>
      <c r="AG39" s="15">
        <f t="shared" si="20"/>
        <v>0</v>
      </c>
      <c r="AH39" s="15">
        <f t="shared" si="21"/>
        <v>0</v>
      </c>
      <c r="AI39" s="15">
        <f t="shared" si="22"/>
        <v>22500</v>
      </c>
    </row>
    <row r="40" spans="1:48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M40" si="29">(INDEX(F$7:F$22,$B40)*(1-$D40)+INDEX(F$7:F$22,$B40+1)*$D40)*F$4*$B$2</f>
        <v>0.39249999999999996</v>
      </c>
      <c r="F40" s="22">
        <f t="shared" si="29"/>
        <v>0</v>
      </c>
      <c r="G40" s="22">
        <f t="shared" si="29"/>
        <v>0</v>
      </c>
      <c r="H40" s="22">
        <f t="shared" si="29"/>
        <v>0</v>
      </c>
      <c r="I40" s="22">
        <f t="shared" si="29"/>
        <v>0</v>
      </c>
      <c r="J40" s="22">
        <f t="shared" si="29"/>
        <v>0</v>
      </c>
      <c r="K40" s="22">
        <f t="shared" si="29"/>
        <v>0</v>
      </c>
      <c r="L40" s="22">
        <f t="shared" si="29"/>
        <v>0</v>
      </c>
      <c r="M40" s="22">
        <f t="shared" si="29"/>
        <v>0</v>
      </c>
      <c r="N40" s="37">
        <f t="shared" ref="N40:O40" si="30">INT((INDEX(O$7:O$22,$B40)*(1-$D40)+INDEX(O$7:O$22,$B40+1)*$D40)*O$4*$B$2)</f>
        <v>34</v>
      </c>
      <c r="O40" s="37">
        <f t="shared" si="30"/>
        <v>12</v>
      </c>
      <c r="R40" s="29">
        <v>5</v>
      </c>
      <c r="S40" s="29" t="s">
        <v>233</v>
      </c>
      <c r="T40" s="15">
        <f t="shared" si="12"/>
        <v>3</v>
      </c>
      <c r="U40" s="29">
        <v>50</v>
      </c>
      <c r="V40" s="29">
        <v>60</v>
      </c>
      <c r="W40" s="35">
        <v>2</v>
      </c>
      <c r="X40" s="35">
        <v>1</v>
      </c>
      <c r="Y40" s="35"/>
      <c r="Z40" s="15">
        <f t="shared" si="13"/>
        <v>0</v>
      </c>
      <c r="AA40" s="15">
        <f t="shared" si="14"/>
        <v>70</v>
      </c>
      <c r="AB40" s="15">
        <f t="shared" si="15"/>
        <v>0</v>
      </c>
      <c r="AC40" s="15">
        <f t="shared" si="16"/>
        <v>0</v>
      </c>
      <c r="AD40" s="15">
        <f t="shared" si="17"/>
        <v>0</v>
      </c>
      <c r="AE40" s="15">
        <f t="shared" si="18"/>
        <v>85</v>
      </c>
      <c r="AF40" s="15">
        <f t="shared" si="19"/>
        <v>0</v>
      </c>
      <c r="AG40" s="15">
        <f t="shared" si="20"/>
        <v>0</v>
      </c>
      <c r="AH40" s="15">
        <f t="shared" si="21"/>
        <v>0</v>
      </c>
      <c r="AI40" s="15">
        <f t="shared" si="22"/>
        <v>53000</v>
      </c>
    </row>
    <row r="41" spans="1:48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M41" si="31">(INDEX(F$7:F$22,$B41)*(1-$D41)+INDEX(F$7:F$22,$B41+1)*$D41)*F$4*$B$2</f>
        <v>0.41000000000000003</v>
      </c>
      <c r="F41" s="22">
        <f t="shared" si="31"/>
        <v>0</v>
      </c>
      <c r="G41" s="22">
        <f t="shared" si="31"/>
        <v>0</v>
      </c>
      <c r="H41" s="22">
        <f t="shared" si="31"/>
        <v>0</v>
      </c>
      <c r="I41" s="22">
        <f t="shared" si="31"/>
        <v>0</v>
      </c>
      <c r="J41" s="22">
        <f t="shared" si="31"/>
        <v>0</v>
      </c>
      <c r="K41" s="22">
        <f t="shared" si="31"/>
        <v>0</v>
      </c>
      <c r="L41" s="22">
        <f t="shared" si="31"/>
        <v>0</v>
      </c>
      <c r="M41" s="22">
        <f t="shared" si="31"/>
        <v>0</v>
      </c>
      <c r="N41" s="37">
        <f t="shared" ref="N41:O41" si="32">INT((INDEX(O$7:O$22,$B41)*(1-$D41)+INDEX(O$7:O$22,$B41+1)*$D41)*O$4*$B$2)</f>
        <v>35</v>
      </c>
      <c r="O41" s="37">
        <f t="shared" si="32"/>
        <v>13</v>
      </c>
      <c r="R41" s="29">
        <v>6</v>
      </c>
      <c r="S41" s="29" t="s">
        <v>234</v>
      </c>
      <c r="T41" s="15">
        <f t="shared" si="12"/>
        <v>3</v>
      </c>
      <c r="U41" s="29">
        <v>60</v>
      </c>
      <c r="V41" s="29">
        <v>70</v>
      </c>
      <c r="W41" s="35">
        <v>2</v>
      </c>
      <c r="X41" s="35">
        <v>1</v>
      </c>
      <c r="Y41" s="35"/>
      <c r="Z41" s="15">
        <f t="shared" si="13"/>
        <v>0</v>
      </c>
      <c r="AA41" s="15">
        <f t="shared" si="14"/>
        <v>110</v>
      </c>
      <c r="AB41" s="15">
        <f t="shared" si="15"/>
        <v>0</v>
      </c>
      <c r="AC41" s="15">
        <f t="shared" si="16"/>
        <v>0</v>
      </c>
      <c r="AD41" s="15">
        <f t="shared" si="17"/>
        <v>0</v>
      </c>
      <c r="AE41" s="15">
        <f t="shared" si="18"/>
        <v>110</v>
      </c>
      <c r="AF41" s="15">
        <f t="shared" si="19"/>
        <v>0</v>
      </c>
      <c r="AG41" s="15">
        <f t="shared" si="20"/>
        <v>0</v>
      </c>
      <c r="AH41" s="15">
        <f t="shared" si="21"/>
        <v>0</v>
      </c>
      <c r="AI41" s="15">
        <f t="shared" si="22"/>
        <v>59500</v>
      </c>
    </row>
    <row r="42" spans="1:48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M42" si="33">(INDEX(F$7:F$22,$B42)*(1-$D42)+INDEX(F$7:F$22,$B42+1)*$D42)*F$4*$B$2</f>
        <v>0.42749999999999999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  <c r="M42" s="22">
        <f t="shared" si="33"/>
        <v>0</v>
      </c>
      <c r="N42" s="37">
        <f t="shared" ref="N42:O42" si="34">INT((INDEX(O$7:O$22,$B42)*(1-$D42)+INDEX(O$7:O$22,$B42+1)*$D42)*O$4*$B$2)</f>
        <v>37</v>
      </c>
      <c r="O42" s="37">
        <f t="shared" si="34"/>
        <v>13</v>
      </c>
      <c r="R42" s="29">
        <v>7</v>
      </c>
      <c r="S42" s="29" t="s">
        <v>234</v>
      </c>
      <c r="T42" s="15">
        <f t="shared" si="12"/>
        <v>3</v>
      </c>
      <c r="U42" s="29">
        <v>70</v>
      </c>
      <c r="V42" s="29">
        <v>80</v>
      </c>
      <c r="W42" s="35">
        <v>2</v>
      </c>
      <c r="X42" s="35">
        <v>1</v>
      </c>
      <c r="Y42" s="35"/>
      <c r="Z42" s="15">
        <f t="shared" si="13"/>
        <v>0</v>
      </c>
      <c r="AA42" s="15">
        <f t="shared" si="14"/>
        <v>145</v>
      </c>
      <c r="AB42" s="15">
        <f t="shared" si="15"/>
        <v>0</v>
      </c>
      <c r="AC42" s="15">
        <f t="shared" si="16"/>
        <v>0</v>
      </c>
      <c r="AD42" s="15">
        <f t="shared" si="17"/>
        <v>0</v>
      </c>
      <c r="AE42" s="15">
        <f t="shared" si="18"/>
        <v>130</v>
      </c>
      <c r="AF42" s="15">
        <f t="shared" si="19"/>
        <v>0</v>
      </c>
      <c r="AG42" s="15">
        <f t="shared" si="20"/>
        <v>0</v>
      </c>
      <c r="AH42" s="15">
        <f t="shared" si="21"/>
        <v>0</v>
      </c>
      <c r="AI42" s="15">
        <f t="shared" si="22"/>
        <v>65500</v>
      </c>
    </row>
    <row r="43" spans="1:48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M43" si="35">(INDEX(F$7:F$22,$B43)*(1-$D43)+INDEX(F$7:F$22,$B43+1)*$D43)*F$4*$B$2</f>
        <v>0.44500000000000001</v>
      </c>
      <c r="F43" s="22">
        <f t="shared" si="35"/>
        <v>0</v>
      </c>
      <c r="G43" s="22">
        <f t="shared" si="35"/>
        <v>0</v>
      </c>
      <c r="H43" s="22">
        <f t="shared" si="35"/>
        <v>0</v>
      </c>
      <c r="I43" s="22">
        <f t="shared" si="35"/>
        <v>0</v>
      </c>
      <c r="J43" s="22">
        <f t="shared" si="35"/>
        <v>0</v>
      </c>
      <c r="K43" s="22">
        <f t="shared" si="35"/>
        <v>0</v>
      </c>
      <c r="L43" s="22">
        <f t="shared" si="35"/>
        <v>0</v>
      </c>
      <c r="M43" s="22">
        <f t="shared" si="35"/>
        <v>0</v>
      </c>
      <c r="N43" s="37">
        <f t="shared" ref="N43:O43" si="36">INT((INDEX(O$7:O$22,$B43)*(1-$D43)+INDEX(O$7:O$22,$B43+1)*$D43)*O$4*$B$2)</f>
        <v>38</v>
      </c>
      <c r="O43" s="37">
        <f t="shared" si="36"/>
        <v>13</v>
      </c>
      <c r="R43" s="29">
        <v>8</v>
      </c>
      <c r="S43" s="29" t="s">
        <v>235</v>
      </c>
      <c r="T43" s="15">
        <f t="shared" si="12"/>
        <v>3</v>
      </c>
      <c r="U43" s="29">
        <v>80</v>
      </c>
      <c r="V43" s="29">
        <v>85</v>
      </c>
      <c r="W43" s="35">
        <v>3</v>
      </c>
      <c r="X43" s="35">
        <v>2</v>
      </c>
      <c r="Y43" s="35"/>
      <c r="Z43" s="15">
        <f t="shared" si="13"/>
        <v>0</v>
      </c>
      <c r="AA43" s="15">
        <f t="shared" si="14"/>
        <v>0</v>
      </c>
      <c r="AB43" s="15">
        <f t="shared" si="15"/>
        <v>70</v>
      </c>
      <c r="AC43" s="15">
        <f t="shared" si="16"/>
        <v>0</v>
      </c>
      <c r="AD43" s="15">
        <f t="shared" si="17"/>
        <v>0</v>
      </c>
      <c r="AE43" s="15">
        <f t="shared" si="18"/>
        <v>0</v>
      </c>
      <c r="AF43" s="15">
        <f t="shared" si="19"/>
        <v>55</v>
      </c>
      <c r="AG43" s="15">
        <f t="shared" si="20"/>
        <v>0</v>
      </c>
      <c r="AH43" s="15">
        <f t="shared" si="21"/>
        <v>0</v>
      </c>
      <c r="AI43" s="15">
        <f t="shared" si="22"/>
        <v>76000</v>
      </c>
    </row>
    <row r="44" spans="1:48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M44" si="37">(INDEX(F$7:F$22,$B44)*(1-$D44)+INDEX(F$7:F$22,$B44+1)*$D44)*F$4*$B$2</f>
        <v>0.46250000000000002</v>
      </c>
      <c r="F44" s="22">
        <f t="shared" si="37"/>
        <v>0</v>
      </c>
      <c r="G44" s="22">
        <f t="shared" si="37"/>
        <v>0</v>
      </c>
      <c r="H44" s="22">
        <f t="shared" si="37"/>
        <v>0</v>
      </c>
      <c r="I44" s="22">
        <f t="shared" si="37"/>
        <v>0</v>
      </c>
      <c r="J44" s="22">
        <f t="shared" si="37"/>
        <v>0</v>
      </c>
      <c r="K44" s="22">
        <f t="shared" si="37"/>
        <v>0</v>
      </c>
      <c r="L44" s="22">
        <f t="shared" si="37"/>
        <v>0</v>
      </c>
      <c r="M44" s="22">
        <f t="shared" si="37"/>
        <v>0</v>
      </c>
      <c r="N44" s="37">
        <f t="shared" ref="N44:O44" si="38">INT((INDEX(O$7:O$22,$B44)*(1-$D44)+INDEX(O$7:O$22,$B44+1)*$D44)*O$4*$B$2)</f>
        <v>39</v>
      </c>
      <c r="O44" s="37">
        <f t="shared" si="38"/>
        <v>14</v>
      </c>
      <c r="R44" s="29">
        <v>9</v>
      </c>
      <c r="S44" s="29" t="s">
        <v>235</v>
      </c>
      <c r="T44" s="15">
        <f t="shared" si="12"/>
        <v>3</v>
      </c>
      <c r="U44" s="29">
        <v>85</v>
      </c>
      <c r="V44" s="29">
        <v>90</v>
      </c>
      <c r="W44" s="35">
        <v>3</v>
      </c>
      <c r="X44" s="35">
        <v>2</v>
      </c>
      <c r="Y44" s="35"/>
      <c r="Z44" s="15">
        <f t="shared" si="13"/>
        <v>0</v>
      </c>
      <c r="AA44" s="15">
        <f t="shared" si="14"/>
        <v>0</v>
      </c>
      <c r="AB44" s="15">
        <f t="shared" si="15"/>
        <v>140</v>
      </c>
      <c r="AC44" s="15">
        <f t="shared" si="16"/>
        <v>0</v>
      </c>
      <c r="AD44" s="15">
        <f t="shared" si="17"/>
        <v>0</v>
      </c>
      <c r="AE44" s="15">
        <f t="shared" si="18"/>
        <v>0</v>
      </c>
      <c r="AF44" s="15">
        <f t="shared" si="19"/>
        <v>95</v>
      </c>
      <c r="AG44" s="15">
        <f t="shared" si="20"/>
        <v>0</v>
      </c>
      <c r="AH44" s="15">
        <f t="shared" si="21"/>
        <v>0</v>
      </c>
      <c r="AI44" s="15">
        <f t="shared" si="22"/>
        <v>83000</v>
      </c>
    </row>
    <row r="45" spans="1:48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M45" si="39">(INDEX(F$7:F$22,$B45)*(1-$D45)+INDEX(F$7:F$22,$B45+1)*$D45)*F$4*$B$2</f>
        <v>0.48</v>
      </c>
      <c r="F45" s="22">
        <f t="shared" si="39"/>
        <v>0</v>
      </c>
      <c r="G45" s="22">
        <f t="shared" si="39"/>
        <v>0</v>
      </c>
      <c r="H45" s="22">
        <f t="shared" si="39"/>
        <v>0</v>
      </c>
      <c r="I45" s="22">
        <f t="shared" si="39"/>
        <v>0</v>
      </c>
      <c r="J45" s="22">
        <f t="shared" si="39"/>
        <v>0</v>
      </c>
      <c r="K45" s="22">
        <f t="shared" si="39"/>
        <v>0</v>
      </c>
      <c r="L45" s="22">
        <f t="shared" si="39"/>
        <v>0</v>
      </c>
      <c r="M45" s="22">
        <f t="shared" si="39"/>
        <v>0</v>
      </c>
      <c r="N45" s="37">
        <f t="shared" ref="N45:O45" si="40">INT((INDEX(O$7:O$22,$B45)*(1-$D45)+INDEX(O$7:O$22,$B45+1)*$D45)*O$4*$B$2)</f>
        <v>40</v>
      </c>
      <c r="O45" s="37">
        <f t="shared" si="40"/>
        <v>14</v>
      </c>
      <c r="R45" s="29">
        <v>10</v>
      </c>
      <c r="S45" s="29" t="s">
        <v>235</v>
      </c>
      <c r="T45" s="15">
        <f t="shared" si="12"/>
        <v>3</v>
      </c>
      <c r="U45" s="29">
        <v>90</v>
      </c>
      <c r="V45" s="29">
        <v>95</v>
      </c>
      <c r="W45" s="35">
        <v>3</v>
      </c>
      <c r="X45" s="35">
        <v>2</v>
      </c>
      <c r="Y45" s="35"/>
      <c r="Z45" s="15">
        <f t="shared" si="13"/>
        <v>0</v>
      </c>
      <c r="AA45" s="15">
        <f t="shared" si="14"/>
        <v>0</v>
      </c>
      <c r="AB45" s="15">
        <f t="shared" si="15"/>
        <v>215</v>
      </c>
      <c r="AC45" s="15">
        <f t="shared" si="16"/>
        <v>0</v>
      </c>
      <c r="AD45" s="15">
        <f t="shared" si="17"/>
        <v>0</v>
      </c>
      <c r="AE45" s="15">
        <f t="shared" si="18"/>
        <v>0</v>
      </c>
      <c r="AF45" s="15">
        <f t="shared" si="19"/>
        <v>145</v>
      </c>
      <c r="AG45" s="15">
        <f t="shared" si="20"/>
        <v>0</v>
      </c>
      <c r="AH45" s="15">
        <f t="shared" si="21"/>
        <v>0</v>
      </c>
      <c r="AI45" s="15">
        <f t="shared" si="22"/>
        <v>90000</v>
      </c>
    </row>
    <row r="46" spans="1:48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M46" si="41">(INDEX(F$7:F$22,$B46)*(1-$D46)+INDEX(F$7:F$22,$B46+1)*$D46)*F$4*$B$2</f>
        <v>0.5</v>
      </c>
      <c r="F46" s="22">
        <f t="shared" si="41"/>
        <v>0</v>
      </c>
      <c r="G46" s="22">
        <f t="shared" si="41"/>
        <v>0</v>
      </c>
      <c r="H46" s="22">
        <f t="shared" si="41"/>
        <v>0</v>
      </c>
      <c r="I46" s="22">
        <f t="shared" si="41"/>
        <v>0</v>
      </c>
      <c r="J46" s="22">
        <f t="shared" si="41"/>
        <v>0</v>
      </c>
      <c r="K46" s="22">
        <f t="shared" si="41"/>
        <v>0</v>
      </c>
      <c r="L46" s="22">
        <f t="shared" si="41"/>
        <v>0</v>
      </c>
      <c r="M46" s="22">
        <f t="shared" si="41"/>
        <v>0</v>
      </c>
      <c r="N46" s="37">
        <f t="shared" ref="N46:O46" si="42">INT((INDEX(O$7:O$22,$B46)*(1-$D46)+INDEX(O$7:O$22,$B46+1)*$D46)*O$4*$B$2)</f>
        <v>42</v>
      </c>
      <c r="O46" s="37">
        <f t="shared" si="42"/>
        <v>15</v>
      </c>
      <c r="R46" s="29">
        <v>11</v>
      </c>
      <c r="S46" s="29" t="s">
        <v>235</v>
      </c>
      <c r="T46" s="15">
        <f t="shared" si="12"/>
        <v>3</v>
      </c>
      <c r="U46" s="29">
        <v>95</v>
      </c>
      <c r="V46" s="29">
        <v>100</v>
      </c>
      <c r="W46" s="35">
        <v>3</v>
      </c>
      <c r="X46" s="35">
        <v>2</v>
      </c>
      <c r="Y46" s="35"/>
      <c r="Z46" s="15">
        <f t="shared" si="13"/>
        <v>0</v>
      </c>
      <c r="AA46" s="15">
        <f t="shared" si="14"/>
        <v>0</v>
      </c>
      <c r="AB46" s="15">
        <f t="shared" si="15"/>
        <v>285</v>
      </c>
      <c r="AC46" s="15">
        <f t="shared" si="16"/>
        <v>0</v>
      </c>
      <c r="AD46" s="15">
        <f t="shared" si="17"/>
        <v>0</v>
      </c>
      <c r="AE46" s="15">
        <f t="shared" si="18"/>
        <v>0</v>
      </c>
      <c r="AF46" s="15">
        <f t="shared" si="19"/>
        <v>185</v>
      </c>
      <c r="AG46" s="15">
        <f t="shared" si="20"/>
        <v>0</v>
      </c>
      <c r="AH46" s="15">
        <f t="shared" si="21"/>
        <v>0</v>
      </c>
      <c r="AI46" s="15">
        <f t="shared" si="22"/>
        <v>97000</v>
      </c>
    </row>
    <row r="47" spans="1:48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M47" si="43">(INDEX(F$7:F$22,$B47)*(1-$D47)+INDEX(F$7:F$22,$B47+1)*$D47)*F$4*$B$2</f>
        <v>0.625</v>
      </c>
      <c r="F47" s="22">
        <f t="shared" si="43"/>
        <v>0</v>
      </c>
      <c r="G47" s="22">
        <f t="shared" si="43"/>
        <v>0</v>
      </c>
      <c r="H47" s="22">
        <f t="shared" si="43"/>
        <v>0</v>
      </c>
      <c r="I47" s="22">
        <f t="shared" si="43"/>
        <v>0</v>
      </c>
      <c r="J47" s="22">
        <f t="shared" si="43"/>
        <v>0</v>
      </c>
      <c r="K47" s="22">
        <f t="shared" si="43"/>
        <v>0</v>
      </c>
      <c r="L47" s="22">
        <f t="shared" si="43"/>
        <v>0</v>
      </c>
      <c r="M47" s="22">
        <f t="shared" si="43"/>
        <v>0</v>
      </c>
      <c r="N47" s="37">
        <f t="shared" ref="N47:O47" si="44">INT((INDEX(O$7:O$22,$B47)*(1-$D47)+INDEX(O$7:O$22,$B47+1)*$D47)*O$4*$B$2)</f>
        <v>56</v>
      </c>
      <c r="O47" s="37">
        <f t="shared" si="44"/>
        <v>17</v>
      </c>
      <c r="R47" s="29">
        <v>12</v>
      </c>
      <c r="S47" s="29" t="s">
        <v>236</v>
      </c>
      <c r="T47" s="15">
        <f t="shared" si="12"/>
        <v>3</v>
      </c>
      <c r="U47" s="29">
        <v>100</v>
      </c>
      <c r="V47" s="29">
        <v>105</v>
      </c>
      <c r="W47" s="35">
        <v>4</v>
      </c>
      <c r="X47" s="35">
        <v>2</v>
      </c>
      <c r="Y47" s="35"/>
      <c r="Z47" s="15">
        <f t="shared" si="13"/>
        <v>0</v>
      </c>
      <c r="AA47" s="15">
        <f t="shared" si="14"/>
        <v>0</v>
      </c>
      <c r="AB47" s="15">
        <f t="shared" si="15"/>
        <v>0</v>
      </c>
      <c r="AC47" s="15">
        <f t="shared" si="16"/>
        <v>115</v>
      </c>
      <c r="AD47" s="15">
        <f t="shared" si="17"/>
        <v>0</v>
      </c>
      <c r="AE47" s="15">
        <f t="shared" si="18"/>
        <v>0</v>
      </c>
      <c r="AF47" s="15">
        <f t="shared" si="19"/>
        <v>225</v>
      </c>
      <c r="AG47" s="15">
        <f t="shared" si="20"/>
        <v>0</v>
      </c>
      <c r="AH47" s="15">
        <f t="shared" si="21"/>
        <v>0</v>
      </c>
      <c r="AI47" s="15">
        <f t="shared" si="22"/>
        <v>122000</v>
      </c>
    </row>
    <row r="48" spans="1:48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M48" si="45">(INDEX(F$7:F$22,$B48)*(1-$D48)+INDEX(F$7:F$22,$B48+1)*$D48)*F$4*$B$2</f>
        <v>0.64</v>
      </c>
      <c r="F48" s="22">
        <f t="shared" si="45"/>
        <v>0</v>
      </c>
      <c r="G48" s="22">
        <f t="shared" si="45"/>
        <v>0</v>
      </c>
      <c r="H48" s="22">
        <f t="shared" si="45"/>
        <v>0</v>
      </c>
      <c r="I48" s="22">
        <f t="shared" si="45"/>
        <v>0</v>
      </c>
      <c r="J48" s="22">
        <f t="shared" si="45"/>
        <v>0</v>
      </c>
      <c r="K48" s="22">
        <f t="shared" si="45"/>
        <v>0</v>
      </c>
      <c r="L48" s="22">
        <f t="shared" si="45"/>
        <v>0</v>
      </c>
      <c r="M48" s="22">
        <f t="shared" si="45"/>
        <v>0</v>
      </c>
      <c r="N48" s="37">
        <f t="shared" ref="N48:O48" si="46">INT((INDEX(O$7:O$22,$B48)*(1-$D48)+INDEX(O$7:O$22,$B48+1)*$D48)*O$4*$B$2)</f>
        <v>57</v>
      </c>
      <c r="O48" s="37">
        <f t="shared" si="46"/>
        <v>17</v>
      </c>
      <c r="R48" s="29">
        <v>13</v>
      </c>
      <c r="S48" s="29" t="s">
        <v>236</v>
      </c>
      <c r="T48" s="15">
        <f t="shared" si="12"/>
        <v>3</v>
      </c>
      <c r="U48" s="29">
        <v>105</v>
      </c>
      <c r="V48" s="29">
        <v>110</v>
      </c>
      <c r="W48" s="35">
        <v>4</v>
      </c>
      <c r="X48" s="35">
        <v>2</v>
      </c>
      <c r="Y48" s="35"/>
      <c r="Z48" s="15">
        <f t="shared" si="13"/>
        <v>0</v>
      </c>
      <c r="AA48" s="15">
        <f t="shared" si="14"/>
        <v>0</v>
      </c>
      <c r="AB48" s="15">
        <f t="shared" si="15"/>
        <v>0</v>
      </c>
      <c r="AC48" s="15">
        <f t="shared" si="16"/>
        <v>235</v>
      </c>
      <c r="AD48" s="15">
        <f t="shared" si="17"/>
        <v>0</v>
      </c>
      <c r="AE48" s="15">
        <f t="shared" si="18"/>
        <v>0</v>
      </c>
      <c r="AF48" s="15">
        <f t="shared" si="19"/>
        <v>265</v>
      </c>
      <c r="AG48" s="15">
        <f t="shared" si="20"/>
        <v>0</v>
      </c>
      <c r="AH48" s="15">
        <f t="shared" si="21"/>
        <v>0</v>
      </c>
      <c r="AI48" s="15">
        <f t="shared" si="22"/>
        <v>162500</v>
      </c>
    </row>
    <row r="49" spans="1:35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M49" si="47">(INDEX(F$7:F$22,$B49)*(1-$D49)+INDEX(F$7:F$22,$B49+1)*$D49)*F$4*$B$2</f>
        <v>0.65500000000000003</v>
      </c>
      <c r="F49" s="22">
        <f t="shared" si="47"/>
        <v>0</v>
      </c>
      <c r="G49" s="22">
        <f t="shared" si="47"/>
        <v>0</v>
      </c>
      <c r="H49" s="22">
        <f t="shared" si="47"/>
        <v>0</v>
      </c>
      <c r="I49" s="22">
        <f t="shared" si="47"/>
        <v>0</v>
      </c>
      <c r="J49" s="22">
        <f t="shared" si="47"/>
        <v>0</v>
      </c>
      <c r="K49" s="22">
        <f t="shared" si="47"/>
        <v>0</v>
      </c>
      <c r="L49" s="22">
        <f t="shared" si="47"/>
        <v>0</v>
      </c>
      <c r="M49" s="22">
        <f t="shared" si="47"/>
        <v>0</v>
      </c>
      <c r="N49" s="37">
        <f t="shared" ref="N49:O49" si="48">INT((INDEX(O$7:O$22,$B49)*(1-$D49)+INDEX(O$7:O$22,$B49+1)*$D49)*O$4*$B$2)</f>
        <v>59</v>
      </c>
      <c r="O49" s="37">
        <f t="shared" si="48"/>
        <v>18</v>
      </c>
      <c r="R49" s="29">
        <v>14</v>
      </c>
      <c r="S49" s="29" t="s">
        <v>236</v>
      </c>
      <c r="T49" s="15">
        <f t="shared" si="12"/>
        <v>3</v>
      </c>
      <c r="U49" s="29">
        <v>110</v>
      </c>
      <c r="V49" s="29">
        <v>115</v>
      </c>
      <c r="W49" s="35">
        <v>4</v>
      </c>
      <c r="X49" s="35">
        <v>3</v>
      </c>
      <c r="Y49" s="35"/>
      <c r="Z49" s="15">
        <f t="shared" si="13"/>
        <v>0</v>
      </c>
      <c r="AA49" s="15">
        <f t="shared" si="14"/>
        <v>0</v>
      </c>
      <c r="AB49" s="15">
        <f t="shared" si="15"/>
        <v>0</v>
      </c>
      <c r="AC49" s="15">
        <f t="shared" si="16"/>
        <v>355</v>
      </c>
      <c r="AD49" s="15">
        <f t="shared" si="17"/>
        <v>0</v>
      </c>
      <c r="AE49" s="15">
        <f t="shared" si="18"/>
        <v>0</v>
      </c>
      <c r="AF49" s="15">
        <f t="shared" si="19"/>
        <v>0</v>
      </c>
      <c r="AG49" s="15">
        <f t="shared" si="20"/>
        <v>45</v>
      </c>
      <c r="AH49" s="15">
        <f t="shared" si="21"/>
        <v>0</v>
      </c>
      <c r="AI49" s="15">
        <f t="shared" si="22"/>
        <v>190000</v>
      </c>
    </row>
    <row r="50" spans="1:35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M50" si="49">(INDEX(F$7:F$22,$B50)*(1-$D50)+INDEX(F$7:F$22,$B50+1)*$D50)*F$4*$B$2</f>
        <v>0.66999999999999993</v>
      </c>
      <c r="F50" s="22">
        <f t="shared" si="49"/>
        <v>0</v>
      </c>
      <c r="G50" s="22">
        <f t="shared" si="49"/>
        <v>0</v>
      </c>
      <c r="H50" s="22">
        <f t="shared" si="49"/>
        <v>0</v>
      </c>
      <c r="I50" s="22">
        <f t="shared" si="49"/>
        <v>0</v>
      </c>
      <c r="J50" s="22">
        <f t="shared" si="49"/>
        <v>0</v>
      </c>
      <c r="K50" s="22">
        <f t="shared" si="49"/>
        <v>0</v>
      </c>
      <c r="L50" s="22">
        <f t="shared" si="49"/>
        <v>0</v>
      </c>
      <c r="M50" s="22">
        <f t="shared" si="49"/>
        <v>0</v>
      </c>
      <c r="N50" s="37">
        <f t="shared" ref="N50:O50" si="50">INT((INDEX(O$7:O$22,$B50)*(1-$D50)+INDEX(O$7:O$22,$B50+1)*$D50)*O$4*$B$2)</f>
        <v>61</v>
      </c>
      <c r="O50" s="37">
        <f t="shared" si="50"/>
        <v>18</v>
      </c>
      <c r="R50" s="29">
        <v>15</v>
      </c>
      <c r="S50" s="29" t="s">
        <v>236</v>
      </c>
      <c r="T50" s="15">
        <f t="shared" si="12"/>
        <v>3</v>
      </c>
      <c r="U50" s="29">
        <v>115</v>
      </c>
      <c r="V50" s="29">
        <v>120</v>
      </c>
      <c r="W50" s="35">
        <v>4</v>
      </c>
      <c r="X50" s="35">
        <v>3</v>
      </c>
      <c r="Y50" s="35"/>
      <c r="Z50" s="15">
        <f t="shared" si="13"/>
        <v>0</v>
      </c>
      <c r="AA50" s="15">
        <f t="shared" si="14"/>
        <v>0</v>
      </c>
      <c r="AB50" s="15">
        <f t="shared" si="15"/>
        <v>0</v>
      </c>
      <c r="AC50" s="15">
        <f t="shared" si="16"/>
        <v>475</v>
      </c>
      <c r="AD50" s="15">
        <f t="shared" si="17"/>
        <v>0</v>
      </c>
      <c r="AE50" s="15">
        <f t="shared" si="18"/>
        <v>0</v>
      </c>
      <c r="AF50" s="15">
        <f t="shared" si="19"/>
        <v>0</v>
      </c>
      <c r="AG50" s="15">
        <f t="shared" si="20"/>
        <v>70</v>
      </c>
      <c r="AH50" s="15">
        <f t="shared" si="21"/>
        <v>0</v>
      </c>
      <c r="AI50" s="15">
        <f t="shared" si="22"/>
        <v>219000</v>
      </c>
    </row>
    <row r="51" spans="1:35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M51" si="51">(INDEX(F$7:F$22,$B51)*(1-$D51)+INDEX(F$7:F$22,$B51+1)*$D51)*F$4*$B$2</f>
        <v>0.68499999999999994</v>
      </c>
      <c r="F51" s="22">
        <f t="shared" si="51"/>
        <v>0</v>
      </c>
      <c r="G51" s="22">
        <f t="shared" si="51"/>
        <v>0</v>
      </c>
      <c r="H51" s="22">
        <f t="shared" si="51"/>
        <v>0</v>
      </c>
      <c r="I51" s="22">
        <f t="shared" si="51"/>
        <v>0</v>
      </c>
      <c r="J51" s="22">
        <f t="shared" si="51"/>
        <v>0</v>
      </c>
      <c r="K51" s="22">
        <f t="shared" si="51"/>
        <v>0</v>
      </c>
      <c r="L51" s="22">
        <f t="shared" si="51"/>
        <v>0</v>
      </c>
      <c r="M51" s="22">
        <f t="shared" si="51"/>
        <v>0</v>
      </c>
      <c r="N51" s="37">
        <f t="shared" ref="N51:O51" si="52">INT((INDEX(O$7:O$22,$B51)*(1-$D51)+INDEX(O$7:O$22,$B51+1)*$D51)*O$4*$B$2)</f>
        <v>62</v>
      </c>
      <c r="O51" s="37">
        <f t="shared" si="52"/>
        <v>18</v>
      </c>
      <c r="R51" s="29">
        <v>16</v>
      </c>
      <c r="S51" s="29" t="s">
        <v>237</v>
      </c>
      <c r="T51" s="15">
        <f t="shared" si="12"/>
        <v>3</v>
      </c>
      <c r="U51" s="29">
        <v>120</v>
      </c>
      <c r="V51" s="29">
        <v>125</v>
      </c>
      <c r="W51" s="35">
        <v>5</v>
      </c>
      <c r="X51" s="35">
        <v>3</v>
      </c>
      <c r="Y51" s="35">
        <v>1</v>
      </c>
      <c r="Z51" s="15">
        <f t="shared" si="13"/>
        <v>0</v>
      </c>
      <c r="AA51" s="15">
        <f t="shared" si="14"/>
        <v>0</v>
      </c>
      <c r="AB51" s="15">
        <f t="shared" si="15"/>
        <v>0</v>
      </c>
      <c r="AC51" s="15">
        <f t="shared" si="16"/>
        <v>0</v>
      </c>
      <c r="AD51" s="15">
        <f t="shared" si="17"/>
        <v>45</v>
      </c>
      <c r="AE51" s="15">
        <f t="shared" si="18"/>
        <v>0</v>
      </c>
      <c r="AF51" s="15">
        <f t="shared" si="19"/>
        <v>0</v>
      </c>
      <c r="AG51" s="15">
        <f t="shared" si="20"/>
        <v>100</v>
      </c>
      <c r="AH51" s="15">
        <f t="shared" si="21"/>
        <v>25</v>
      </c>
      <c r="AI51" s="15">
        <f t="shared" si="22"/>
        <v>228000</v>
      </c>
    </row>
    <row r="52" spans="1:35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M52" si="53">(INDEX(F$7:F$22,$B52)*(1-$D52)+INDEX(F$7:F$22,$B52+1)*$D52)*F$4*$B$2</f>
        <v>0.70000000000000007</v>
      </c>
      <c r="F52" s="22">
        <f t="shared" si="53"/>
        <v>0</v>
      </c>
      <c r="G52" s="22">
        <f t="shared" si="53"/>
        <v>0</v>
      </c>
      <c r="H52" s="22">
        <f t="shared" si="53"/>
        <v>0</v>
      </c>
      <c r="I52" s="22">
        <f t="shared" si="53"/>
        <v>0</v>
      </c>
      <c r="J52" s="22">
        <f t="shared" si="53"/>
        <v>0</v>
      </c>
      <c r="K52" s="22">
        <f t="shared" si="53"/>
        <v>0</v>
      </c>
      <c r="L52" s="22">
        <f t="shared" si="53"/>
        <v>0</v>
      </c>
      <c r="M52" s="22">
        <f t="shared" si="53"/>
        <v>0</v>
      </c>
      <c r="N52" s="37">
        <f t="shared" ref="N52:O52" si="54">INT((INDEX(O$7:O$22,$B52)*(1-$D52)+INDEX(O$7:O$22,$B52+1)*$D52)*O$4*$B$2)</f>
        <v>64</v>
      </c>
      <c r="O52" s="37">
        <f t="shared" si="54"/>
        <v>19</v>
      </c>
      <c r="R52" s="29">
        <v>17</v>
      </c>
      <c r="S52" s="29" t="s">
        <v>237</v>
      </c>
      <c r="T52" s="15">
        <f t="shared" si="12"/>
        <v>3</v>
      </c>
      <c r="U52" s="29">
        <v>125</v>
      </c>
      <c r="V52" s="29">
        <v>130</v>
      </c>
      <c r="W52" s="35">
        <v>5</v>
      </c>
      <c r="X52" s="35">
        <v>3</v>
      </c>
      <c r="Y52" s="35">
        <v>1</v>
      </c>
      <c r="Z52" s="15">
        <f t="shared" si="13"/>
        <v>0</v>
      </c>
      <c r="AA52" s="15">
        <f t="shared" si="14"/>
        <v>0</v>
      </c>
      <c r="AB52" s="15">
        <f t="shared" si="15"/>
        <v>0</v>
      </c>
      <c r="AC52" s="15">
        <f t="shared" si="16"/>
        <v>0</v>
      </c>
      <c r="AD52" s="15">
        <f t="shared" si="17"/>
        <v>65</v>
      </c>
      <c r="AE52" s="15">
        <f t="shared" si="18"/>
        <v>0</v>
      </c>
      <c r="AF52" s="15">
        <f t="shared" si="19"/>
        <v>0</v>
      </c>
      <c r="AG52" s="15">
        <f t="shared" si="20"/>
        <v>125</v>
      </c>
      <c r="AH52" s="15">
        <f t="shared" si="21"/>
        <v>35</v>
      </c>
      <c r="AI52" s="15">
        <f t="shared" si="22"/>
        <v>319500</v>
      </c>
    </row>
    <row r="53" spans="1:35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M53" si="55">(INDEX(F$7:F$22,$B53)*(1-$D53)+INDEX(F$7:F$22,$B53+1)*$D53)*F$4*$B$2</f>
        <v>0.71500000000000008</v>
      </c>
      <c r="F53" s="22">
        <f t="shared" si="55"/>
        <v>0</v>
      </c>
      <c r="G53" s="22">
        <f t="shared" si="55"/>
        <v>0</v>
      </c>
      <c r="H53" s="22">
        <f t="shared" si="55"/>
        <v>0</v>
      </c>
      <c r="I53" s="22">
        <f t="shared" si="55"/>
        <v>0</v>
      </c>
      <c r="J53" s="22">
        <f t="shared" si="55"/>
        <v>0</v>
      </c>
      <c r="K53" s="22">
        <f t="shared" si="55"/>
        <v>0</v>
      </c>
      <c r="L53" s="22">
        <f t="shared" si="55"/>
        <v>0</v>
      </c>
      <c r="M53" s="22">
        <f t="shared" si="55"/>
        <v>0</v>
      </c>
      <c r="N53" s="37">
        <f t="shared" ref="N53:O53" si="56">INT((INDEX(O$7:O$22,$B53)*(1-$D53)+INDEX(O$7:O$22,$B53+1)*$D53)*O$4*$B$2)</f>
        <v>66</v>
      </c>
      <c r="O53" s="37">
        <f t="shared" si="56"/>
        <v>19</v>
      </c>
      <c r="R53" s="29">
        <v>18</v>
      </c>
      <c r="S53" s="29" t="s">
        <v>237</v>
      </c>
      <c r="T53" s="15">
        <f t="shared" si="12"/>
        <v>3</v>
      </c>
      <c r="U53" s="29">
        <v>130</v>
      </c>
      <c r="V53" s="29">
        <v>135</v>
      </c>
      <c r="W53" s="35">
        <v>5</v>
      </c>
      <c r="X53" s="35">
        <v>3</v>
      </c>
      <c r="Y53" s="35">
        <v>1</v>
      </c>
      <c r="Z53" s="15">
        <f t="shared" si="13"/>
        <v>0</v>
      </c>
      <c r="AA53" s="15">
        <f t="shared" si="14"/>
        <v>0</v>
      </c>
      <c r="AB53" s="15">
        <f t="shared" si="15"/>
        <v>0</v>
      </c>
      <c r="AC53" s="15">
        <f t="shared" si="16"/>
        <v>0</v>
      </c>
      <c r="AD53" s="15">
        <f t="shared" si="17"/>
        <v>90</v>
      </c>
      <c r="AE53" s="15">
        <f t="shared" si="18"/>
        <v>0</v>
      </c>
      <c r="AF53" s="15">
        <f t="shared" si="19"/>
        <v>0</v>
      </c>
      <c r="AG53" s="15">
        <f t="shared" si="20"/>
        <v>155</v>
      </c>
      <c r="AH53" s="15">
        <f t="shared" si="21"/>
        <v>50</v>
      </c>
      <c r="AI53" s="15">
        <f t="shared" si="22"/>
        <v>426000</v>
      </c>
    </row>
    <row r="54" spans="1:35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M54" si="57">(INDEX(F$7:F$22,$B54)*(1-$D54)+INDEX(F$7:F$22,$B54+1)*$D54)*F$4*$B$2</f>
        <v>0.73</v>
      </c>
      <c r="F54" s="22">
        <f t="shared" si="57"/>
        <v>0</v>
      </c>
      <c r="G54" s="22">
        <f t="shared" si="57"/>
        <v>0</v>
      </c>
      <c r="H54" s="22">
        <f t="shared" si="57"/>
        <v>0</v>
      </c>
      <c r="I54" s="22">
        <f t="shared" si="57"/>
        <v>0</v>
      </c>
      <c r="J54" s="22">
        <f t="shared" si="57"/>
        <v>0</v>
      </c>
      <c r="K54" s="22">
        <f t="shared" si="57"/>
        <v>0</v>
      </c>
      <c r="L54" s="22">
        <f t="shared" si="57"/>
        <v>0</v>
      </c>
      <c r="M54" s="22">
        <f t="shared" si="57"/>
        <v>0</v>
      </c>
      <c r="N54" s="37">
        <f t="shared" ref="N54:O54" si="58">INT((INDEX(O$7:O$22,$B54)*(1-$D54)+INDEX(O$7:O$22,$B54+1)*$D54)*O$4*$B$2)</f>
        <v>67</v>
      </c>
      <c r="O54" s="37">
        <f t="shared" si="58"/>
        <v>19</v>
      </c>
      <c r="R54" s="29">
        <v>19</v>
      </c>
      <c r="S54" s="29" t="s">
        <v>237</v>
      </c>
      <c r="T54" s="15">
        <f t="shared" si="12"/>
        <v>3</v>
      </c>
      <c r="U54" s="29">
        <v>135</v>
      </c>
      <c r="V54" s="29">
        <v>140</v>
      </c>
      <c r="W54" s="35">
        <v>5</v>
      </c>
      <c r="X54" s="35">
        <v>3</v>
      </c>
      <c r="Y54" s="35">
        <v>1</v>
      </c>
      <c r="Z54" s="15">
        <f t="shared" si="13"/>
        <v>0</v>
      </c>
      <c r="AA54" s="15">
        <f t="shared" si="14"/>
        <v>0</v>
      </c>
      <c r="AB54" s="15">
        <f t="shared" si="15"/>
        <v>0</v>
      </c>
      <c r="AC54" s="15">
        <f t="shared" si="16"/>
        <v>0</v>
      </c>
      <c r="AD54" s="15">
        <f t="shared" si="17"/>
        <v>110</v>
      </c>
      <c r="AE54" s="15">
        <f t="shared" si="18"/>
        <v>0</v>
      </c>
      <c r="AF54" s="15">
        <f t="shared" si="19"/>
        <v>0</v>
      </c>
      <c r="AG54" s="15">
        <f t="shared" si="20"/>
        <v>180</v>
      </c>
      <c r="AH54" s="15">
        <f t="shared" si="21"/>
        <v>65</v>
      </c>
      <c r="AI54" s="15">
        <f t="shared" si="22"/>
        <v>532500</v>
      </c>
    </row>
    <row r="55" spans="1:35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M55" si="59">(INDEX(F$7:F$22,$B55)*(1-$D55)+INDEX(F$7:F$22,$B55+1)*$D55)*F$4*$B$2</f>
        <v>0.75</v>
      </c>
      <c r="F55" s="22">
        <f t="shared" si="59"/>
        <v>0</v>
      </c>
      <c r="G55" s="22">
        <f t="shared" si="59"/>
        <v>0</v>
      </c>
      <c r="H55" s="22">
        <f t="shared" si="59"/>
        <v>0</v>
      </c>
      <c r="I55" s="22">
        <f t="shared" si="59"/>
        <v>0</v>
      </c>
      <c r="J55" s="22">
        <f t="shared" si="59"/>
        <v>0</v>
      </c>
      <c r="K55" s="22">
        <f t="shared" si="59"/>
        <v>0</v>
      </c>
      <c r="L55" s="22">
        <f t="shared" si="59"/>
        <v>0</v>
      </c>
      <c r="M55" s="22">
        <f t="shared" si="59"/>
        <v>0</v>
      </c>
      <c r="N55" s="37">
        <f t="shared" ref="N55:O55" si="60">INT((INDEX(O$7:O$22,$B55)*(1-$D55)+INDEX(O$7:O$22,$B55+1)*$D55)*O$4*$B$2)</f>
        <v>70</v>
      </c>
      <c r="O55" s="37">
        <f t="shared" si="60"/>
        <v>20</v>
      </c>
      <c r="R55" s="29">
        <v>20</v>
      </c>
      <c r="S55" s="29" t="s">
        <v>238</v>
      </c>
      <c r="T55" s="15">
        <f t="shared" si="12"/>
        <v>3</v>
      </c>
      <c r="U55" s="29">
        <v>140</v>
      </c>
      <c r="V55" s="29">
        <v>150</v>
      </c>
      <c r="W55" s="35">
        <v>5</v>
      </c>
      <c r="X55" s="35">
        <v>3</v>
      </c>
      <c r="Y55" s="35">
        <v>1</v>
      </c>
      <c r="Z55" s="15">
        <f t="shared" si="13"/>
        <v>0</v>
      </c>
      <c r="AA55" s="15">
        <f t="shared" si="14"/>
        <v>0</v>
      </c>
      <c r="AB55" s="15">
        <f t="shared" si="15"/>
        <v>0</v>
      </c>
      <c r="AC55" s="15">
        <f t="shared" si="16"/>
        <v>0</v>
      </c>
      <c r="AD55" s="15">
        <f t="shared" si="17"/>
        <v>135</v>
      </c>
      <c r="AE55" s="15">
        <f t="shared" si="18"/>
        <v>0</v>
      </c>
      <c r="AF55" s="15">
        <f t="shared" si="19"/>
        <v>0</v>
      </c>
      <c r="AG55" s="15">
        <f t="shared" si="20"/>
        <v>225</v>
      </c>
      <c r="AH55" s="15">
        <f t="shared" si="21"/>
        <v>75</v>
      </c>
      <c r="AI55" s="15">
        <f t="shared" si="22"/>
        <v>639000</v>
      </c>
    </row>
    <row r="56" spans="1:35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M56" si="61">(INDEX(F$7:F$22,$B56)*(1-$D56)+INDEX(F$7:F$22,$B56+1)*$D56)*F$4*$B$2</f>
        <v>0.875</v>
      </c>
      <c r="F56" s="22">
        <f t="shared" si="61"/>
        <v>6.25E-2</v>
      </c>
      <c r="G56" s="22">
        <f t="shared" si="61"/>
        <v>0</v>
      </c>
      <c r="H56" s="22">
        <f t="shared" si="61"/>
        <v>0</v>
      </c>
      <c r="I56" s="22">
        <f t="shared" si="61"/>
        <v>0</v>
      </c>
      <c r="J56" s="22">
        <f t="shared" si="61"/>
        <v>6.25E-2</v>
      </c>
      <c r="K56" s="22">
        <f t="shared" si="61"/>
        <v>0</v>
      </c>
      <c r="L56" s="22">
        <f t="shared" si="61"/>
        <v>0</v>
      </c>
      <c r="M56" s="22">
        <f t="shared" si="61"/>
        <v>0</v>
      </c>
      <c r="N56" s="37">
        <f t="shared" ref="N56:O56" si="62">INT((INDEX(O$7:O$22,$B56)*(1-$D56)+INDEX(O$7:O$22,$B56+1)*$D56)*O$4*$B$2)</f>
        <v>87</v>
      </c>
      <c r="O56" s="37">
        <f t="shared" si="62"/>
        <v>22</v>
      </c>
    </row>
    <row r="57" spans="1:35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M57" si="63">(INDEX(F$7:F$22,$B57)*(1-$D57)+INDEX(F$7:F$22,$B57+1)*$D57)*F$4*$B$2</f>
        <v>0.89</v>
      </c>
      <c r="F57" s="22">
        <f t="shared" si="63"/>
        <v>7.0000000000000007E-2</v>
      </c>
      <c r="G57" s="22">
        <f t="shared" si="63"/>
        <v>0</v>
      </c>
      <c r="H57" s="22">
        <f t="shared" si="63"/>
        <v>0</v>
      </c>
      <c r="I57" s="22">
        <f t="shared" si="63"/>
        <v>0</v>
      </c>
      <c r="J57" s="22">
        <f t="shared" si="63"/>
        <v>7.0000000000000007E-2</v>
      </c>
      <c r="K57" s="22">
        <f t="shared" si="63"/>
        <v>0</v>
      </c>
      <c r="L57" s="22">
        <f t="shared" si="63"/>
        <v>0</v>
      </c>
      <c r="M57" s="22">
        <f t="shared" si="63"/>
        <v>0</v>
      </c>
      <c r="N57" s="37">
        <f t="shared" ref="N57:O57" si="64">INT((INDEX(O$7:O$22,$B57)*(1-$D57)+INDEX(O$7:O$22,$B57+1)*$D57)*O$4*$B$2)</f>
        <v>89</v>
      </c>
      <c r="O57" s="37">
        <f t="shared" si="64"/>
        <v>22</v>
      </c>
    </row>
    <row r="58" spans="1:35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M58" si="65">(INDEX(F$7:F$22,$B58)*(1-$D58)+INDEX(F$7:F$22,$B58+1)*$D58)*F$4*$B$2</f>
        <v>0.90500000000000003</v>
      </c>
      <c r="F58" s="22">
        <f t="shared" si="65"/>
        <v>7.7499999999999999E-2</v>
      </c>
      <c r="G58" s="22">
        <f t="shared" si="65"/>
        <v>0</v>
      </c>
      <c r="H58" s="22">
        <f t="shared" si="65"/>
        <v>0</v>
      </c>
      <c r="I58" s="22">
        <f t="shared" si="65"/>
        <v>0</v>
      </c>
      <c r="J58" s="22">
        <f t="shared" si="65"/>
        <v>7.7499999999999999E-2</v>
      </c>
      <c r="K58" s="22">
        <f t="shared" si="65"/>
        <v>0</v>
      </c>
      <c r="L58" s="22">
        <f t="shared" si="65"/>
        <v>0</v>
      </c>
      <c r="M58" s="22">
        <f t="shared" si="65"/>
        <v>0</v>
      </c>
      <c r="N58" s="37">
        <f t="shared" ref="N58:O58" si="66">INT((INDEX(O$7:O$22,$B58)*(1-$D58)+INDEX(O$7:O$22,$B58+1)*$D58)*O$4*$B$2)</f>
        <v>91</v>
      </c>
      <c r="O58" s="37">
        <f t="shared" si="66"/>
        <v>23</v>
      </c>
    </row>
    <row r="59" spans="1:35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M59" si="67">(INDEX(F$7:F$22,$B59)*(1-$D59)+INDEX(F$7:F$22,$B59+1)*$D59)*F$4*$B$2</f>
        <v>0.92</v>
      </c>
      <c r="F59" s="22">
        <f t="shared" si="67"/>
        <v>8.5000000000000006E-2</v>
      </c>
      <c r="G59" s="22">
        <f t="shared" si="67"/>
        <v>0</v>
      </c>
      <c r="H59" s="22">
        <f t="shared" si="67"/>
        <v>0</v>
      </c>
      <c r="I59" s="22">
        <f t="shared" si="67"/>
        <v>0</v>
      </c>
      <c r="J59" s="22">
        <f t="shared" si="67"/>
        <v>8.5000000000000006E-2</v>
      </c>
      <c r="K59" s="22">
        <f t="shared" si="67"/>
        <v>0</v>
      </c>
      <c r="L59" s="22">
        <f t="shared" si="67"/>
        <v>0</v>
      </c>
      <c r="M59" s="22">
        <f t="shared" si="67"/>
        <v>0</v>
      </c>
      <c r="N59" s="37">
        <f t="shared" ref="N59:O59" si="68">INT((INDEX(O$7:O$22,$B59)*(1-$D59)+INDEX(O$7:O$22,$B59+1)*$D59)*O$4*$B$2)</f>
        <v>93</v>
      </c>
      <c r="O59" s="37">
        <f t="shared" si="68"/>
        <v>23</v>
      </c>
    </row>
    <row r="60" spans="1:35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M60" si="69">(INDEX(F$7:F$22,$B60)*(1-$D60)+INDEX(F$7:F$22,$B60+1)*$D60)*F$4*$B$2</f>
        <v>0.93500000000000005</v>
      </c>
      <c r="F60" s="22">
        <f t="shared" si="69"/>
        <v>9.2499999999999999E-2</v>
      </c>
      <c r="G60" s="22">
        <f t="shared" si="69"/>
        <v>0</v>
      </c>
      <c r="H60" s="22">
        <f t="shared" si="69"/>
        <v>0</v>
      </c>
      <c r="I60" s="22">
        <f t="shared" si="69"/>
        <v>0</v>
      </c>
      <c r="J60" s="22">
        <f t="shared" si="69"/>
        <v>9.2499999999999999E-2</v>
      </c>
      <c r="K60" s="22">
        <f t="shared" si="69"/>
        <v>0</v>
      </c>
      <c r="L60" s="22">
        <f t="shared" si="69"/>
        <v>0</v>
      </c>
      <c r="M60" s="22">
        <f t="shared" si="69"/>
        <v>0</v>
      </c>
      <c r="N60" s="37">
        <f t="shared" ref="N60:O60" si="70">INT((INDEX(O$7:O$22,$B60)*(1-$D60)+INDEX(O$7:O$22,$B60+1)*$D60)*O$4*$B$2)</f>
        <v>95</v>
      </c>
      <c r="O60" s="37">
        <f t="shared" si="70"/>
        <v>23</v>
      </c>
    </row>
    <row r="61" spans="1:35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M61" si="71">(INDEX(F$7:F$22,$B61)*(1-$D61)+INDEX(F$7:F$22,$B61+1)*$D61)*F$4*$B$2</f>
        <v>0.95</v>
      </c>
      <c r="F61" s="22">
        <f t="shared" si="71"/>
        <v>0.1</v>
      </c>
      <c r="G61" s="22">
        <f t="shared" si="71"/>
        <v>0</v>
      </c>
      <c r="H61" s="22">
        <f t="shared" si="71"/>
        <v>0</v>
      </c>
      <c r="I61" s="22">
        <f t="shared" si="71"/>
        <v>0</v>
      </c>
      <c r="J61" s="22">
        <f t="shared" si="71"/>
        <v>0.1</v>
      </c>
      <c r="K61" s="22">
        <f t="shared" si="71"/>
        <v>0</v>
      </c>
      <c r="L61" s="22">
        <f t="shared" si="71"/>
        <v>0</v>
      </c>
      <c r="M61" s="22">
        <f t="shared" si="71"/>
        <v>0</v>
      </c>
      <c r="N61" s="37">
        <f t="shared" ref="N61:O61" si="72">INT((INDEX(O$7:O$22,$B61)*(1-$D61)+INDEX(O$7:O$22,$B61+1)*$D61)*O$4*$B$2)</f>
        <v>97</v>
      </c>
      <c r="O61" s="37">
        <f t="shared" si="72"/>
        <v>24</v>
      </c>
    </row>
    <row r="62" spans="1:35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M62" si="73">(INDEX(F$7:F$22,$B62)*(1-$D62)+INDEX(F$7:F$22,$B62+1)*$D62)*F$4*$B$2</f>
        <v>0.96499999999999997</v>
      </c>
      <c r="F62" s="22">
        <f t="shared" si="73"/>
        <v>0.1075</v>
      </c>
      <c r="G62" s="22">
        <f t="shared" si="73"/>
        <v>0</v>
      </c>
      <c r="H62" s="22">
        <f t="shared" si="73"/>
        <v>0</v>
      </c>
      <c r="I62" s="22">
        <f t="shared" si="73"/>
        <v>0</v>
      </c>
      <c r="J62" s="22">
        <f t="shared" si="73"/>
        <v>0.1075</v>
      </c>
      <c r="K62" s="22">
        <f t="shared" si="73"/>
        <v>0</v>
      </c>
      <c r="L62" s="22">
        <f t="shared" si="73"/>
        <v>0</v>
      </c>
      <c r="M62" s="22">
        <f t="shared" si="73"/>
        <v>0</v>
      </c>
      <c r="N62" s="37">
        <f t="shared" ref="N62:O62" si="74">INT((INDEX(O$7:O$22,$B62)*(1-$D62)+INDEX(O$7:O$22,$B62+1)*$D62)*O$4*$B$2)</f>
        <v>99</v>
      </c>
      <c r="O62" s="37">
        <f t="shared" si="74"/>
        <v>24</v>
      </c>
    </row>
    <row r="63" spans="1:35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M63" si="75">(INDEX(F$7:F$22,$B63)*(1-$D63)+INDEX(F$7:F$22,$B63+1)*$D63)*F$4*$B$2</f>
        <v>0.98</v>
      </c>
      <c r="F63" s="22">
        <f t="shared" si="75"/>
        <v>0.115</v>
      </c>
      <c r="G63" s="22">
        <f t="shared" si="75"/>
        <v>0</v>
      </c>
      <c r="H63" s="22">
        <f t="shared" si="75"/>
        <v>0</v>
      </c>
      <c r="I63" s="22">
        <f t="shared" si="75"/>
        <v>0</v>
      </c>
      <c r="J63" s="22">
        <f t="shared" si="75"/>
        <v>0.115</v>
      </c>
      <c r="K63" s="22">
        <f t="shared" si="75"/>
        <v>0</v>
      </c>
      <c r="L63" s="22">
        <f t="shared" si="75"/>
        <v>0</v>
      </c>
      <c r="M63" s="22">
        <f t="shared" si="75"/>
        <v>0</v>
      </c>
      <c r="N63" s="37">
        <f t="shared" ref="N63:O63" si="76">INT((INDEX(O$7:O$22,$B63)*(1-$D63)+INDEX(O$7:O$22,$B63+1)*$D63)*O$4*$B$2)</f>
        <v>101</v>
      </c>
      <c r="O63" s="37">
        <f t="shared" si="76"/>
        <v>24</v>
      </c>
    </row>
    <row r="64" spans="1:35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M64" si="77">(INDEX(F$7:F$22,$B64)*(1-$D64)+INDEX(F$7:F$22,$B64+1)*$D64)*F$4*$B$2</f>
        <v>1</v>
      </c>
      <c r="F64" s="22">
        <f t="shared" si="77"/>
        <v>0.125</v>
      </c>
      <c r="G64" s="22">
        <f t="shared" si="77"/>
        <v>0</v>
      </c>
      <c r="H64" s="22">
        <f t="shared" si="77"/>
        <v>0</v>
      </c>
      <c r="I64" s="22">
        <f t="shared" si="77"/>
        <v>0</v>
      </c>
      <c r="J64" s="22">
        <f t="shared" si="77"/>
        <v>0.125</v>
      </c>
      <c r="K64" s="22">
        <f t="shared" si="77"/>
        <v>0</v>
      </c>
      <c r="L64" s="22">
        <f t="shared" si="77"/>
        <v>0</v>
      </c>
      <c r="M64" s="22">
        <f t="shared" si="77"/>
        <v>0</v>
      </c>
      <c r="N64" s="37">
        <f t="shared" ref="N64:O64" si="78">INT((INDEX(O$7:O$22,$B64)*(1-$D64)+INDEX(O$7:O$22,$B64+1)*$D64)*O$4*$B$2)</f>
        <v>104</v>
      </c>
      <c r="O64" s="37">
        <f t="shared" si="78"/>
        <v>25</v>
      </c>
    </row>
    <row r="65" spans="1:15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M65" si="79">(INDEX(F$7:F$22,$B65)*(1-$D65)+INDEX(F$7:F$22,$B65+1)*$D65)*F$4*$B$2</f>
        <v>0.92499999999999993</v>
      </c>
      <c r="F65" s="22">
        <f t="shared" si="79"/>
        <v>0.16249999999999998</v>
      </c>
      <c r="G65" s="22">
        <f t="shared" si="79"/>
        <v>0</v>
      </c>
      <c r="H65" s="22">
        <f t="shared" si="79"/>
        <v>0</v>
      </c>
      <c r="I65" s="22">
        <f t="shared" si="79"/>
        <v>0</v>
      </c>
      <c r="J65" s="22">
        <f t="shared" si="79"/>
        <v>0.14749999999999999</v>
      </c>
      <c r="K65" s="22">
        <f t="shared" si="79"/>
        <v>0</v>
      </c>
      <c r="L65" s="22">
        <f t="shared" si="79"/>
        <v>0</v>
      </c>
      <c r="M65" s="22">
        <f t="shared" si="79"/>
        <v>0</v>
      </c>
      <c r="N65" s="37">
        <f t="shared" ref="N65:O65" si="80">INT((INDEX(O$7:O$22,$B65)*(1-$D65)+INDEX(O$7:O$22,$B65+1)*$D65)*O$4*$B$2)</f>
        <v>116</v>
      </c>
      <c r="O65" s="37">
        <f t="shared" si="80"/>
        <v>27</v>
      </c>
    </row>
    <row r="66" spans="1:15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M66" si="81">(INDEX(F$7:F$22,$B66)*(1-$D66)+INDEX(F$7:F$22,$B66+1)*$D66)*F$4*$B$2</f>
        <v>0.91249999999999998</v>
      </c>
      <c r="F66" s="22">
        <f t="shared" si="81"/>
        <v>0.16875000000000001</v>
      </c>
      <c r="G66" s="22">
        <f t="shared" si="81"/>
        <v>0</v>
      </c>
      <c r="H66" s="22">
        <f t="shared" si="81"/>
        <v>0</v>
      </c>
      <c r="I66" s="22">
        <f t="shared" si="81"/>
        <v>0</v>
      </c>
      <c r="J66" s="22">
        <f t="shared" si="81"/>
        <v>0.15125</v>
      </c>
      <c r="K66" s="22">
        <f t="shared" si="81"/>
        <v>0</v>
      </c>
      <c r="L66" s="22">
        <f t="shared" si="81"/>
        <v>0</v>
      </c>
      <c r="M66" s="22">
        <f t="shared" si="81"/>
        <v>0</v>
      </c>
      <c r="N66" s="37">
        <f t="shared" ref="N66:O66" si="82">INT((INDEX(O$7:O$22,$B66)*(1-$D66)+INDEX(O$7:O$22,$B66+1)*$D66)*O$4*$B$2)</f>
        <v>118</v>
      </c>
      <c r="O66" s="37">
        <f t="shared" si="82"/>
        <v>27</v>
      </c>
    </row>
    <row r="67" spans="1:15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M67" si="83">(INDEX(F$7:F$22,$B67)*(1-$D67)+INDEX(F$7:F$22,$B67+1)*$D67)*F$4*$B$2</f>
        <v>0.9</v>
      </c>
      <c r="F67" s="22">
        <f t="shared" si="83"/>
        <v>0.17499999999999999</v>
      </c>
      <c r="G67" s="22">
        <f t="shared" si="83"/>
        <v>0</v>
      </c>
      <c r="H67" s="22">
        <f t="shared" si="83"/>
        <v>0</v>
      </c>
      <c r="I67" s="22">
        <f t="shared" si="83"/>
        <v>0</v>
      </c>
      <c r="J67" s="22">
        <f t="shared" si="83"/>
        <v>0.15500000000000003</v>
      </c>
      <c r="K67" s="22">
        <f t="shared" si="83"/>
        <v>0</v>
      </c>
      <c r="L67" s="22">
        <f t="shared" si="83"/>
        <v>0</v>
      </c>
      <c r="M67" s="22">
        <f t="shared" si="83"/>
        <v>0</v>
      </c>
      <c r="N67" s="37">
        <f t="shared" ref="N67:O67" si="84">INT((INDEX(O$7:O$22,$B67)*(1-$D67)+INDEX(O$7:O$22,$B67+1)*$D67)*O$4*$B$2)</f>
        <v>120</v>
      </c>
      <c r="O67" s="37">
        <f t="shared" si="84"/>
        <v>27</v>
      </c>
    </row>
    <row r="68" spans="1:15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M68" si="85">(INDEX(F$7:F$22,$B68)*(1-$D68)+INDEX(F$7:F$22,$B68+1)*$D68)*F$4*$B$2</f>
        <v>0.88750000000000007</v>
      </c>
      <c r="F68" s="22">
        <f t="shared" si="85"/>
        <v>0.18125000000000002</v>
      </c>
      <c r="G68" s="22">
        <f t="shared" si="85"/>
        <v>0</v>
      </c>
      <c r="H68" s="22">
        <f t="shared" si="85"/>
        <v>0</v>
      </c>
      <c r="I68" s="22">
        <f t="shared" si="85"/>
        <v>0</v>
      </c>
      <c r="J68" s="22">
        <f t="shared" si="85"/>
        <v>0.15875</v>
      </c>
      <c r="K68" s="22">
        <f t="shared" si="85"/>
        <v>0</v>
      </c>
      <c r="L68" s="22">
        <f t="shared" si="85"/>
        <v>0</v>
      </c>
      <c r="M68" s="22">
        <f t="shared" si="85"/>
        <v>0</v>
      </c>
      <c r="N68" s="37">
        <f t="shared" ref="N68:O68" si="86">INT((INDEX(O$7:O$22,$B68)*(1-$D68)+INDEX(O$7:O$22,$B68+1)*$D68)*O$4*$B$2)</f>
        <v>122</v>
      </c>
      <c r="O68" s="37">
        <f t="shared" si="86"/>
        <v>28</v>
      </c>
    </row>
    <row r="69" spans="1:15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M69" si="87">(INDEX(F$7:F$22,$B69)*(1-$D69)+INDEX(F$7:F$22,$B69+1)*$D69)*F$4*$B$2</f>
        <v>0.875</v>
      </c>
      <c r="F69" s="22">
        <f t="shared" si="87"/>
        <v>0.1875</v>
      </c>
      <c r="G69" s="22">
        <f t="shared" si="87"/>
        <v>0</v>
      </c>
      <c r="H69" s="22">
        <f t="shared" si="87"/>
        <v>0</v>
      </c>
      <c r="I69" s="22">
        <f t="shared" si="87"/>
        <v>0</v>
      </c>
      <c r="J69" s="22">
        <f t="shared" si="87"/>
        <v>0.16250000000000001</v>
      </c>
      <c r="K69" s="22">
        <f t="shared" si="87"/>
        <v>0</v>
      </c>
      <c r="L69" s="22">
        <f t="shared" si="87"/>
        <v>0</v>
      </c>
      <c r="M69" s="22">
        <f t="shared" si="87"/>
        <v>0</v>
      </c>
      <c r="N69" s="37">
        <f t="shared" ref="N69:O69" si="88">INT((INDEX(O$7:O$22,$B69)*(1-$D69)+INDEX(O$7:O$22,$B69+1)*$D69)*O$4*$B$2)</f>
        <v>124</v>
      </c>
      <c r="O69" s="37">
        <f t="shared" si="88"/>
        <v>28</v>
      </c>
    </row>
    <row r="70" spans="1:15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M70" si="89">(INDEX(F$7:F$22,$B70)*(1-$D70)+INDEX(F$7:F$22,$B70+1)*$D70)*F$4*$B$2</f>
        <v>0.86250000000000004</v>
      </c>
      <c r="F70" s="22">
        <f t="shared" si="89"/>
        <v>0.19375000000000001</v>
      </c>
      <c r="G70" s="22">
        <f t="shared" si="89"/>
        <v>0</v>
      </c>
      <c r="H70" s="22">
        <f t="shared" si="89"/>
        <v>0</v>
      </c>
      <c r="I70" s="22">
        <f t="shared" si="89"/>
        <v>0</v>
      </c>
      <c r="J70" s="22">
        <f t="shared" si="89"/>
        <v>0.16625000000000001</v>
      </c>
      <c r="K70" s="22">
        <f t="shared" si="89"/>
        <v>0</v>
      </c>
      <c r="L70" s="22">
        <f t="shared" si="89"/>
        <v>0</v>
      </c>
      <c r="M70" s="22">
        <f t="shared" si="89"/>
        <v>0</v>
      </c>
      <c r="N70" s="37">
        <f t="shared" ref="N70:O70" si="90">INT((INDEX(O$7:O$22,$B70)*(1-$D70)+INDEX(O$7:O$22,$B70+1)*$D70)*O$4*$B$2)</f>
        <v>126</v>
      </c>
      <c r="O70" s="37">
        <f t="shared" si="90"/>
        <v>28</v>
      </c>
    </row>
    <row r="71" spans="1:15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M71" si="91">(INDEX(F$7:F$22,$B71)*(1-$D71)+INDEX(F$7:F$22,$B71+1)*$D71)*F$4*$B$2</f>
        <v>0.85</v>
      </c>
      <c r="F71" s="22">
        <f t="shared" si="91"/>
        <v>0.2</v>
      </c>
      <c r="G71" s="22">
        <f t="shared" si="91"/>
        <v>0</v>
      </c>
      <c r="H71" s="22">
        <f t="shared" si="91"/>
        <v>0</v>
      </c>
      <c r="I71" s="22">
        <f t="shared" si="91"/>
        <v>0</v>
      </c>
      <c r="J71" s="22">
        <f t="shared" si="91"/>
        <v>0.16999999999999998</v>
      </c>
      <c r="K71" s="22">
        <f t="shared" si="91"/>
        <v>0</v>
      </c>
      <c r="L71" s="22">
        <f t="shared" si="91"/>
        <v>0</v>
      </c>
      <c r="M71" s="22">
        <f t="shared" si="91"/>
        <v>0</v>
      </c>
      <c r="N71" s="37">
        <f t="shared" ref="N71:O71" si="92">INT((INDEX(O$7:O$22,$B71)*(1-$D71)+INDEX(O$7:O$22,$B71+1)*$D71)*O$4*$B$2)</f>
        <v>128</v>
      </c>
      <c r="O71" s="37">
        <f t="shared" si="92"/>
        <v>29</v>
      </c>
    </row>
    <row r="72" spans="1:15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M72" si="93">(INDEX(F$7:F$22,$B72)*(1-$D72)+INDEX(F$7:F$22,$B72+1)*$D72)*F$4*$B$2</f>
        <v>0.83750000000000002</v>
      </c>
      <c r="F72" s="22">
        <f t="shared" si="93"/>
        <v>0.20624999999999999</v>
      </c>
      <c r="G72" s="22">
        <f t="shared" si="93"/>
        <v>0</v>
      </c>
      <c r="H72" s="22">
        <f t="shared" si="93"/>
        <v>0</v>
      </c>
      <c r="I72" s="22">
        <f t="shared" si="93"/>
        <v>0</v>
      </c>
      <c r="J72" s="22">
        <f t="shared" si="93"/>
        <v>0.17375000000000002</v>
      </c>
      <c r="K72" s="22">
        <f t="shared" si="93"/>
        <v>0</v>
      </c>
      <c r="L72" s="22">
        <f t="shared" si="93"/>
        <v>0</v>
      </c>
      <c r="M72" s="22">
        <f t="shared" si="93"/>
        <v>0</v>
      </c>
      <c r="N72" s="37">
        <f t="shared" ref="N72:O72" si="94">INT((INDEX(O$7:O$22,$B72)*(1-$D72)+INDEX(O$7:O$22,$B72+1)*$D72)*O$4*$B$2)</f>
        <v>130</v>
      </c>
      <c r="O72" s="37">
        <f t="shared" si="94"/>
        <v>29</v>
      </c>
    </row>
    <row r="73" spans="1:15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M73" si="95">(INDEX(F$7:F$22,$B73)*(1-$D73)+INDEX(F$7:F$22,$B73+1)*$D73)*F$4*$B$2</f>
        <v>0.82499999999999996</v>
      </c>
      <c r="F73" s="22">
        <f t="shared" si="95"/>
        <v>0.21249999999999999</v>
      </c>
      <c r="G73" s="22">
        <f t="shared" si="95"/>
        <v>0</v>
      </c>
      <c r="H73" s="22">
        <f t="shared" si="95"/>
        <v>0</v>
      </c>
      <c r="I73" s="22">
        <f t="shared" si="95"/>
        <v>0</v>
      </c>
      <c r="J73" s="22">
        <f t="shared" si="95"/>
        <v>0.17749999999999999</v>
      </c>
      <c r="K73" s="22">
        <f t="shared" si="95"/>
        <v>0</v>
      </c>
      <c r="L73" s="22">
        <f t="shared" si="95"/>
        <v>0</v>
      </c>
      <c r="M73" s="22">
        <f t="shared" si="95"/>
        <v>0</v>
      </c>
      <c r="N73" s="37">
        <f t="shared" ref="N73:O73" si="96">INT((INDEX(O$7:O$22,$B73)*(1-$D73)+INDEX(O$7:O$22,$B73+1)*$D73)*O$4*$B$2)</f>
        <v>132</v>
      </c>
      <c r="O73" s="37">
        <f t="shared" si="96"/>
        <v>29</v>
      </c>
    </row>
    <row r="74" spans="1:15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M74" si="97">(INDEX(F$7:F$22,$B74)*(1-$D74)+INDEX(F$7:F$22,$B74+1)*$D74)*F$4*$B$2</f>
        <v>0.8125</v>
      </c>
      <c r="F74" s="22">
        <f t="shared" si="97"/>
        <v>0.21875</v>
      </c>
      <c r="G74" s="22">
        <f t="shared" si="97"/>
        <v>0</v>
      </c>
      <c r="H74" s="22">
        <f t="shared" si="97"/>
        <v>0</v>
      </c>
      <c r="I74" s="22">
        <f t="shared" si="97"/>
        <v>0</v>
      </c>
      <c r="J74" s="22">
        <f t="shared" si="97"/>
        <v>0.18125000000000002</v>
      </c>
      <c r="K74" s="22">
        <f t="shared" si="97"/>
        <v>0</v>
      </c>
      <c r="L74" s="22">
        <f t="shared" si="97"/>
        <v>0</v>
      </c>
      <c r="M74" s="22">
        <f t="shared" si="97"/>
        <v>0</v>
      </c>
      <c r="N74" s="37">
        <f t="shared" ref="N74:O74" si="98">INT((INDEX(O$7:O$22,$B74)*(1-$D74)+INDEX(O$7:O$22,$B74+1)*$D74)*O$4*$B$2)</f>
        <v>134</v>
      </c>
      <c r="O74" s="37">
        <f t="shared" si="98"/>
        <v>30</v>
      </c>
    </row>
    <row r="75" spans="1:15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M75" si="99">(INDEX(F$7:F$22,$B75)*(1-$D75)+INDEX(F$7:F$22,$B75+1)*$D75)*F$4*$B$2</f>
        <v>0.8</v>
      </c>
      <c r="F75" s="22">
        <f t="shared" si="99"/>
        <v>0.22500000000000001</v>
      </c>
      <c r="G75" s="22">
        <f t="shared" si="99"/>
        <v>0</v>
      </c>
      <c r="H75" s="22">
        <f t="shared" si="99"/>
        <v>0</v>
      </c>
      <c r="I75" s="22">
        <f t="shared" si="99"/>
        <v>0</v>
      </c>
      <c r="J75" s="22">
        <f t="shared" si="99"/>
        <v>0.18500000000000003</v>
      </c>
      <c r="K75" s="22">
        <f t="shared" si="99"/>
        <v>0</v>
      </c>
      <c r="L75" s="22">
        <f t="shared" si="99"/>
        <v>0</v>
      </c>
      <c r="M75" s="22">
        <f t="shared" si="99"/>
        <v>0</v>
      </c>
      <c r="N75" s="37">
        <f t="shared" ref="N75:O75" si="100">INT((INDEX(O$7:O$22,$B75)*(1-$D75)+INDEX(O$7:O$22,$B75+1)*$D75)*O$4*$B$2)</f>
        <v>136</v>
      </c>
      <c r="O75" s="37">
        <f t="shared" si="100"/>
        <v>30</v>
      </c>
    </row>
    <row r="76" spans="1:15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M76" si="101">(INDEX(F$7:F$22,$B76)*(1-$D76)+INDEX(F$7:F$22,$B76+1)*$D76)*F$4*$B$2</f>
        <v>0.78749999999999998</v>
      </c>
      <c r="F76" s="22">
        <f t="shared" si="101"/>
        <v>0.23125000000000001</v>
      </c>
      <c r="G76" s="22">
        <f t="shared" si="101"/>
        <v>0</v>
      </c>
      <c r="H76" s="22">
        <f t="shared" si="101"/>
        <v>0</v>
      </c>
      <c r="I76" s="22">
        <f t="shared" si="101"/>
        <v>0</v>
      </c>
      <c r="J76" s="22">
        <f t="shared" si="101"/>
        <v>0.18875000000000003</v>
      </c>
      <c r="K76" s="22">
        <f t="shared" si="101"/>
        <v>0</v>
      </c>
      <c r="L76" s="22">
        <f t="shared" si="101"/>
        <v>0</v>
      </c>
      <c r="M76" s="22">
        <f t="shared" si="101"/>
        <v>0</v>
      </c>
      <c r="N76" s="37">
        <f t="shared" ref="N76:O76" si="102">INT((INDEX(O$7:O$22,$B76)*(1-$D76)+INDEX(O$7:O$22,$B76+1)*$D76)*O$4*$B$2)</f>
        <v>138</v>
      </c>
      <c r="O76" s="37">
        <f t="shared" si="102"/>
        <v>30</v>
      </c>
    </row>
    <row r="77" spans="1:15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M77" si="103">(INDEX(F$7:F$22,$B77)*(1-$D77)+INDEX(F$7:F$22,$B77+1)*$D77)*F$4*$B$2</f>
        <v>0.77500000000000002</v>
      </c>
      <c r="F77" s="22">
        <f t="shared" si="103"/>
        <v>0.23749999999999999</v>
      </c>
      <c r="G77" s="22">
        <f t="shared" si="103"/>
        <v>0</v>
      </c>
      <c r="H77" s="22">
        <f t="shared" si="103"/>
        <v>0</v>
      </c>
      <c r="I77" s="22">
        <f t="shared" si="103"/>
        <v>0</v>
      </c>
      <c r="J77" s="22">
        <f t="shared" si="103"/>
        <v>0.1925</v>
      </c>
      <c r="K77" s="22">
        <f t="shared" si="103"/>
        <v>0</v>
      </c>
      <c r="L77" s="22">
        <f t="shared" si="103"/>
        <v>0</v>
      </c>
      <c r="M77" s="22">
        <f t="shared" si="103"/>
        <v>0</v>
      </c>
      <c r="N77" s="37">
        <f t="shared" ref="N77:O77" si="104">INT((INDEX(O$7:O$22,$B77)*(1-$D77)+INDEX(O$7:O$22,$B77+1)*$D77)*O$4*$B$2)</f>
        <v>140</v>
      </c>
      <c r="O77" s="37">
        <f t="shared" si="104"/>
        <v>31</v>
      </c>
    </row>
    <row r="78" spans="1:15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M78" si="105">(INDEX(F$7:F$22,$B78)*(1-$D78)+INDEX(F$7:F$22,$B78+1)*$D78)*F$4*$B$2</f>
        <v>0.76249999999999996</v>
      </c>
      <c r="F78" s="22">
        <f t="shared" si="105"/>
        <v>0.24374999999999999</v>
      </c>
      <c r="G78" s="22">
        <f t="shared" si="105"/>
        <v>0</v>
      </c>
      <c r="H78" s="22">
        <f t="shared" si="105"/>
        <v>0</v>
      </c>
      <c r="I78" s="22">
        <f t="shared" si="105"/>
        <v>0</v>
      </c>
      <c r="J78" s="22">
        <f t="shared" si="105"/>
        <v>0.19625000000000001</v>
      </c>
      <c r="K78" s="22">
        <f t="shared" si="105"/>
        <v>0</v>
      </c>
      <c r="L78" s="22">
        <f t="shared" si="105"/>
        <v>0</v>
      </c>
      <c r="M78" s="22">
        <f t="shared" si="105"/>
        <v>0</v>
      </c>
      <c r="N78" s="37">
        <f t="shared" ref="N78:O78" si="106">INT((INDEX(O$7:O$22,$B78)*(1-$D78)+INDEX(O$7:O$22,$B78+1)*$D78)*O$4*$B$2)</f>
        <v>142</v>
      </c>
      <c r="O78" s="37">
        <f t="shared" si="106"/>
        <v>31</v>
      </c>
    </row>
    <row r="79" spans="1:15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M79" si="107">(INDEX(F$7:F$22,$B79)*(1-$D79)+INDEX(F$7:F$22,$B79+1)*$D79)*F$4*$B$2</f>
        <v>0.75</v>
      </c>
      <c r="F79" s="22">
        <f t="shared" si="107"/>
        <v>0.25</v>
      </c>
      <c r="G79" s="22">
        <f t="shared" si="107"/>
        <v>0</v>
      </c>
      <c r="H79" s="22">
        <f t="shared" si="107"/>
        <v>0</v>
      </c>
      <c r="I79" s="22">
        <f t="shared" si="107"/>
        <v>0</v>
      </c>
      <c r="J79" s="22">
        <f t="shared" si="107"/>
        <v>0.2</v>
      </c>
      <c r="K79" s="22">
        <f t="shared" si="107"/>
        <v>0</v>
      </c>
      <c r="L79" s="22">
        <f t="shared" si="107"/>
        <v>0</v>
      </c>
      <c r="M79" s="22">
        <f t="shared" si="107"/>
        <v>0</v>
      </c>
      <c r="N79" s="37">
        <f t="shared" ref="N79:O79" si="108">INT((INDEX(O$7:O$22,$B79)*(1-$D79)+INDEX(O$7:O$22,$B79+1)*$D79)*O$4*$B$2)</f>
        <v>144</v>
      </c>
      <c r="O79" s="37">
        <f t="shared" si="108"/>
        <v>32</v>
      </c>
    </row>
    <row r="80" spans="1:15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M80" si="109">(INDEX(F$7:F$22,$B80)*(1-$D80)+INDEX(F$7:F$22,$B80+1)*$D80)*F$4*$B$2</f>
        <v>0.67499999999999993</v>
      </c>
      <c r="F80" s="22">
        <f t="shared" si="109"/>
        <v>0.28749999999999998</v>
      </c>
      <c r="G80" s="22">
        <f t="shared" si="109"/>
        <v>0</v>
      </c>
      <c r="H80" s="22">
        <f t="shared" si="109"/>
        <v>0</v>
      </c>
      <c r="I80" s="22">
        <f t="shared" si="109"/>
        <v>0</v>
      </c>
      <c r="J80" s="22">
        <f t="shared" si="109"/>
        <v>0.22249999999999998</v>
      </c>
      <c r="K80" s="22">
        <f t="shared" si="109"/>
        <v>0</v>
      </c>
      <c r="L80" s="22">
        <f t="shared" si="109"/>
        <v>0</v>
      </c>
      <c r="M80" s="22">
        <f t="shared" si="109"/>
        <v>0</v>
      </c>
      <c r="N80" s="37">
        <f t="shared" ref="N80:O80" si="110">INT((INDEX(O$7:O$22,$B80)*(1-$D80)+INDEX(O$7:O$22,$B80+1)*$D80)*O$4*$B$2)</f>
        <v>160</v>
      </c>
      <c r="O80" s="37">
        <f t="shared" si="110"/>
        <v>34</v>
      </c>
    </row>
    <row r="81" spans="1:15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M81" si="111">(INDEX(F$7:F$22,$B81)*(1-$D81)+INDEX(F$7:F$22,$B81+1)*$D81)*F$4*$B$2</f>
        <v>0.66250000000000009</v>
      </c>
      <c r="F81" s="22">
        <f t="shared" si="111"/>
        <v>0.29374999999999996</v>
      </c>
      <c r="G81" s="22">
        <f t="shared" si="111"/>
        <v>0</v>
      </c>
      <c r="H81" s="22">
        <f t="shared" si="111"/>
        <v>0</v>
      </c>
      <c r="I81" s="22">
        <f t="shared" si="111"/>
        <v>0</v>
      </c>
      <c r="J81" s="22">
        <f t="shared" si="111"/>
        <v>0.22625000000000001</v>
      </c>
      <c r="K81" s="22">
        <f t="shared" si="111"/>
        <v>0</v>
      </c>
      <c r="L81" s="22">
        <f t="shared" si="111"/>
        <v>0</v>
      </c>
      <c r="M81" s="22">
        <f t="shared" si="111"/>
        <v>0</v>
      </c>
      <c r="N81" s="37">
        <f t="shared" ref="N81:O81" si="112">INT((INDEX(O$7:O$22,$B81)*(1-$D81)+INDEX(O$7:O$22,$B81+1)*$D81)*O$4*$B$2)</f>
        <v>163</v>
      </c>
      <c r="O81" s="37">
        <f t="shared" si="112"/>
        <v>34</v>
      </c>
    </row>
    <row r="82" spans="1:15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M82" si="113">(INDEX(F$7:F$22,$B82)*(1-$D82)+INDEX(F$7:F$22,$B82+1)*$D82)*F$4*$B$2</f>
        <v>0.64999999999999991</v>
      </c>
      <c r="F82" s="22">
        <f t="shared" si="113"/>
        <v>0.30000000000000004</v>
      </c>
      <c r="G82" s="22">
        <f t="shared" si="113"/>
        <v>0</v>
      </c>
      <c r="H82" s="22">
        <f t="shared" si="113"/>
        <v>0</v>
      </c>
      <c r="I82" s="22">
        <f t="shared" si="113"/>
        <v>0</v>
      </c>
      <c r="J82" s="22">
        <f t="shared" si="113"/>
        <v>0.23</v>
      </c>
      <c r="K82" s="22">
        <f t="shared" si="113"/>
        <v>0</v>
      </c>
      <c r="L82" s="22">
        <f t="shared" si="113"/>
        <v>0</v>
      </c>
      <c r="M82" s="22">
        <f t="shared" si="113"/>
        <v>0</v>
      </c>
      <c r="N82" s="37">
        <f t="shared" ref="N82:O82" si="114">INT((INDEX(O$7:O$22,$B82)*(1-$D82)+INDEX(O$7:O$22,$B82+1)*$D82)*O$4*$B$2)</f>
        <v>166</v>
      </c>
      <c r="O82" s="37">
        <f t="shared" si="114"/>
        <v>35</v>
      </c>
    </row>
    <row r="83" spans="1:15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M83" si="115">(INDEX(F$7:F$22,$B83)*(1-$D83)+INDEX(F$7:F$22,$B83+1)*$D83)*F$4*$B$2</f>
        <v>0.63750000000000007</v>
      </c>
      <c r="F83" s="22">
        <f t="shared" si="115"/>
        <v>0.30625000000000002</v>
      </c>
      <c r="G83" s="22">
        <f t="shared" si="115"/>
        <v>0</v>
      </c>
      <c r="H83" s="22">
        <f t="shared" si="115"/>
        <v>0</v>
      </c>
      <c r="I83" s="22">
        <f t="shared" si="115"/>
        <v>0</v>
      </c>
      <c r="J83" s="22">
        <f t="shared" si="115"/>
        <v>0.23375000000000001</v>
      </c>
      <c r="K83" s="22">
        <f t="shared" si="115"/>
        <v>0</v>
      </c>
      <c r="L83" s="22">
        <f t="shared" si="115"/>
        <v>0</v>
      </c>
      <c r="M83" s="22">
        <f t="shared" si="115"/>
        <v>0</v>
      </c>
      <c r="N83" s="37">
        <f t="shared" ref="N83:O83" si="116">INT((INDEX(O$7:O$22,$B83)*(1-$D83)+INDEX(O$7:O$22,$B83+1)*$D83)*O$4*$B$2)</f>
        <v>169</v>
      </c>
      <c r="O83" s="37">
        <f t="shared" si="116"/>
        <v>35</v>
      </c>
    </row>
    <row r="84" spans="1:15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M84" si="117">(INDEX(F$7:F$22,$B84)*(1-$D84)+INDEX(F$7:F$22,$B84+1)*$D84)*F$4*$B$2</f>
        <v>0.625</v>
      </c>
      <c r="F84" s="22">
        <f t="shared" si="117"/>
        <v>0.3125</v>
      </c>
      <c r="G84" s="22">
        <f t="shared" si="117"/>
        <v>0</v>
      </c>
      <c r="H84" s="22">
        <f t="shared" si="117"/>
        <v>0</v>
      </c>
      <c r="I84" s="22">
        <f t="shared" si="117"/>
        <v>0</v>
      </c>
      <c r="J84" s="22">
        <f t="shared" si="117"/>
        <v>0.23750000000000002</v>
      </c>
      <c r="K84" s="22">
        <f t="shared" si="117"/>
        <v>0</v>
      </c>
      <c r="L84" s="22">
        <f t="shared" si="117"/>
        <v>0</v>
      </c>
      <c r="M84" s="22">
        <f t="shared" si="117"/>
        <v>0</v>
      </c>
      <c r="N84" s="37">
        <f t="shared" ref="N84:O84" si="118">INT((INDEX(O$7:O$22,$B84)*(1-$D84)+INDEX(O$7:O$22,$B84+1)*$D84)*O$4*$B$2)</f>
        <v>172</v>
      </c>
      <c r="O84" s="37">
        <f t="shared" si="118"/>
        <v>36</v>
      </c>
    </row>
    <row r="85" spans="1:15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M85" si="119">(INDEX(F$7:F$22,$B85)*(1-$D85)+INDEX(F$7:F$22,$B85+1)*$D85)*F$4*$B$2</f>
        <v>0.61250000000000004</v>
      </c>
      <c r="F85" s="22">
        <f t="shared" si="119"/>
        <v>0.31874999999999998</v>
      </c>
      <c r="G85" s="22">
        <f t="shared" si="119"/>
        <v>0</v>
      </c>
      <c r="H85" s="22">
        <f t="shared" si="119"/>
        <v>0</v>
      </c>
      <c r="I85" s="22">
        <f t="shared" si="119"/>
        <v>0</v>
      </c>
      <c r="J85" s="22">
        <f t="shared" si="119"/>
        <v>0.24125000000000002</v>
      </c>
      <c r="K85" s="22">
        <f t="shared" si="119"/>
        <v>0</v>
      </c>
      <c r="L85" s="22">
        <f t="shared" si="119"/>
        <v>0</v>
      </c>
      <c r="M85" s="22">
        <f t="shared" si="119"/>
        <v>0</v>
      </c>
      <c r="N85" s="37">
        <f t="shared" ref="N85:O85" si="120">INT((INDEX(O$7:O$22,$B85)*(1-$D85)+INDEX(O$7:O$22,$B85+1)*$D85)*O$4*$B$2)</f>
        <v>174</v>
      </c>
      <c r="O85" s="37">
        <f t="shared" si="120"/>
        <v>36</v>
      </c>
    </row>
    <row r="86" spans="1:15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M86" si="121">(INDEX(F$7:F$22,$B86)*(1-$D86)+INDEX(F$7:F$22,$B86+1)*$D86)*F$4*$B$2</f>
        <v>0.60000000000000009</v>
      </c>
      <c r="F86" s="22">
        <f t="shared" si="121"/>
        <v>0.32499999999999996</v>
      </c>
      <c r="G86" s="22">
        <f t="shared" si="121"/>
        <v>0</v>
      </c>
      <c r="H86" s="22">
        <f t="shared" si="121"/>
        <v>0</v>
      </c>
      <c r="I86" s="22">
        <f t="shared" si="121"/>
        <v>0</v>
      </c>
      <c r="J86" s="22">
        <f t="shared" si="121"/>
        <v>0.24500000000000002</v>
      </c>
      <c r="K86" s="22">
        <f t="shared" si="121"/>
        <v>0</v>
      </c>
      <c r="L86" s="22">
        <f t="shared" si="121"/>
        <v>0</v>
      </c>
      <c r="M86" s="22">
        <f t="shared" si="121"/>
        <v>0</v>
      </c>
      <c r="N86" s="37">
        <f t="shared" ref="N86:O86" si="122">INT((INDEX(O$7:O$22,$B86)*(1-$D86)+INDEX(O$7:O$22,$B86+1)*$D86)*O$4*$B$2)</f>
        <v>177</v>
      </c>
      <c r="O86" s="37">
        <f t="shared" si="122"/>
        <v>36</v>
      </c>
    </row>
    <row r="87" spans="1:15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M87" si="123">(INDEX(F$7:F$22,$B87)*(1-$D87)+INDEX(F$7:F$22,$B87+1)*$D87)*F$4*$B$2</f>
        <v>0.58749999999999991</v>
      </c>
      <c r="F87" s="22">
        <f t="shared" si="123"/>
        <v>0.33125000000000004</v>
      </c>
      <c r="G87" s="22">
        <f t="shared" si="123"/>
        <v>0</v>
      </c>
      <c r="H87" s="22">
        <f t="shared" si="123"/>
        <v>0</v>
      </c>
      <c r="I87" s="22">
        <f t="shared" si="123"/>
        <v>0</v>
      </c>
      <c r="J87" s="22">
        <f t="shared" si="123"/>
        <v>0.24875000000000003</v>
      </c>
      <c r="K87" s="22">
        <f t="shared" si="123"/>
        <v>0</v>
      </c>
      <c r="L87" s="22">
        <f t="shared" si="123"/>
        <v>0</v>
      </c>
      <c r="M87" s="22">
        <f t="shared" si="123"/>
        <v>0</v>
      </c>
      <c r="N87" s="37">
        <f t="shared" ref="N87:O87" si="124">INT((INDEX(O$7:O$22,$B87)*(1-$D87)+INDEX(O$7:O$22,$B87+1)*$D87)*O$4*$B$2)</f>
        <v>180</v>
      </c>
      <c r="O87" s="37">
        <f t="shared" si="124"/>
        <v>37</v>
      </c>
    </row>
    <row r="88" spans="1:15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M88" si="125">(INDEX(F$7:F$22,$B88)*(1-$D88)+INDEX(F$7:F$22,$B88+1)*$D88)*F$4*$B$2</f>
        <v>0.57499999999999996</v>
      </c>
      <c r="F88" s="22">
        <f t="shared" si="125"/>
        <v>0.33749999999999997</v>
      </c>
      <c r="G88" s="22">
        <f t="shared" si="125"/>
        <v>0</v>
      </c>
      <c r="H88" s="22">
        <f t="shared" si="125"/>
        <v>0</v>
      </c>
      <c r="I88" s="22">
        <f t="shared" si="125"/>
        <v>0</v>
      </c>
      <c r="J88" s="22">
        <f t="shared" si="125"/>
        <v>0.2525</v>
      </c>
      <c r="K88" s="22">
        <f t="shared" si="125"/>
        <v>0</v>
      </c>
      <c r="L88" s="22">
        <f t="shared" si="125"/>
        <v>0</v>
      </c>
      <c r="M88" s="22">
        <f t="shared" si="125"/>
        <v>0</v>
      </c>
      <c r="N88" s="37">
        <f t="shared" ref="N88:O88" si="126">INT((INDEX(O$7:O$22,$B88)*(1-$D88)+INDEX(O$7:O$22,$B88+1)*$D88)*O$4*$B$2)</f>
        <v>183</v>
      </c>
      <c r="O88" s="37">
        <f t="shared" si="126"/>
        <v>37</v>
      </c>
    </row>
    <row r="89" spans="1:15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M89" si="127">(INDEX(F$7:F$22,$B89)*(1-$D89)+INDEX(F$7:F$22,$B89+1)*$D89)*F$4*$B$2</f>
        <v>0.5625</v>
      </c>
      <c r="F89" s="22">
        <f t="shared" si="127"/>
        <v>0.34375</v>
      </c>
      <c r="G89" s="22">
        <f t="shared" si="127"/>
        <v>0</v>
      </c>
      <c r="H89" s="22">
        <f t="shared" si="127"/>
        <v>0</v>
      </c>
      <c r="I89" s="22">
        <f t="shared" si="127"/>
        <v>0</v>
      </c>
      <c r="J89" s="22">
        <f t="shared" si="127"/>
        <v>0.25625000000000003</v>
      </c>
      <c r="K89" s="22">
        <f t="shared" si="127"/>
        <v>0</v>
      </c>
      <c r="L89" s="22">
        <f t="shared" si="127"/>
        <v>0</v>
      </c>
      <c r="M89" s="22">
        <f t="shared" si="127"/>
        <v>0</v>
      </c>
      <c r="N89" s="37">
        <f t="shared" ref="N89:O89" si="128">INT((INDEX(O$7:O$22,$B89)*(1-$D89)+INDEX(O$7:O$22,$B89+1)*$D89)*O$4*$B$2)</f>
        <v>186</v>
      </c>
      <c r="O89" s="37">
        <f t="shared" si="128"/>
        <v>38</v>
      </c>
    </row>
    <row r="90" spans="1:15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M90" si="129">(INDEX(F$7:F$22,$B90)*(1-$D90)+INDEX(F$7:F$22,$B90+1)*$D90)*F$4*$B$2</f>
        <v>0.55000000000000004</v>
      </c>
      <c r="F90" s="22">
        <f t="shared" si="129"/>
        <v>0.35000000000000003</v>
      </c>
      <c r="G90" s="22">
        <f t="shared" si="129"/>
        <v>0</v>
      </c>
      <c r="H90" s="22">
        <f t="shared" si="129"/>
        <v>0</v>
      </c>
      <c r="I90" s="22">
        <f t="shared" si="129"/>
        <v>0</v>
      </c>
      <c r="J90" s="22">
        <f t="shared" si="129"/>
        <v>0.26</v>
      </c>
      <c r="K90" s="22">
        <f t="shared" si="129"/>
        <v>0</v>
      </c>
      <c r="L90" s="22">
        <f t="shared" si="129"/>
        <v>0</v>
      </c>
      <c r="M90" s="22">
        <f t="shared" si="129"/>
        <v>0</v>
      </c>
      <c r="N90" s="37">
        <f t="shared" ref="N90:O90" si="130">INT((INDEX(O$7:O$22,$B90)*(1-$D90)+INDEX(O$7:O$22,$B90+1)*$D90)*O$4*$B$2)</f>
        <v>188</v>
      </c>
      <c r="O90" s="37">
        <f t="shared" si="130"/>
        <v>38</v>
      </c>
    </row>
    <row r="91" spans="1:15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M91" si="131">(INDEX(F$7:F$22,$B91)*(1-$D91)+INDEX(F$7:F$22,$B91+1)*$D91)*F$4*$B$2</f>
        <v>0.53749999999999998</v>
      </c>
      <c r="F91" s="22">
        <f t="shared" si="131"/>
        <v>0.35624999999999996</v>
      </c>
      <c r="G91" s="22">
        <f t="shared" si="131"/>
        <v>0</v>
      </c>
      <c r="H91" s="22">
        <f t="shared" si="131"/>
        <v>0</v>
      </c>
      <c r="I91" s="22">
        <f t="shared" si="131"/>
        <v>0</v>
      </c>
      <c r="J91" s="22">
        <f t="shared" si="131"/>
        <v>0.26375000000000004</v>
      </c>
      <c r="K91" s="22">
        <f t="shared" si="131"/>
        <v>0</v>
      </c>
      <c r="L91" s="22">
        <f t="shared" si="131"/>
        <v>0</v>
      </c>
      <c r="M91" s="22">
        <f t="shared" si="131"/>
        <v>0</v>
      </c>
      <c r="N91" s="37">
        <f t="shared" ref="N91:O91" si="132">INT((INDEX(O$7:O$22,$B91)*(1-$D91)+INDEX(O$7:O$22,$B91+1)*$D91)*O$4*$B$2)</f>
        <v>191</v>
      </c>
      <c r="O91" s="37">
        <f t="shared" si="132"/>
        <v>38</v>
      </c>
    </row>
    <row r="92" spans="1:15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M92" si="133">(INDEX(F$7:F$22,$B92)*(1-$D92)+INDEX(F$7:F$22,$B92+1)*$D92)*F$4*$B$2</f>
        <v>0.52500000000000002</v>
      </c>
      <c r="F92" s="22">
        <f t="shared" si="133"/>
        <v>0.36250000000000004</v>
      </c>
      <c r="G92" s="22">
        <f t="shared" si="133"/>
        <v>0</v>
      </c>
      <c r="H92" s="22">
        <f t="shared" si="133"/>
        <v>0</v>
      </c>
      <c r="I92" s="22">
        <f t="shared" si="133"/>
        <v>0</v>
      </c>
      <c r="J92" s="22">
        <f t="shared" si="133"/>
        <v>0.26750000000000002</v>
      </c>
      <c r="K92" s="22">
        <f t="shared" si="133"/>
        <v>0</v>
      </c>
      <c r="L92" s="22">
        <f t="shared" si="133"/>
        <v>0</v>
      </c>
      <c r="M92" s="22">
        <f t="shared" si="133"/>
        <v>0</v>
      </c>
      <c r="N92" s="37">
        <f t="shared" ref="N92:O92" si="134">INT((INDEX(O$7:O$22,$B92)*(1-$D92)+INDEX(O$7:O$22,$B92+1)*$D92)*O$4*$B$2)</f>
        <v>194</v>
      </c>
      <c r="O92" s="37">
        <f t="shared" si="134"/>
        <v>39</v>
      </c>
    </row>
    <row r="93" spans="1:15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M93" si="135">(INDEX(F$7:F$22,$B93)*(1-$D93)+INDEX(F$7:F$22,$B93+1)*$D93)*F$4*$B$2</f>
        <v>0.51249999999999996</v>
      </c>
      <c r="F93" s="22">
        <f t="shared" si="135"/>
        <v>0.36874999999999997</v>
      </c>
      <c r="G93" s="22">
        <f t="shared" si="135"/>
        <v>0</v>
      </c>
      <c r="H93" s="22">
        <f t="shared" si="135"/>
        <v>0</v>
      </c>
      <c r="I93" s="22">
        <f t="shared" si="135"/>
        <v>0</v>
      </c>
      <c r="J93" s="22">
        <f t="shared" si="135"/>
        <v>0.27124999999999999</v>
      </c>
      <c r="K93" s="22">
        <f t="shared" si="135"/>
        <v>0</v>
      </c>
      <c r="L93" s="22">
        <f t="shared" si="135"/>
        <v>0</v>
      </c>
      <c r="M93" s="22">
        <f t="shared" si="135"/>
        <v>0</v>
      </c>
      <c r="N93" s="37">
        <f t="shared" ref="N93:O93" si="136">INT((INDEX(O$7:O$22,$B93)*(1-$D93)+INDEX(O$7:O$22,$B93+1)*$D93)*O$4*$B$2)</f>
        <v>197</v>
      </c>
      <c r="O93" s="37">
        <f t="shared" si="136"/>
        <v>39</v>
      </c>
    </row>
    <row r="94" spans="1:15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M94" si="137">(INDEX(F$7:F$22,$B94)*(1-$D94)+INDEX(F$7:F$22,$B94+1)*$D94)*F$4*$B$2</f>
        <v>0.5</v>
      </c>
      <c r="F94" s="22">
        <f t="shared" si="137"/>
        <v>0.375</v>
      </c>
      <c r="G94" s="22">
        <f t="shared" si="137"/>
        <v>0</v>
      </c>
      <c r="H94" s="22">
        <f t="shared" si="137"/>
        <v>0</v>
      </c>
      <c r="I94" s="22">
        <f t="shared" si="137"/>
        <v>0</v>
      </c>
      <c r="J94" s="22">
        <f t="shared" si="137"/>
        <v>0.27500000000000002</v>
      </c>
      <c r="K94" s="22">
        <f t="shared" si="137"/>
        <v>0</v>
      </c>
      <c r="L94" s="22">
        <f t="shared" si="137"/>
        <v>0</v>
      </c>
      <c r="M94" s="22">
        <f t="shared" si="137"/>
        <v>0</v>
      </c>
      <c r="N94" s="37">
        <f t="shared" ref="N94:O94" si="138">INT((INDEX(O$7:O$22,$B94)*(1-$D94)+INDEX(O$7:O$22,$B94+1)*$D94)*O$4*$B$2)</f>
        <v>200</v>
      </c>
      <c r="O94" s="37">
        <f t="shared" si="138"/>
        <v>40</v>
      </c>
    </row>
    <row r="95" spans="1:15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M95" si="139">(INDEX(F$7:F$22,$B95)*(1-$D95)+INDEX(F$7:F$22,$B95+1)*$D95)*F$4*$B$2</f>
        <v>0.35</v>
      </c>
      <c r="F95" s="22">
        <f t="shared" si="139"/>
        <v>0.41249999999999998</v>
      </c>
      <c r="G95" s="22">
        <f t="shared" si="139"/>
        <v>1.4999999999999999E-2</v>
      </c>
      <c r="H95" s="22">
        <f t="shared" si="139"/>
        <v>0</v>
      </c>
      <c r="I95" s="22">
        <f t="shared" si="139"/>
        <v>0</v>
      </c>
      <c r="J95" s="22">
        <f t="shared" si="139"/>
        <v>0.29749999999999999</v>
      </c>
      <c r="K95" s="22">
        <f t="shared" si="139"/>
        <v>0</v>
      </c>
      <c r="L95" s="22">
        <f t="shared" si="139"/>
        <v>0</v>
      </c>
      <c r="M95" s="22">
        <f t="shared" si="139"/>
        <v>0</v>
      </c>
      <c r="N95" s="37">
        <f t="shared" ref="N95:O95" si="140">INT((INDEX(O$7:O$22,$B95)*(1-$D95)+INDEX(O$7:O$22,$B95+1)*$D95)*O$4*$B$2)</f>
        <v>222</v>
      </c>
      <c r="O95" s="37">
        <f t="shared" si="140"/>
        <v>43</v>
      </c>
    </row>
    <row r="96" spans="1:15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M96" si="141">(INDEX(F$7:F$22,$B96)*(1-$D96)+INDEX(F$7:F$22,$B96+1)*$D96)*F$4*$B$2</f>
        <v>0.32500000000000001</v>
      </c>
      <c r="F96" s="22">
        <f t="shared" si="141"/>
        <v>0.41875000000000001</v>
      </c>
      <c r="G96" s="22">
        <f t="shared" si="141"/>
        <v>1.7499999999999998E-2</v>
      </c>
      <c r="H96" s="22">
        <f t="shared" si="141"/>
        <v>0</v>
      </c>
      <c r="I96" s="22">
        <f t="shared" si="141"/>
        <v>0</v>
      </c>
      <c r="J96" s="22">
        <f t="shared" si="141"/>
        <v>0.30125000000000002</v>
      </c>
      <c r="K96" s="22">
        <f t="shared" si="141"/>
        <v>0</v>
      </c>
      <c r="L96" s="22">
        <f t="shared" si="141"/>
        <v>0</v>
      </c>
      <c r="M96" s="22">
        <f t="shared" si="141"/>
        <v>0</v>
      </c>
      <c r="N96" s="37">
        <f t="shared" ref="N96:O96" si="142">INT((INDEX(O$7:O$22,$B96)*(1-$D96)+INDEX(O$7:O$22,$B96+1)*$D96)*O$4*$B$2)</f>
        <v>226</v>
      </c>
      <c r="O96" s="37">
        <f t="shared" si="142"/>
        <v>43</v>
      </c>
    </row>
    <row r="97" spans="1:15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M97" si="143">(INDEX(F$7:F$22,$B97)*(1-$D97)+INDEX(F$7:F$22,$B97+1)*$D97)*F$4*$B$2</f>
        <v>0.3</v>
      </c>
      <c r="F97" s="22">
        <f t="shared" si="143"/>
        <v>0.42499999999999999</v>
      </c>
      <c r="G97" s="22">
        <f t="shared" si="143"/>
        <v>2.0000000000000004E-2</v>
      </c>
      <c r="H97" s="22">
        <f t="shared" si="143"/>
        <v>0</v>
      </c>
      <c r="I97" s="22">
        <f t="shared" si="143"/>
        <v>0</v>
      </c>
      <c r="J97" s="22">
        <f t="shared" si="143"/>
        <v>0.30499999999999999</v>
      </c>
      <c r="K97" s="22">
        <f t="shared" si="143"/>
        <v>0</v>
      </c>
      <c r="L97" s="22">
        <f t="shared" si="143"/>
        <v>0</v>
      </c>
      <c r="M97" s="22">
        <f t="shared" si="143"/>
        <v>0</v>
      </c>
      <c r="N97" s="37">
        <f t="shared" ref="N97:O97" si="144">INT((INDEX(O$7:O$22,$B97)*(1-$D97)+INDEX(O$7:O$22,$B97+1)*$D97)*O$4*$B$2)</f>
        <v>230</v>
      </c>
      <c r="O97" s="37">
        <f t="shared" si="144"/>
        <v>44</v>
      </c>
    </row>
    <row r="98" spans="1:15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M98" si="145">(INDEX(F$7:F$22,$B98)*(1-$D98)+INDEX(F$7:F$22,$B98+1)*$D98)*F$4*$B$2</f>
        <v>0.27500000000000002</v>
      </c>
      <c r="F98" s="22">
        <f t="shared" si="145"/>
        <v>0.43125000000000002</v>
      </c>
      <c r="G98" s="22">
        <f t="shared" si="145"/>
        <v>2.2500000000000003E-2</v>
      </c>
      <c r="H98" s="22">
        <f t="shared" si="145"/>
        <v>0</v>
      </c>
      <c r="I98" s="22">
        <f t="shared" si="145"/>
        <v>0</v>
      </c>
      <c r="J98" s="22">
        <f t="shared" si="145"/>
        <v>0.30875000000000002</v>
      </c>
      <c r="K98" s="22">
        <f t="shared" si="145"/>
        <v>0</v>
      </c>
      <c r="L98" s="22">
        <f t="shared" si="145"/>
        <v>0</v>
      </c>
      <c r="M98" s="22">
        <f t="shared" si="145"/>
        <v>0</v>
      </c>
      <c r="N98" s="37">
        <f t="shared" ref="N98:O98" si="146">INT((INDEX(O$7:O$22,$B98)*(1-$D98)+INDEX(O$7:O$22,$B98+1)*$D98)*O$4*$B$2)</f>
        <v>233</v>
      </c>
      <c r="O98" s="37">
        <f t="shared" si="146"/>
        <v>44</v>
      </c>
    </row>
    <row r="99" spans="1:15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M99" si="147">(INDEX(F$7:F$22,$B99)*(1-$D99)+INDEX(F$7:F$22,$B99+1)*$D99)*F$4*$B$2</f>
        <v>0.25</v>
      </c>
      <c r="F99" s="22">
        <f t="shared" si="147"/>
        <v>0.4375</v>
      </c>
      <c r="G99" s="22">
        <f t="shared" si="147"/>
        <v>2.5000000000000001E-2</v>
      </c>
      <c r="H99" s="22">
        <f t="shared" si="147"/>
        <v>0</v>
      </c>
      <c r="I99" s="22">
        <f t="shared" si="147"/>
        <v>0</v>
      </c>
      <c r="J99" s="22">
        <f t="shared" si="147"/>
        <v>0.3125</v>
      </c>
      <c r="K99" s="22">
        <f t="shared" si="147"/>
        <v>0</v>
      </c>
      <c r="L99" s="22">
        <f t="shared" si="147"/>
        <v>0</v>
      </c>
      <c r="M99" s="22">
        <f t="shared" si="147"/>
        <v>0</v>
      </c>
      <c r="N99" s="37">
        <f t="shared" ref="N99:O99" si="148">INT((INDEX(O$7:O$22,$B99)*(1-$D99)+INDEX(O$7:O$22,$B99+1)*$D99)*O$4*$B$2)</f>
        <v>237</v>
      </c>
      <c r="O99" s="37">
        <f t="shared" si="148"/>
        <v>45</v>
      </c>
    </row>
    <row r="100" spans="1:15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M100" si="149">(INDEX(F$7:F$22,$B100)*(1-$D100)+INDEX(F$7:F$22,$B100+1)*$D100)*F$4*$B$2</f>
        <v>0.22499999999999998</v>
      </c>
      <c r="F100" s="22">
        <f t="shared" si="149"/>
        <v>0.44374999999999998</v>
      </c>
      <c r="G100" s="22">
        <f t="shared" si="149"/>
        <v>2.7500000000000004E-2</v>
      </c>
      <c r="H100" s="22">
        <f t="shared" si="149"/>
        <v>0</v>
      </c>
      <c r="I100" s="22">
        <f t="shared" si="149"/>
        <v>0</v>
      </c>
      <c r="J100" s="22">
        <f t="shared" si="149"/>
        <v>0.31625000000000003</v>
      </c>
      <c r="K100" s="22">
        <f t="shared" si="149"/>
        <v>0</v>
      </c>
      <c r="L100" s="22">
        <f t="shared" si="149"/>
        <v>0</v>
      </c>
      <c r="M100" s="22">
        <f t="shared" si="149"/>
        <v>0</v>
      </c>
      <c r="N100" s="37">
        <f t="shared" ref="N100:O100" si="150">INT((INDEX(O$7:O$22,$B100)*(1-$D100)+INDEX(O$7:O$22,$B100+1)*$D100)*O$4*$B$2)</f>
        <v>241</v>
      </c>
      <c r="O100" s="37">
        <f t="shared" si="150"/>
        <v>45</v>
      </c>
    </row>
    <row r="101" spans="1:15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M101" si="151">(INDEX(F$7:F$22,$B101)*(1-$D101)+INDEX(F$7:F$22,$B101+1)*$D101)*F$4*$B$2</f>
        <v>0.2</v>
      </c>
      <c r="F101" s="22">
        <f t="shared" si="151"/>
        <v>0.45</v>
      </c>
      <c r="G101" s="22">
        <f t="shared" si="151"/>
        <v>0.03</v>
      </c>
      <c r="H101" s="22">
        <f t="shared" si="151"/>
        <v>0</v>
      </c>
      <c r="I101" s="22">
        <f t="shared" si="151"/>
        <v>0</v>
      </c>
      <c r="J101" s="22">
        <f t="shared" si="151"/>
        <v>0.32</v>
      </c>
      <c r="K101" s="22">
        <f t="shared" si="151"/>
        <v>0</v>
      </c>
      <c r="L101" s="22">
        <f t="shared" si="151"/>
        <v>0</v>
      </c>
      <c r="M101" s="22">
        <f t="shared" si="151"/>
        <v>0</v>
      </c>
      <c r="N101" s="37">
        <f t="shared" ref="N101:O101" si="152">INT((INDEX(O$7:O$22,$B101)*(1-$D101)+INDEX(O$7:O$22,$B101+1)*$D101)*O$4*$B$2)</f>
        <v>245</v>
      </c>
      <c r="O101" s="37">
        <f t="shared" si="152"/>
        <v>46</v>
      </c>
    </row>
    <row r="102" spans="1:15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M102" si="153">(INDEX(F$7:F$22,$B102)*(1-$D102)+INDEX(F$7:F$22,$B102+1)*$D102)*F$4*$B$2</f>
        <v>0.17499999999999999</v>
      </c>
      <c r="F102" s="22">
        <f t="shared" si="153"/>
        <v>0.45624999999999999</v>
      </c>
      <c r="G102" s="22">
        <f t="shared" si="153"/>
        <v>3.2500000000000001E-2</v>
      </c>
      <c r="H102" s="22">
        <f t="shared" si="153"/>
        <v>0</v>
      </c>
      <c r="I102" s="22">
        <f t="shared" si="153"/>
        <v>0</v>
      </c>
      <c r="J102" s="22">
        <f t="shared" si="153"/>
        <v>0.32374999999999998</v>
      </c>
      <c r="K102" s="22">
        <f t="shared" si="153"/>
        <v>0</v>
      </c>
      <c r="L102" s="22">
        <f t="shared" si="153"/>
        <v>0</v>
      </c>
      <c r="M102" s="22">
        <f t="shared" si="153"/>
        <v>0</v>
      </c>
      <c r="N102" s="37">
        <f t="shared" ref="N102:O102" si="154">INT((INDEX(O$7:O$22,$B102)*(1-$D102)+INDEX(O$7:O$22,$B102+1)*$D102)*O$4*$B$2)</f>
        <v>248</v>
      </c>
      <c r="O102" s="37">
        <f t="shared" si="154"/>
        <v>46</v>
      </c>
    </row>
    <row r="103" spans="1:15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M103" si="155">(INDEX(F$7:F$22,$B103)*(1-$D103)+INDEX(F$7:F$22,$B103+1)*$D103)*F$4*$B$2</f>
        <v>0.15000000000000002</v>
      </c>
      <c r="F103" s="22">
        <f t="shared" si="155"/>
        <v>0.46250000000000002</v>
      </c>
      <c r="G103" s="22">
        <f t="shared" si="155"/>
        <v>3.4999999999999996E-2</v>
      </c>
      <c r="H103" s="22">
        <f t="shared" si="155"/>
        <v>0</v>
      </c>
      <c r="I103" s="22">
        <f t="shared" si="155"/>
        <v>0</v>
      </c>
      <c r="J103" s="22">
        <f t="shared" si="155"/>
        <v>0.32750000000000001</v>
      </c>
      <c r="K103" s="22">
        <f t="shared" si="155"/>
        <v>0</v>
      </c>
      <c r="L103" s="22">
        <f t="shared" si="155"/>
        <v>0</v>
      </c>
      <c r="M103" s="22">
        <f t="shared" si="155"/>
        <v>0</v>
      </c>
      <c r="N103" s="37">
        <f t="shared" ref="N103:O103" si="156">INT((INDEX(O$7:O$22,$B103)*(1-$D103)+INDEX(O$7:O$22,$B103+1)*$D103)*O$4*$B$2)</f>
        <v>252</v>
      </c>
      <c r="O103" s="37">
        <f t="shared" si="156"/>
        <v>47</v>
      </c>
    </row>
    <row r="104" spans="1:15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M104" si="157">(INDEX(F$7:F$22,$B104)*(1-$D104)+INDEX(F$7:F$22,$B104+1)*$D104)*F$4*$B$2</f>
        <v>0.125</v>
      </c>
      <c r="F104" s="22">
        <f t="shared" si="157"/>
        <v>0.46875</v>
      </c>
      <c r="G104" s="22">
        <f t="shared" si="157"/>
        <v>3.7500000000000006E-2</v>
      </c>
      <c r="H104" s="22">
        <f t="shared" si="157"/>
        <v>0</v>
      </c>
      <c r="I104" s="22">
        <f t="shared" si="157"/>
        <v>0</v>
      </c>
      <c r="J104" s="22">
        <f t="shared" si="157"/>
        <v>0.33124999999999993</v>
      </c>
      <c r="K104" s="22">
        <f t="shared" si="157"/>
        <v>0</v>
      </c>
      <c r="L104" s="22">
        <f t="shared" si="157"/>
        <v>0</v>
      </c>
      <c r="M104" s="22">
        <f t="shared" si="157"/>
        <v>0</v>
      </c>
      <c r="N104" s="37">
        <f t="shared" ref="N104:O104" si="158">INT((INDEX(O$7:O$22,$B104)*(1-$D104)+INDEX(O$7:O$22,$B104+1)*$D104)*O$4*$B$2)</f>
        <v>256</v>
      </c>
      <c r="O104" s="37">
        <f t="shared" si="158"/>
        <v>47</v>
      </c>
    </row>
    <row r="105" spans="1:15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M105" si="159">(INDEX(F$7:F$22,$B105)*(1-$D105)+INDEX(F$7:F$22,$B105+1)*$D105)*F$4*$B$2</f>
        <v>9.9999999999999978E-2</v>
      </c>
      <c r="F105" s="22">
        <f t="shared" si="159"/>
        <v>0.47499999999999998</v>
      </c>
      <c r="G105" s="22">
        <f t="shared" si="159"/>
        <v>4.0000000000000008E-2</v>
      </c>
      <c r="H105" s="22">
        <f t="shared" si="159"/>
        <v>0</v>
      </c>
      <c r="I105" s="22">
        <f t="shared" si="159"/>
        <v>0</v>
      </c>
      <c r="J105" s="22">
        <f t="shared" si="159"/>
        <v>0.33499999999999996</v>
      </c>
      <c r="K105" s="22">
        <f t="shared" si="159"/>
        <v>0</v>
      </c>
      <c r="L105" s="22">
        <f t="shared" si="159"/>
        <v>0</v>
      </c>
      <c r="M105" s="22">
        <f t="shared" si="159"/>
        <v>0</v>
      </c>
      <c r="N105" s="37">
        <f t="shared" ref="N105:O105" si="160">INT((INDEX(O$7:O$22,$B105)*(1-$D105)+INDEX(O$7:O$22,$B105+1)*$D105)*O$4*$B$2)</f>
        <v>260</v>
      </c>
      <c r="O105" s="37">
        <f t="shared" si="160"/>
        <v>48</v>
      </c>
    </row>
    <row r="106" spans="1:15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M106" si="161">(INDEX(F$7:F$22,$B106)*(1-$D106)+INDEX(F$7:F$22,$B106+1)*$D106)*F$4*$B$2</f>
        <v>7.5000000000000011E-2</v>
      </c>
      <c r="F106" s="22">
        <f t="shared" si="161"/>
        <v>0.48125000000000001</v>
      </c>
      <c r="G106" s="22">
        <f t="shared" si="161"/>
        <v>4.2500000000000003E-2</v>
      </c>
      <c r="H106" s="22">
        <f t="shared" si="161"/>
        <v>0</v>
      </c>
      <c r="I106" s="22">
        <f t="shared" si="161"/>
        <v>0</v>
      </c>
      <c r="J106" s="22">
        <f t="shared" si="161"/>
        <v>0.33875</v>
      </c>
      <c r="K106" s="22">
        <f t="shared" si="161"/>
        <v>0</v>
      </c>
      <c r="L106" s="22">
        <f t="shared" si="161"/>
        <v>0</v>
      </c>
      <c r="M106" s="22">
        <f t="shared" si="161"/>
        <v>0</v>
      </c>
      <c r="N106" s="37">
        <f t="shared" ref="N106:O106" si="162">INT((INDEX(O$7:O$22,$B106)*(1-$D106)+INDEX(O$7:O$22,$B106+1)*$D106)*O$4*$B$2)</f>
        <v>263</v>
      </c>
      <c r="O106" s="37">
        <f t="shared" si="162"/>
        <v>48</v>
      </c>
    </row>
    <row r="107" spans="1:15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M107" si="163">(INDEX(F$7:F$22,$B107)*(1-$D107)+INDEX(F$7:F$22,$B107+1)*$D107)*F$4*$B$2</f>
        <v>4.9999999999999989E-2</v>
      </c>
      <c r="F107" s="22">
        <f t="shared" si="163"/>
        <v>0.48749999999999999</v>
      </c>
      <c r="G107" s="22">
        <f t="shared" si="163"/>
        <v>4.5000000000000005E-2</v>
      </c>
      <c r="H107" s="22">
        <f t="shared" si="163"/>
        <v>0</v>
      </c>
      <c r="I107" s="22">
        <f t="shared" si="163"/>
        <v>0</v>
      </c>
      <c r="J107" s="22">
        <f t="shared" si="163"/>
        <v>0.34250000000000003</v>
      </c>
      <c r="K107" s="22">
        <f t="shared" si="163"/>
        <v>0</v>
      </c>
      <c r="L107" s="22">
        <f t="shared" si="163"/>
        <v>0</v>
      </c>
      <c r="M107" s="22">
        <f t="shared" si="163"/>
        <v>0</v>
      </c>
      <c r="N107" s="37">
        <f t="shared" ref="N107:O107" si="164">INT((INDEX(O$7:O$22,$B107)*(1-$D107)+INDEX(O$7:O$22,$B107+1)*$D107)*O$4*$B$2)</f>
        <v>267</v>
      </c>
      <c r="O107" s="37">
        <f t="shared" si="164"/>
        <v>49</v>
      </c>
    </row>
    <row r="108" spans="1:15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M108" si="165">(INDEX(F$7:F$22,$B108)*(1-$D108)+INDEX(F$7:F$22,$B108+1)*$D108)*F$4*$B$2</f>
        <v>2.5000000000000022E-2</v>
      </c>
      <c r="F108" s="22">
        <f t="shared" si="165"/>
        <v>0.49375000000000002</v>
      </c>
      <c r="G108" s="22">
        <f t="shared" si="165"/>
        <v>4.7500000000000001E-2</v>
      </c>
      <c r="H108" s="22">
        <f t="shared" si="165"/>
        <v>0</v>
      </c>
      <c r="I108" s="22">
        <f t="shared" si="165"/>
        <v>0</v>
      </c>
      <c r="J108" s="22">
        <f t="shared" si="165"/>
        <v>0.34625</v>
      </c>
      <c r="K108" s="22">
        <f t="shared" si="165"/>
        <v>0</v>
      </c>
      <c r="L108" s="22">
        <f t="shared" si="165"/>
        <v>0</v>
      </c>
      <c r="M108" s="22">
        <f t="shared" si="165"/>
        <v>0</v>
      </c>
      <c r="N108" s="37">
        <f t="shared" ref="N108:O108" si="166">INT((INDEX(O$7:O$22,$B108)*(1-$D108)+INDEX(O$7:O$22,$B108+1)*$D108)*O$4*$B$2)</f>
        <v>271</v>
      </c>
      <c r="O108" s="37">
        <f t="shared" si="166"/>
        <v>49</v>
      </c>
    </row>
    <row r="109" spans="1:15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M109" si="167">(INDEX(F$7:F$22,$B109)*(1-$D109)+INDEX(F$7:F$22,$B109+1)*$D109)*F$4*$B$2</f>
        <v>0</v>
      </c>
      <c r="F109" s="22">
        <f t="shared" si="167"/>
        <v>0.5</v>
      </c>
      <c r="G109" s="22">
        <f t="shared" si="167"/>
        <v>0.05</v>
      </c>
      <c r="H109" s="22">
        <f t="shared" si="167"/>
        <v>0</v>
      </c>
      <c r="I109" s="22">
        <f t="shared" si="167"/>
        <v>0</v>
      </c>
      <c r="J109" s="22">
        <f t="shared" si="167"/>
        <v>0.35</v>
      </c>
      <c r="K109" s="22">
        <f t="shared" si="167"/>
        <v>0</v>
      </c>
      <c r="L109" s="22">
        <f t="shared" si="167"/>
        <v>0</v>
      </c>
      <c r="M109" s="22">
        <f t="shared" si="167"/>
        <v>0</v>
      </c>
      <c r="N109" s="37">
        <f t="shared" ref="N109:O109" si="168">INT((INDEX(O$7:O$22,$B109)*(1-$D109)+INDEX(O$7:O$22,$B109+1)*$D109)*O$4*$B$2)</f>
        <v>275</v>
      </c>
      <c r="O109" s="37">
        <f t="shared" si="168"/>
        <v>50</v>
      </c>
    </row>
    <row r="110" spans="1:15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M110" si="169">(INDEX(F$7:F$22,$B110)*(1-$D110)+INDEX(F$7:F$22,$B110+1)*$D110)*F$4*$B$2</f>
        <v>0</v>
      </c>
      <c r="F110" s="22">
        <f t="shared" si="169"/>
        <v>0.46249999999999997</v>
      </c>
      <c r="G110" s="22">
        <f t="shared" si="169"/>
        <v>6.4999999999999988E-2</v>
      </c>
      <c r="H110" s="22">
        <f t="shared" si="169"/>
        <v>0</v>
      </c>
      <c r="I110" s="22">
        <f t="shared" si="169"/>
        <v>0</v>
      </c>
      <c r="J110" s="22">
        <f t="shared" si="169"/>
        <v>0.37249999999999994</v>
      </c>
      <c r="K110" s="22">
        <f t="shared" si="169"/>
        <v>0</v>
      </c>
      <c r="L110" s="22">
        <f t="shared" si="169"/>
        <v>0</v>
      </c>
      <c r="M110" s="22">
        <f t="shared" si="169"/>
        <v>0</v>
      </c>
      <c r="N110" s="37">
        <f t="shared" ref="N110:O110" si="170">INT((INDEX(O$7:O$22,$B110)*(1-$D110)+INDEX(O$7:O$22,$B110+1)*$D110)*O$4*$B$2)</f>
        <v>300</v>
      </c>
      <c r="O110" s="37">
        <f t="shared" si="170"/>
        <v>53</v>
      </c>
    </row>
    <row r="111" spans="1:15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M111" si="171">(INDEX(F$7:F$22,$B111)*(1-$D111)+INDEX(F$7:F$22,$B111+1)*$D111)*F$4*$B$2</f>
        <v>0</v>
      </c>
      <c r="F111" s="22">
        <f t="shared" si="171"/>
        <v>0.45624999999999999</v>
      </c>
      <c r="G111" s="22">
        <f t="shared" si="171"/>
        <v>6.7500000000000004E-2</v>
      </c>
      <c r="H111" s="22">
        <f t="shared" si="171"/>
        <v>0</v>
      </c>
      <c r="I111" s="22">
        <f t="shared" si="171"/>
        <v>0</v>
      </c>
      <c r="J111" s="22">
        <f t="shared" si="171"/>
        <v>0.37624999999999997</v>
      </c>
      <c r="K111" s="22">
        <f t="shared" si="171"/>
        <v>0</v>
      </c>
      <c r="L111" s="22">
        <f t="shared" si="171"/>
        <v>0</v>
      </c>
      <c r="M111" s="22">
        <f t="shared" si="171"/>
        <v>0</v>
      </c>
      <c r="N111" s="37">
        <f t="shared" ref="N111:O111" si="172">INT((INDEX(O$7:O$22,$B111)*(1-$D111)+INDEX(O$7:O$22,$B111+1)*$D111)*O$4*$B$2)</f>
        <v>304</v>
      </c>
      <c r="O111" s="37">
        <f t="shared" si="172"/>
        <v>53</v>
      </c>
    </row>
    <row r="112" spans="1:15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M112" si="173">(INDEX(F$7:F$22,$B112)*(1-$D112)+INDEX(F$7:F$22,$B112+1)*$D112)*F$4*$B$2</f>
        <v>0</v>
      </c>
      <c r="F112" s="22">
        <f t="shared" si="173"/>
        <v>0.45</v>
      </c>
      <c r="G112" s="22">
        <f t="shared" si="173"/>
        <v>6.9999999999999993E-2</v>
      </c>
      <c r="H112" s="22">
        <f t="shared" si="173"/>
        <v>0</v>
      </c>
      <c r="I112" s="22">
        <f t="shared" si="173"/>
        <v>0</v>
      </c>
      <c r="J112" s="22">
        <f t="shared" si="173"/>
        <v>0.38</v>
      </c>
      <c r="K112" s="22">
        <f t="shared" si="173"/>
        <v>0</v>
      </c>
      <c r="L112" s="22">
        <f t="shared" si="173"/>
        <v>0</v>
      </c>
      <c r="M112" s="22">
        <f t="shared" si="173"/>
        <v>0</v>
      </c>
      <c r="N112" s="37">
        <f t="shared" ref="N112:O112" si="174">INT((INDEX(O$7:O$22,$B112)*(1-$D112)+INDEX(O$7:O$22,$B112+1)*$D112)*O$4*$B$2)</f>
        <v>309</v>
      </c>
      <c r="O112" s="37">
        <f t="shared" si="174"/>
        <v>54</v>
      </c>
    </row>
    <row r="113" spans="1:15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M113" si="175">(INDEX(F$7:F$22,$B113)*(1-$D113)+INDEX(F$7:F$22,$B113+1)*$D113)*F$4*$B$2</f>
        <v>0</v>
      </c>
      <c r="F113" s="22">
        <f t="shared" si="175"/>
        <v>0.44375000000000003</v>
      </c>
      <c r="G113" s="22">
        <f t="shared" si="175"/>
        <v>7.2500000000000009E-2</v>
      </c>
      <c r="H113" s="22">
        <f t="shared" si="175"/>
        <v>0</v>
      </c>
      <c r="I113" s="22">
        <f t="shared" si="175"/>
        <v>0</v>
      </c>
      <c r="J113" s="22">
        <f t="shared" si="175"/>
        <v>0.38375000000000004</v>
      </c>
      <c r="K113" s="22">
        <f t="shared" si="175"/>
        <v>0</v>
      </c>
      <c r="L113" s="22">
        <f t="shared" si="175"/>
        <v>0</v>
      </c>
      <c r="M113" s="22">
        <f t="shared" si="175"/>
        <v>0</v>
      </c>
      <c r="N113" s="37">
        <f t="shared" ref="N113:O113" si="176">INT((INDEX(O$7:O$22,$B113)*(1-$D113)+INDEX(O$7:O$22,$B113+1)*$D113)*O$4*$B$2)</f>
        <v>313</v>
      </c>
      <c r="O113" s="37">
        <f t="shared" si="176"/>
        <v>54</v>
      </c>
    </row>
    <row r="114" spans="1:15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M114" si="177">(INDEX(F$7:F$22,$B114)*(1-$D114)+INDEX(F$7:F$22,$B114+1)*$D114)*F$4*$B$2</f>
        <v>0</v>
      </c>
      <c r="F114" s="22">
        <f t="shared" si="177"/>
        <v>0.4375</v>
      </c>
      <c r="G114" s="22">
        <f t="shared" si="177"/>
        <v>7.5000000000000011E-2</v>
      </c>
      <c r="H114" s="22">
        <f t="shared" si="177"/>
        <v>0</v>
      </c>
      <c r="I114" s="22">
        <f t="shared" si="177"/>
        <v>0</v>
      </c>
      <c r="J114" s="22">
        <f t="shared" si="177"/>
        <v>0.38749999999999996</v>
      </c>
      <c r="K114" s="22">
        <f t="shared" si="177"/>
        <v>0</v>
      </c>
      <c r="L114" s="22">
        <f t="shared" si="177"/>
        <v>0</v>
      </c>
      <c r="M114" s="22">
        <f t="shared" si="177"/>
        <v>0</v>
      </c>
      <c r="N114" s="37">
        <f t="shared" ref="N114:O114" si="178">INT((INDEX(O$7:O$22,$B114)*(1-$D114)+INDEX(O$7:O$22,$B114+1)*$D114)*O$4*$B$2)</f>
        <v>317</v>
      </c>
      <c r="O114" s="37">
        <f t="shared" si="178"/>
        <v>55</v>
      </c>
    </row>
    <row r="115" spans="1:15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M115" si="179">(INDEX(F$7:F$22,$B115)*(1-$D115)+INDEX(F$7:F$22,$B115+1)*$D115)*F$4*$B$2</f>
        <v>0</v>
      </c>
      <c r="F115" s="22">
        <f t="shared" si="179"/>
        <v>0.43125000000000002</v>
      </c>
      <c r="G115" s="22">
        <f t="shared" si="179"/>
        <v>7.7500000000000013E-2</v>
      </c>
      <c r="H115" s="22">
        <f t="shared" si="179"/>
        <v>0</v>
      </c>
      <c r="I115" s="22">
        <f t="shared" si="179"/>
        <v>0</v>
      </c>
      <c r="J115" s="22">
        <f t="shared" si="179"/>
        <v>0.39124999999999999</v>
      </c>
      <c r="K115" s="22">
        <f t="shared" si="179"/>
        <v>0</v>
      </c>
      <c r="L115" s="22">
        <f t="shared" si="179"/>
        <v>0</v>
      </c>
      <c r="M115" s="22">
        <f t="shared" si="179"/>
        <v>0</v>
      </c>
      <c r="N115" s="37">
        <f t="shared" ref="N115:O115" si="180">INT((INDEX(O$7:O$22,$B115)*(1-$D115)+INDEX(O$7:O$22,$B115+1)*$D115)*O$4*$B$2)</f>
        <v>321</v>
      </c>
      <c r="O115" s="37">
        <f t="shared" si="180"/>
        <v>55</v>
      </c>
    </row>
    <row r="116" spans="1:15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M116" si="181">(INDEX(F$7:F$22,$B116)*(1-$D116)+INDEX(F$7:F$22,$B116+1)*$D116)*F$4*$B$2</f>
        <v>0</v>
      </c>
      <c r="F116" s="22">
        <f t="shared" si="181"/>
        <v>0.42499999999999999</v>
      </c>
      <c r="G116" s="22">
        <f t="shared" si="181"/>
        <v>8.0000000000000016E-2</v>
      </c>
      <c r="H116" s="22">
        <f t="shared" si="181"/>
        <v>0</v>
      </c>
      <c r="I116" s="22">
        <f t="shared" si="181"/>
        <v>0</v>
      </c>
      <c r="J116" s="22">
        <f t="shared" si="181"/>
        <v>0.39500000000000002</v>
      </c>
      <c r="K116" s="22">
        <f t="shared" si="181"/>
        <v>0</v>
      </c>
      <c r="L116" s="22">
        <f t="shared" si="181"/>
        <v>0</v>
      </c>
      <c r="M116" s="22">
        <f t="shared" si="181"/>
        <v>0</v>
      </c>
      <c r="N116" s="37">
        <f t="shared" ref="N116:O116" si="182">INT((INDEX(O$7:O$22,$B116)*(1-$D116)+INDEX(O$7:O$22,$B116+1)*$D116)*O$4*$B$2)</f>
        <v>326</v>
      </c>
      <c r="O116" s="37">
        <f t="shared" si="182"/>
        <v>56</v>
      </c>
    </row>
    <row r="117" spans="1:15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M117" si="183">(INDEX(F$7:F$22,$B117)*(1-$D117)+INDEX(F$7:F$22,$B117+1)*$D117)*F$4*$B$2</f>
        <v>0</v>
      </c>
      <c r="F117" s="22">
        <f t="shared" si="183"/>
        <v>0.41875000000000001</v>
      </c>
      <c r="G117" s="22">
        <f t="shared" si="183"/>
        <v>8.2500000000000004E-2</v>
      </c>
      <c r="H117" s="22">
        <f t="shared" si="183"/>
        <v>0</v>
      </c>
      <c r="I117" s="22">
        <f t="shared" si="183"/>
        <v>0</v>
      </c>
      <c r="J117" s="22">
        <f t="shared" si="183"/>
        <v>0.39874999999999999</v>
      </c>
      <c r="K117" s="22">
        <f t="shared" si="183"/>
        <v>0</v>
      </c>
      <c r="L117" s="22">
        <f t="shared" si="183"/>
        <v>0</v>
      </c>
      <c r="M117" s="22">
        <f t="shared" si="183"/>
        <v>0</v>
      </c>
      <c r="N117" s="37">
        <f t="shared" ref="N117:O117" si="184">INT((INDEX(O$7:O$22,$B117)*(1-$D117)+INDEX(O$7:O$22,$B117+1)*$D117)*O$4*$B$2)</f>
        <v>330</v>
      </c>
      <c r="O117" s="37">
        <f t="shared" si="184"/>
        <v>56</v>
      </c>
    </row>
    <row r="118" spans="1:15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M118" si="185">(INDEX(F$7:F$22,$B118)*(1-$D118)+INDEX(F$7:F$22,$B118+1)*$D118)*F$4*$B$2</f>
        <v>0</v>
      </c>
      <c r="F118" s="22">
        <f t="shared" si="185"/>
        <v>0.41249999999999998</v>
      </c>
      <c r="G118" s="22">
        <f t="shared" si="185"/>
        <v>8.5000000000000006E-2</v>
      </c>
      <c r="H118" s="22">
        <f t="shared" si="185"/>
        <v>0</v>
      </c>
      <c r="I118" s="22">
        <f t="shared" si="185"/>
        <v>0</v>
      </c>
      <c r="J118" s="22">
        <f t="shared" si="185"/>
        <v>0.40249999999999997</v>
      </c>
      <c r="K118" s="22">
        <f t="shared" si="185"/>
        <v>0</v>
      </c>
      <c r="L118" s="22">
        <f t="shared" si="185"/>
        <v>0</v>
      </c>
      <c r="M118" s="22">
        <f t="shared" si="185"/>
        <v>0</v>
      </c>
      <c r="N118" s="37">
        <f t="shared" ref="N118:O118" si="186">INT((INDEX(O$7:O$22,$B118)*(1-$D118)+INDEX(O$7:O$22,$B118+1)*$D118)*O$4*$B$2)</f>
        <v>334</v>
      </c>
      <c r="O118" s="37">
        <f t="shared" si="186"/>
        <v>57</v>
      </c>
    </row>
    <row r="119" spans="1:15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M119" si="187">(INDEX(F$7:F$22,$B119)*(1-$D119)+INDEX(F$7:F$22,$B119+1)*$D119)*F$4*$B$2</f>
        <v>0</v>
      </c>
      <c r="F119" s="22">
        <f t="shared" si="187"/>
        <v>0.40625</v>
      </c>
      <c r="G119" s="22">
        <f t="shared" si="187"/>
        <v>8.7500000000000008E-2</v>
      </c>
      <c r="H119" s="22">
        <f t="shared" si="187"/>
        <v>0</v>
      </c>
      <c r="I119" s="22">
        <f t="shared" si="187"/>
        <v>0</v>
      </c>
      <c r="J119" s="22">
        <f t="shared" si="187"/>
        <v>0.40625</v>
      </c>
      <c r="K119" s="22">
        <f t="shared" si="187"/>
        <v>0</v>
      </c>
      <c r="L119" s="22">
        <f t="shared" si="187"/>
        <v>0</v>
      </c>
      <c r="M119" s="22">
        <f t="shared" si="187"/>
        <v>0</v>
      </c>
      <c r="N119" s="37">
        <f t="shared" ref="N119:O119" si="188">INT((INDEX(O$7:O$22,$B119)*(1-$D119)+INDEX(O$7:O$22,$B119+1)*$D119)*O$4*$B$2)</f>
        <v>338</v>
      </c>
      <c r="O119" s="37">
        <f t="shared" si="188"/>
        <v>57</v>
      </c>
    </row>
    <row r="120" spans="1:15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M120" si="189">(INDEX(F$7:F$22,$B120)*(1-$D120)+INDEX(F$7:F$22,$B120+1)*$D120)*F$4*$B$2</f>
        <v>0</v>
      </c>
      <c r="F120" s="22">
        <f t="shared" si="189"/>
        <v>0.4</v>
      </c>
      <c r="G120" s="22">
        <f t="shared" si="189"/>
        <v>9.0000000000000011E-2</v>
      </c>
      <c r="H120" s="22">
        <f t="shared" si="189"/>
        <v>0</v>
      </c>
      <c r="I120" s="22">
        <f t="shared" si="189"/>
        <v>0</v>
      </c>
      <c r="J120" s="22">
        <f t="shared" si="189"/>
        <v>0.41000000000000003</v>
      </c>
      <c r="K120" s="22">
        <f t="shared" si="189"/>
        <v>0</v>
      </c>
      <c r="L120" s="22">
        <f t="shared" si="189"/>
        <v>0</v>
      </c>
      <c r="M120" s="22">
        <f t="shared" si="189"/>
        <v>0</v>
      </c>
      <c r="N120" s="37">
        <f t="shared" ref="N120:O120" si="190">INT((INDEX(O$7:O$22,$B120)*(1-$D120)+INDEX(O$7:O$22,$B120+1)*$D120)*O$4*$B$2)</f>
        <v>343</v>
      </c>
      <c r="O120" s="37">
        <f t="shared" si="190"/>
        <v>58</v>
      </c>
    </row>
    <row r="121" spans="1:15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M121" si="191">(INDEX(F$7:F$22,$B121)*(1-$D121)+INDEX(F$7:F$22,$B121+1)*$D121)*F$4*$B$2</f>
        <v>0</v>
      </c>
      <c r="F121" s="22">
        <f t="shared" si="191"/>
        <v>0.39374999999999999</v>
      </c>
      <c r="G121" s="22">
        <f t="shared" si="191"/>
        <v>9.2500000000000013E-2</v>
      </c>
      <c r="H121" s="22">
        <f t="shared" si="191"/>
        <v>0</v>
      </c>
      <c r="I121" s="22">
        <f t="shared" si="191"/>
        <v>0</v>
      </c>
      <c r="J121" s="22">
        <f t="shared" si="191"/>
        <v>0.41374999999999995</v>
      </c>
      <c r="K121" s="22">
        <f t="shared" si="191"/>
        <v>0</v>
      </c>
      <c r="L121" s="22">
        <f t="shared" si="191"/>
        <v>0</v>
      </c>
      <c r="M121" s="22">
        <f t="shared" si="191"/>
        <v>0</v>
      </c>
      <c r="N121" s="37">
        <f t="shared" ref="N121:O121" si="192">INT((INDEX(O$7:O$22,$B121)*(1-$D121)+INDEX(O$7:O$22,$B121+1)*$D121)*O$4*$B$2)</f>
        <v>347</v>
      </c>
      <c r="O121" s="37">
        <f t="shared" si="192"/>
        <v>58</v>
      </c>
    </row>
    <row r="122" spans="1:15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M122" si="193">(INDEX(F$7:F$22,$B122)*(1-$D122)+INDEX(F$7:F$22,$B122+1)*$D122)*F$4*$B$2</f>
        <v>0</v>
      </c>
      <c r="F122" s="22">
        <f t="shared" si="193"/>
        <v>0.38750000000000001</v>
      </c>
      <c r="G122" s="22">
        <f t="shared" si="193"/>
        <v>9.5000000000000001E-2</v>
      </c>
      <c r="H122" s="22">
        <f t="shared" si="193"/>
        <v>0</v>
      </c>
      <c r="I122" s="22">
        <f t="shared" si="193"/>
        <v>0</v>
      </c>
      <c r="J122" s="22">
        <f t="shared" si="193"/>
        <v>0.41749999999999998</v>
      </c>
      <c r="K122" s="22">
        <f t="shared" si="193"/>
        <v>0</v>
      </c>
      <c r="L122" s="22">
        <f t="shared" si="193"/>
        <v>0</v>
      </c>
      <c r="M122" s="22">
        <f t="shared" si="193"/>
        <v>0</v>
      </c>
      <c r="N122" s="37">
        <f t="shared" ref="N122:O122" si="194">INT((INDEX(O$7:O$22,$B122)*(1-$D122)+INDEX(O$7:O$22,$B122+1)*$D122)*O$4*$B$2)</f>
        <v>351</v>
      </c>
      <c r="O122" s="37">
        <f t="shared" si="194"/>
        <v>59</v>
      </c>
    </row>
    <row r="123" spans="1:15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M123" si="195">(INDEX(F$7:F$22,$B123)*(1-$D123)+INDEX(F$7:F$22,$B123+1)*$D123)*F$4*$B$2</f>
        <v>0</v>
      </c>
      <c r="F123" s="22">
        <f t="shared" si="195"/>
        <v>0.38124999999999998</v>
      </c>
      <c r="G123" s="22">
        <f t="shared" si="195"/>
        <v>9.7500000000000003E-2</v>
      </c>
      <c r="H123" s="22">
        <f t="shared" si="195"/>
        <v>0</v>
      </c>
      <c r="I123" s="22">
        <f t="shared" si="195"/>
        <v>0</v>
      </c>
      <c r="J123" s="22">
        <f t="shared" si="195"/>
        <v>0.42125000000000001</v>
      </c>
      <c r="K123" s="22">
        <f t="shared" si="195"/>
        <v>0</v>
      </c>
      <c r="L123" s="22">
        <f t="shared" si="195"/>
        <v>0</v>
      </c>
      <c r="M123" s="22">
        <f t="shared" si="195"/>
        <v>0</v>
      </c>
      <c r="N123" s="37">
        <f t="shared" ref="N123:O123" si="196">INT((INDEX(O$7:O$22,$B123)*(1-$D123)+INDEX(O$7:O$22,$B123+1)*$D123)*O$4*$B$2)</f>
        <v>355</v>
      </c>
      <c r="O123" s="37">
        <f t="shared" si="196"/>
        <v>59</v>
      </c>
    </row>
    <row r="124" spans="1:15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M124" si="197">(INDEX(F$7:F$22,$B124)*(1-$D124)+INDEX(F$7:F$22,$B124+1)*$D124)*F$4*$B$2</f>
        <v>0</v>
      </c>
      <c r="F124" s="22">
        <f t="shared" si="197"/>
        <v>0.375</v>
      </c>
      <c r="G124" s="22">
        <f t="shared" si="197"/>
        <v>0.1</v>
      </c>
      <c r="H124" s="22">
        <f t="shared" si="197"/>
        <v>0</v>
      </c>
      <c r="I124" s="22">
        <f t="shared" si="197"/>
        <v>0</v>
      </c>
      <c r="J124" s="22">
        <f t="shared" si="197"/>
        <v>0.42499999999999999</v>
      </c>
      <c r="K124" s="22">
        <f t="shared" si="197"/>
        <v>0</v>
      </c>
      <c r="L124" s="22">
        <f t="shared" si="197"/>
        <v>0</v>
      </c>
      <c r="M124" s="22">
        <f t="shared" si="197"/>
        <v>0</v>
      </c>
      <c r="N124" s="37">
        <f t="shared" ref="N124:O124" si="198">INT((INDEX(O$7:O$22,$B124)*(1-$D124)+INDEX(O$7:O$22,$B124+1)*$D124)*O$4*$B$2)</f>
        <v>360</v>
      </c>
      <c r="O124" s="37">
        <f t="shared" si="198"/>
        <v>60</v>
      </c>
    </row>
    <row r="125" spans="1:15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M125" si="199">(INDEX(F$7:F$22,$B125)*(1-$D125)+INDEX(F$7:F$22,$B125+1)*$D125)*F$4*$B$2</f>
        <v>0</v>
      </c>
      <c r="F125" s="22">
        <f t="shared" si="199"/>
        <v>0.33749999999999997</v>
      </c>
      <c r="G125" s="22">
        <f t="shared" si="199"/>
        <v>0.11499999999999999</v>
      </c>
      <c r="H125" s="22">
        <f t="shared" si="199"/>
        <v>0</v>
      </c>
      <c r="I125" s="22">
        <f t="shared" si="199"/>
        <v>0</v>
      </c>
      <c r="J125" s="22">
        <f t="shared" si="199"/>
        <v>0.44750000000000001</v>
      </c>
      <c r="K125" s="22">
        <f t="shared" si="199"/>
        <v>1.4999999999999999E-2</v>
      </c>
      <c r="L125" s="22">
        <f t="shared" si="199"/>
        <v>0</v>
      </c>
      <c r="M125" s="22">
        <f t="shared" si="199"/>
        <v>0</v>
      </c>
      <c r="N125" s="37">
        <f t="shared" ref="N125:O125" si="200">INT((INDEX(O$7:O$22,$B125)*(1-$D125)+INDEX(O$7:O$22,$B125+1)*$D125)*O$4*$B$2)</f>
        <v>392</v>
      </c>
      <c r="O125" s="37">
        <f t="shared" si="200"/>
        <v>63</v>
      </c>
    </row>
    <row r="126" spans="1:15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M126" si="201">(INDEX(F$7:F$22,$B126)*(1-$D126)+INDEX(F$7:F$22,$B126+1)*$D126)*F$4*$B$2</f>
        <v>0</v>
      </c>
      <c r="F126" s="22">
        <f t="shared" si="201"/>
        <v>0.33125000000000004</v>
      </c>
      <c r="G126" s="22">
        <f t="shared" si="201"/>
        <v>0.11749999999999999</v>
      </c>
      <c r="H126" s="22">
        <f t="shared" si="201"/>
        <v>0</v>
      </c>
      <c r="I126" s="22">
        <f t="shared" si="201"/>
        <v>0</v>
      </c>
      <c r="J126" s="22">
        <f t="shared" si="201"/>
        <v>0.45124999999999998</v>
      </c>
      <c r="K126" s="22">
        <f t="shared" si="201"/>
        <v>1.7499999999999998E-2</v>
      </c>
      <c r="L126" s="22">
        <f t="shared" si="201"/>
        <v>0</v>
      </c>
      <c r="M126" s="22">
        <f t="shared" si="201"/>
        <v>0</v>
      </c>
      <c r="N126" s="37">
        <f t="shared" ref="N126:O126" si="202">INT((INDEX(O$7:O$22,$B126)*(1-$D126)+INDEX(O$7:O$22,$B126+1)*$D126)*O$4*$B$2)</f>
        <v>397</v>
      </c>
      <c r="O126" s="37">
        <f t="shared" si="202"/>
        <v>64</v>
      </c>
    </row>
    <row r="127" spans="1:15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M127" si="203">(INDEX(F$7:F$22,$B127)*(1-$D127)+INDEX(F$7:F$22,$B127+1)*$D127)*F$4*$B$2</f>
        <v>0</v>
      </c>
      <c r="F127" s="22">
        <f t="shared" si="203"/>
        <v>0.32499999999999996</v>
      </c>
      <c r="G127" s="22">
        <f t="shared" si="203"/>
        <v>0.12000000000000002</v>
      </c>
      <c r="H127" s="22">
        <f t="shared" si="203"/>
        <v>0</v>
      </c>
      <c r="I127" s="22">
        <f t="shared" si="203"/>
        <v>0</v>
      </c>
      <c r="J127" s="22">
        <f t="shared" si="203"/>
        <v>0.45500000000000002</v>
      </c>
      <c r="K127" s="22">
        <f t="shared" si="203"/>
        <v>2.0000000000000004E-2</v>
      </c>
      <c r="L127" s="22">
        <f t="shared" si="203"/>
        <v>0</v>
      </c>
      <c r="M127" s="22">
        <f t="shared" si="203"/>
        <v>0</v>
      </c>
      <c r="N127" s="37">
        <f t="shared" ref="N127:O127" si="204">INT((INDEX(O$7:O$22,$B127)*(1-$D127)+INDEX(O$7:O$22,$B127+1)*$D127)*O$4*$B$2)</f>
        <v>403</v>
      </c>
      <c r="O127" s="37">
        <f t="shared" si="204"/>
        <v>64</v>
      </c>
    </row>
    <row r="128" spans="1:15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M128" si="205">(INDEX(F$7:F$22,$B128)*(1-$D128)+INDEX(F$7:F$22,$B128+1)*$D128)*F$4*$B$2</f>
        <v>0</v>
      </c>
      <c r="F128" s="22">
        <f t="shared" si="205"/>
        <v>0.31875000000000003</v>
      </c>
      <c r="G128" s="22">
        <f t="shared" si="205"/>
        <v>0.12250000000000001</v>
      </c>
      <c r="H128" s="22">
        <f t="shared" si="205"/>
        <v>0</v>
      </c>
      <c r="I128" s="22">
        <f t="shared" si="205"/>
        <v>0</v>
      </c>
      <c r="J128" s="22">
        <f t="shared" si="205"/>
        <v>0.45874999999999999</v>
      </c>
      <c r="K128" s="22">
        <f t="shared" si="205"/>
        <v>2.2500000000000003E-2</v>
      </c>
      <c r="L128" s="22">
        <f t="shared" si="205"/>
        <v>0</v>
      </c>
      <c r="M128" s="22">
        <f t="shared" si="205"/>
        <v>0</v>
      </c>
      <c r="N128" s="37">
        <f t="shared" ref="N128:O128" si="206">INT((INDEX(O$7:O$22,$B128)*(1-$D128)+INDEX(O$7:O$22,$B128+1)*$D128)*O$4*$B$2)</f>
        <v>408</v>
      </c>
      <c r="O128" s="37">
        <f t="shared" si="206"/>
        <v>65</v>
      </c>
    </row>
    <row r="129" spans="1:15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M129" si="207">(INDEX(F$7:F$22,$B129)*(1-$D129)+INDEX(F$7:F$22,$B129+1)*$D129)*F$4*$B$2</f>
        <v>0</v>
      </c>
      <c r="F129" s="22">
        <f t="shared" si="207"/>
        <v>0.3125</v>
      </c>
      <c r="G129" s="22">
        <f t="shared" si="207"/>
        <v>0.125</v>
      </c>
      <c r="H129" s="22">
        <f t="shared" si="207"/>
        <v>0</v>
      </c>
      <c r="I129" s="22">
        <f t="shared" si="207"/>
        <v>0</v>
      </c>
      <c r="J129" s="22">
        <f t="shared" si="207"/>
        <v>0.46250000000000002</v>
      </c>
      <c r="K129" s="22">
        <f t="shared" si="207"/>
        <v>2.5000000000000001E-2</v>
      </c>
      <c r="L129" s="22">
        <f t="shared" si="207"/>
        <v>0</v>
      </c>
      <c r="M129" s="22">
        <f t="shared" si="207"/>
        <v>0</v>
      </c>
      <c r="N129" s="37">
        <f t="shared" ref="N129:O129" si="208">INT((INDEX(O$7:O$22,$B129)*(1-$D129)+INDEX(O$7:O$22,$B129+1)*$D129)*O$4*$B$2)</f>
        <v>414</v>
      </c>
      <c r="O129" s="37">
        <f t="shared" si="208"/>
        <v>66</v>
      </c>
    </row>
    <row r="130" spans="1:15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M130" si="209">(INDEX(F$7:F$22,$B130)*(1-$D130)+INDEX(F$7:F$22,$B130+1)*$D130)*F$4*$B$2</f>
        <v>0</v>
      </c>
      <c r="F130" s="22">
        <f t="shared" si="209"/>
        <v>0.30625000000000002</v>
      </c>
      <c r="G130" s="22">
        <f t="shared" si="209"/>
        <v>0.1275</v>
      </c>
      <c r="H130" s="22">
        <f t="shared" si="209"/>
        <v>0</v>
      </c>
      <c r="I130" s="22">
        <f t="shared" si="209"/>
        <v>0</v>
      </c>
      <c r="J130" s="22">
        <f t="shared" si="209"/>
        <v>0.46625</v>
      </c>
      <c r="K130" s="22">
        <f t="shared" si="209"/>
        <v>2.7500000000000004E-2</v>
      </c>
      <c r="L130" s="22">
        <f t="shared" si="209"/>
        <v>0</v>
      </c>
      <c r="M130" s="22">
        <f t="shared" si="209"/>
        <v>0</v>
      </c>
      <c r="N130" s="37">
        <f t="shared" ref="N130:O130" si="210">INT((INDEX(O$7:O$22,$B130)*(1-$D130)+INDEX(O$7:O$22,$B130+1)*$D130)*O$4*$B$2)</f>
        <v>419</v>
      </c>
      <c r="O130" s="37">
        <f t="shared" si="210"/>
        <v>66</v>
      </c>
    </row>
    <row r="131" spans="1:15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M131" si="211">(INDEX(F$7:F$22,$B131)*(1-$D131)+INDEX(F$7:F$22,$B131+1)*$D131)*F$4*$B$2</f>
        <v>0</v>
      </c>
      <c r="F131" s="22">
        <f t="shared" si="211"/>
        <v>0.30000000000000004</v>
      </c>
      <c r="G131" s="22">
        <f t="shared" si="211"/>
        <v>0.12999999999999998</v>
      </c>
      <c r="H131" s="22">
        <f t="shared" si="211"/>
        <v>0</v>
      </c>
      <c r="I131" s="22">
        <f t="shared" si="211"/>
        <v>0</v>
      </c>
      <c r="J131" s="22">
        <f t="shared" si="211"/>
        <v>0.47</v>
      </c>
      <c r="K131" s="22">
        <f t="shared" si="211"/>
        <v>0.03</v>
      </c>
      <c r="L131" s="22">
        <f t="shared" si="211"/>
        <v>0</v>
      </c>
      <c r="M131" s="22">
        <f t="shared" si="211"/>
        <v>0</v>
      </c>
      <c r="N131" s="37">
        <f t="shared" ref="N131:O131" si="212">INT((INDEX(O$7:O$22,$B131)*(1-$D131)+INDEX(O$7:O$22,$B131+1)*$D131)*O$4*$B$2)</f>
        <v>424</v>
      </c>
      <c r="O131" s="37">
        <f t="shared" si="212"/>
        <v>67</v>
      </c>
    </row>
    <row r="132" spans="1:15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M132" si="213">(INDEX(F$7:F$22,$B132)*(1-$D132)+INDEX(F$7:F$22,$B132+1)*$D132)*F$4*$B$2</f>
        <v>0</v>
      </c>
      <c r="F132" s="22">
        <f t="shared" si="213"/>
        <v>0.29374999999999996</v>
      </c>
      <c r="G132" s="22">
        <f t="shared" si="213"/>
        <v>0.13250000000000003</v>
      </c>
      <c r="H132" s="22">
        <f t="shared" si="213"/>
        <v>0</v>
      </c>
      <c r="I132" s="22">
        <f t="shared" si="213"/>
        <v>0</v>
      </c>
      <c r="J132" s="22">
        <f t="shared" si="213"/>
        <v>0.47375</v>
      </c>
      <c r="K132" s="22">
        <f t="shared" si="213"/>
        <v>3.2500000000000001E-2</v>
      </c>
      <c r="L132" s="22">
        <f t="shared" si="213"/>
        <v>0</v>
      </c>
      <c r="M132" s="22">
        <f t="shared" si="213"/>
        <v>0</v>
      </c>
      <c r="N132" s="37">
        <f t="shared" ref="N132:O132" si="214">INT((INDEX(O$7:O$22,$B132)*(1-$D132)+INDEX(O$7:O$22,$B132+1)*$D132)*O$4*$B$2)</f>
        <v>430</v>
      </c>
      <c r="O132" s="37">
        <f t="shared" si="214"/>
        <v>67</v>
      </c>
    </row>
    <row r="133" spans="1:15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M133" si="215">(INDEX(F$7:F$22,$B133)*(1-$D133)+INDEX(F$7:F$22,$B133+1)*$D133)*F$4*$B$2</f>
        <v>0</v>
      </c>
      <c r="F133" s="22">
        <f t="shared" si="215"/>
        <v>0.28749999999999998</v>
      </c>
      <c r="G133" s="22">
        <f t="shared" si="215"/>
        <v>0.13499999999999998</v>
      </c>
      <c r="H133" s="22">
        <f t="shared" si="215"/>
        <v>0</v>
      </c>
      <c r="I133" s="22">
        <f t="shared" si="215"/>
        <v>0</v>
      </c>
      <c r="J133" s="22">
        <f t="shared" si="215"/>
        <v>0.47749999999999998</v>
      </c>
      <c r="K133" s="22">
        <f t="shared" si="215"/>
        <v>3.4999999999999996E-2</v>
      </c>
      <c r="L133" s="22">
        <f t="shared" si="215"/>
        <v>0</v>
      </c>
      <c r="M133" s="22">
        <f t="shared" si="215"/>
        <v>0</v>
      </c>
      <c r="N133" s="37">
        <f t="shared" ref="N133:O133" si="216">INT((INDEX(O$7:O$22,$B133)*(1-$D133)+INDEX(O$7:O$22,$B133+1)*$D133)*O$4*$B$2)</f>
        <v>435</v>
      </c>
      <c r="O133" s="37">
        <f t="shared" si="216"/>
        <v>68</v>
      </c>
    </row>
    <row r="134" spans="1:15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M134" si="217">(INDEX(F$7:F$22,$B134)*(1-$D134)+INDEX(F$7:F$22,$B134+1)*$D134)*F$4*$B$2</f>
        <v>0</v>
      </c>
      <c r="F134" s="22">
        <f t="shared" si="217"/>
        <v>0.28125</v>
      </c>
      <c r="G134" s="22">
        <f t="shared" si="217"/>
        <v>0.13750000000000001</v>
      </c>
      <c r="H134" s="22">
        <f t="shared" si="217"/>
        <v>0</v>
      </c>
      <c r="I134" s="22">
        <f t="shared" si="217"/>
        <v>0</v>
      </c>
      <c r="J134" s="22">
        <f t="shared" si="217"/>
        <v>0.48125000000000001</v>
      </c>
      <c r="K134" s="22">
        <f t="shared" si="217"/>
        <v>3.7500000000000006E-2</v>
      </c>
      <c r="L134" s="22">
        <f t="shared" si="217"/>
        <v>0</v>
      </c>
      <c r="M134" s="22">
        <f t="shared" si="217"/>
        <v>0</v>
      </c>
      <c r="N134" s="37">
        <f t="shared" ref="N134:O134" si="218">INT((INDEX(O$7:O$22,$B134)*(1-$D134)+INDEX(O$7:O$22,$B134+1)*$D134)*O$4*$B$2)</f>
        <v>441</v>
      </c>
      <c r="O134" s="37">
        <f t="shared" si="218"/>
        <v>69</v>
      </c>
    </row>
    <row r="135" spans="1:15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M135" si="219">(INDEX(F$7:F$22,$B135)*(1-$D135)+INDEX(F$7:F$22,$B135+1)*$D135)*F$4*$B$2</f>
        <v>0</v>
      </c>
      <c r="F135" s="22">
        <f t="shared" si="219"/>
        <v>0.27500000000000002</v>
      </c>
      <c r="G135" s="22">
        <f t="shared" si="219"/>
        <v>0.14000000000000001</v>
      </c>
      <c r="H135" s="22">
        <f t="shared" si="219"/>
        <v>0</v>
      </c>
      <c r="I135" s="22">
        <f t="shared" si="219"/>
        <v>0</v>
      </c>
      <c r="J135" s="22">
        <f t="shared" si="219"/>
        <v>0.48499999999999999</v>
      </c>
      <c r="K135" s="22">
        <f t="shared" si="219"/>
        <v>4.0000000000000008E-2</v>
      </c>
      <c r="L135" s="22">
        <f t="shared" si="219"/>
        <v>0</v>
      </c>
      <c r="M135" s="22">
        <f t="shared" si="219"/>
        <v>0</v>
      </c>
      <c r="N135" s="37">
        <f t="shared" ref="N135:O135" si="220">INT((INDEX(O$7:O$22,$B135)*(1-$D135)+INDEX(O$7:O$22,$B135+1)*$D135)*O$4*$B$2)</f>
        <v>446</v>
      </c>
      <c r="O135" s="37">
        <f t="shared" si="220"/>
        <v>69</v>
      </c>
    </row>
    <row r="136" spans="1:15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M136" si="221">(INDEX(F$7:F$22,$B136)*(1-$D136)+INDEX(F$7:F$22,$B136+1)*$D136)*F$4*$B$2</f>
        <v>0</v>
      </c>
      <c r="F136" s="22">
        <f t="shared" si="221"/>
        <v>0.26874999999999999</v>
      </c>
      <c r="G136" s="22">
        <f t="shared" si="221"/>
        <v>0.14249999999999999</v>
      </c>
      <c r="H136" s="22">
        <f t="shared" si="221"/>
        <v>0</v>
      </c>
      <c r="I136" s="22">
        <f t="shared" si="221"/>
        <v>0</v>
      </c>
      <c r="J136" s="22">
        <f t="shared" si="221"/>
        <v>0.48875000000000002</v>
      </c>
      <c r="K136" s="22">
        <f t="shared" si="221"/>
        <v>4.2500000000000003E-2</v>
      </c>
      <c r="L136" s="22">
        <f t="shared" si="221"/>
        <v>0</v>
      </c>
      <c r="M136" s="22">
        <f t="shared" si="221"/>
        <v>0</v>
      </c>
      <c r="N136" s="37">
        <f t="shared" ref="N136:O136" si="222">INT((INDEX(O$7:O$22,$B136)*(1-$D136)+INDEX(O$7:O$22,$B136+1)*$D136)*O$4*$B$2)</f>
        <v>451</v>
      </c>
      <c r="O136" s="37">
        <f t="shared" si="222"/>
        <v>70</v>
      </c>
    </row>
    <row r="137" spans="1:15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M137" si="223">(INDEX(F$7:F$22,$B137)*(1-$D137)+INDEX(F$7:F$22,$B137+1)*$D137)*F$4*$B$2</f>
        <v>0</v>
      </c>
      <c r="F137" s="22">
        <f t="shared" si="223"/>
        <v>0.26250000000000001</v>
      </c>
      <c r="G137" s="22">
        <f t="shared" si="223"/>
        <v>0.14500000000000002</v>
      </c>
      <c r="H137" s="22">
        <f t="shared" si="223"/>
        <v>0</v>
      </c>
      <c r="I137" s="22">
        <f t="shared" si="223"/>
        <v>0</v>
      </c>
      <c r="J137" s="22">
        <f t="shared" si="223"/>
        <v>0.49249999999999999</v>
      </c>
      <c r="K137" s="22">
        <f t="shared" si="223"/>
        <v>4.5000000000000005E-2</v>
      </c>
      <c r="L137" s="22">
        <f t="shared" si="223"/>
        <v>0</v>
      </c>
      <c r="M137" s="22">
        <f t="shared" si="223"/>
        <v>0</v>
      </c>
      <c r="N137" s="37">
        <f t="shared" ref="N137:O137" si="224">INT((INDEX(O$7:O$22,$B137)*(1-$D137)+INDEX(O$7:O$22,$B137+1)*$D137)*O$4*$B$2)</f>
        <v>457</v>
      </c>
      <c r="O137" s="37">
        <f t="shared" si="224"/>
        <v>70</v>
      </c>
    </row>
    <row r="138" spans="1:15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M138" si="225">(INDEX(F$7:F$22,$B138)*(1-$D138)+INDEX(F$7:F$22,$B138+1)*$D138)*F$4*$B$2</f>
        <v>0</v>
      </c>
      <c r="F138" s="22">
        <f t="shared" si="225"/>
        <v>0.25624999999999998</v>
      </c>
      <c r="G138" s="22">
        <f t="shared" si="225"/>
        <v>0.14749999999999999</v>
      </c>
      <c r="H138" s="22">
        <f t="shared" si="225"/>
        <v>0</v>
      </c>
      <c r="I138" s="22">
        <f t="shared" si="225"/>
        <v>0</v>
      </c>
      <c r="J138" s="22">
        <f t="shared" si="225"/>
        <v>0.49624999999999997</v>
      </c>
      <c r="K138" s="22">
        <f t="shared" si="225"/>
        <v>4.7500000000000001E-2</v>
      </c>
      <c r="L138" s="22">
        <f t="shared" si="225"/>
        <v>0</v>
      </c>
      <c r="M138" s="22">
        <f t="shared" si="225"/>
        <v>0</v>
      </c>
      <c r="N138" s="37">
        <f t="shared" ref="N138:O138" si="226">INT((INDEX(O$7:O$22,$B138)*(1-$D138)+INDEX(O$7:O$22,$B138+1)*$D138)*O$4*$B$2)</f>
        <v>462</v>
      </c>
      <c r="O138" s="37">
        <f t="shared" si="226"/>
        <v>71</v>
      </c>
    </row>
    <row r="139" spans="1:15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M139" si="227">(INDEX(F$7:F$22,$B139)*(1-$D139)+INDEX(F$7:F$22,$B139+1)*$D139)*F$4*$B$2</f>
        <v>0</v>
      </c>
      <c r="F139" s="22">
        <f t="shared" si="227"/>
        <v>0.25</v>
      </c>
      <c r="G139" s="22">
        <f t="shared" si="227"/>
        <v>0.15000000000000002</v>
      </c>
      <c r="H139" s="22">
        <f t="shared" si="227"/>
        <v>0</v>
      </c>
      <c r="I139" s="22">
        <f t="shared" si="227"/>
        <v>0</v>
      </c>
      <c r="J139" s="22">
        <f t="shared" si="227"/>
        <v>0.5</v>
      </c>
      <c r="K139" s="22">
        <f t="shared" si="227"/>
        <v>0.05</v>
      </c>
      <c r="L139" s="22">
        <f t="shared" si="227"/>
        <v>0</v>
      </c>
      <c r="M139" s="22">
        <f t="shared" si="227"/>
        <v>0</v>
      </c>
      <c r="N139" s="37">
        <f t="shared" ref="N139:O139" si="228">INT((INDEX(O$7:O$22,$B139)*(1-$D139)+INDEX(O$7:O$22,$B139+1)*$D139)*O$4*$B$2)</f>
        <v>468</v>
      </c>
      <c r="O139" s="37">
        <f t="shared" si="228"/>
        <v>72</v>
      </c>
    </row>
    <row r="140" spans="1:15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M140" si="229">(INDEX(F$7:F$22,$B140)*(1-$D140)+INDEX(F$7:F$22,$B140+1)*$D140)*F$4*$B$2</f>
        <v>0</v>
      </c>
      <c r="F140" s="22">
        <f t="shared" si="229"/>
        <v>0.17499999999999999</v>
      </c>
      <c r="G140" s="22">
        <f t="shared" si="229"/>
        <v>0.16500000000000001</v>
      </c>
      <c r="H140" s="22">
        <f t="shared" si="229"/>
        <v>7.4999999999999997E-3</v>
      </c>
      <c r="I140" s="22">
        <f t="shared" si="229"/>
        <v>0</v>
      </c>
      <c r="J140" s="22">
        <f t="shared" si="229"/>
        <v>0.46249999999999997</v>
      </c>
      <c r="K140" s="22">
        <f t="shared" si="229"/>
        <v>6.4999999999999988E-2</v>
      </c>
      <c r="L140" s="22">
        <f t="shared" si="229"/>
        <v>0</v>
      </c>
      <c r="M140" s="22">
        <f t="shared" si="229"/>
        <v>0</v>
      </c>
      <c r="N140" s="37">
        <f t="shared" ref="N140:O140" si="230">INT((INDEX(O$7:O$22,$B140)*(1-$D140)+INDEX(O$7:O$22,$B140+1)*$D140)*O$4*$B$2)</f>
        <v>512</v>
      </c>
      <c r="O140" s="37">
        <f t="shared" si="230"/>
        <v>77</v>
      </c>
    </row>
    <row r="141" spans="1:15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M141" si="231">(INDEX(F$7:F$22,$B141)*(1-$D141)+INDEX(F$7:F$22,$B141+1)*$D141)*F$4*$B$2</f>
        <v>0</v>
      </c>
      <c r="F141" s="22">
        <f t="shared" si="231"/>
        <v>0.16250000000000001</v>
      </c>
      <c r="G141" s="22">
        <f t="shared" si="231"/>
        <v>0.16750000000000001</v>
      </c>
      <c r="H141" s="22">
        <f t="shared" si="231"/>
        <v>8.7499999999999991E-3</v>
      </c>
      <c r="I141" s="22">
        <f t="shared" si="231"/>
        <v>0</v>
      </c>
      <c r="J141" s="22">
        <f t="shared" si="231"/>
        <v>0.45624999999999999</v>
      </c>
      <c r="K141" s="22">
        <f t="shared" si="231"/>
        <v>6.7500000000000004E-2</v>
      </c>
      <c r="L141" s="22">
        <f t="shared" si="231"/>
        <v>0</v>
      </c>
      <c r="M141" s="22">
        <f t="shared" si="231"/>
        <v>0</v>
      </c>
      <c r="N141" s="37">
        <f t="shared" ref="N141:O141" si="232">INT((INDEX(O$7:O$22,$B141)*(1-$D141)+INDEX(O$7:O$22,$B141+1)*$D141)*O$4*$B$2)</f>
        <v>519</v>
      </c>
      <c r="O141" s="37">
        <f t="shared" si="232"/>
        <v>78</v>
      </c>
    </row>
    <row r="142" spans="1:15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M142" si="233">(INDEX(F$7:F$22,$B142)*(1-$D142)+INDEX(F$7:F$22,$B142+1)*$D142)*F$4*$B$2</f>
        <v>0</v>
      </c>
      <c r="F142" s="22">
        <f t="shared" si="233"/>
        <v>0.15</v>
      </c>
      <c r="G142" s="22">
        <f t="shared" si="233"/>
        <v>0.17</v>
      </c>
      <c r="H142" s="22">
        <f t="shared" si="233"/>
        <v>1.0000000000000002E-2</v>
      </c>
      <c r="I142" s="22">
        <f t="shared" si="233"/>
        <v>0</v>
      </c>
      <c r="J142" s="22">
        <f t="shared" si="233"/>
        <v>0.45</v>
      </c>
      <c r="K142" s="22">
        <f t="shared" si="233"/>
        <v>6.9999999999999993E-2</v>
      </c>
      <c r="L142" s="22">
        <f t="shared" si="233"/>
        <v>0</v>
      </c>
      <c r="M142" s="22">
        <f t="shared" si="233"/>
        <v>0</v>
      </c>
      <c r="N142" s="37">
        <f t="shared" ref="N142:O142" si="234">INT((INDEX(O$7:O$22,$B142)*(1-$D142)+INDEX(O$7:O$22,$B142+1)*$D142)*O$4*$B$2)</f>
        <v>527</v>
      </c>
      <c r="O142" s="37">
        <f t="shared" si="234"/>
        <v>79</v>
      </c>
    </row>
    <row r="143" spans="1:15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M143" si="235">(INDEX(F$7:F$22,$B143)*(1-$D143)+INDEX(F$7:F$22,$B143+1)*$D143)*F$4*$B$2</f>
        <v>0</v>
      </c>
      <c r="F143" s="22">
        <f t="shared" si="235"/>
        <v>0.13750000000000001</v>
      </c>
      <c r="G143" s="22">
        <f t="shared" si="235"/>
        <v>0.17250000000000001</v>
      </c>
      <c r="H143" s="22">
        <f t="shared" si="235"/>
        <v>1.1250000000000001E-2</v>
      </c>
      <c r="I143" s="22">
        <f t="shared" si="235"/>
        <v>0</v>
      </c>
      <c r="J143" s="22">
        <f t="shared" si="235"/>
        <v>0.44375000000000003</v>
      </c>
      <c r="K143" s="22">
        <f t="shared" si="235"/>
        <v>7.2500000000000009E-2</v>
      </c>
      <c r="L143" s="22">
        <f t="shared" si="235"/>
        <v>0</v>
      </c>
      <c r="M143" s="22">
        <f t="shared" si="235"/>
        <v>0</v>
      </c>
      <c r="N143" s="37">
        <f t="shared" ref="N143:O143" si="236">INT((INDEX(O$7:O$22,$B143)*(1-$D143)+INDEX(O$7:O$22,$B143+1)*$D143)*O$4*$B$2)</f>
        <v>534</v>
      </c>
      <c r="O143" s="37">
        <f t="shared" si="236"/>
        <v>80</v>
      </c>
    </row>
    <row r="144" spans="1:15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M144" si="237">(INDEX(F$7:F$22,$B144)*(1-$D144)+INDEX(F$7:F$22,$B144+1)*$D144)*F$4*$B$2</f>
        <v>0</v>
      </c>
      <c r="F144" s="22">
        <f t="shared" si="237"/>
        <v>0.125</v>
      </c>
      <c r="G144" s="22">
        <f t="shared" si="237"/>
        <v>0.17500000000000002</v>
      </c>
      <c r="H144" s="22">
        <f t="shared" si="237"/>
        <v>1.2500000000000001E-2</v>
      </c>
      <c r="I144" s="22">
        <f t="shared" si="237"/>
        <v>0</v>
      </c>
      <c r="J144" s="22">
        <f t="shared" si="237"/>
        <v>0.4375</v>
      </c>
      <c r="K144" s="22">
        <f t="shared" si="237"/>
        <v>7.5000000000000011E-2</v>
      </c>
      <c r="L144" s="22">
        <f t="shared" si="237"/>
        <v>0</v>
      </c>
      <c r="M144" s="22">
        <f t="shared" si="237"/>
        <v>0</v>
      </c>
      <c r="N144" s="37">
        <f t="shared" ref="N144:O144" si="238">INT((INDEX(O$7:O$22,$B144)*(1-$D144)+INDEX(O$7:O$22,$B144+1)*$D144)*O$4*$B$2)</f>
        <v>542</v>
      </c>
      <c r="O144" s="37">
        <f t="shared" si="238"/>
        <v>81</v>
      </c>
    </row>
    <row r="145" spans="1:15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M145" si="239">(INDEX(F$7:F$22,$B145)*(1-$D145)+INDEX(F$7:F$22,$B145+1)*$D145)*F$4*$B$2</f>
        <v>0</v>
      </c>
      <c r="F145" s="22">
        <f t="shared" si="239"/>
        <v>0.11249999999999999</v>
      </c>
      <c r="G145" s="22">
        <f t="shared" si="239"/>
        <v>0.17749999999999999</v>
      </c>
      <c r="H145" s="22">
        <f t="shared" si="239"/>
        <v>1.3750000000000002E-2</v>
      </c>
      <c r="I145" s="22">
        <f t="shared" si="239"/>
        <v>0</v>
      </c>
      <c r="J145" s="22">
        <f t="shared" si="239"/>
        <v>0.43125000000000002</v>
      </c>
      <c r="K145" s="22">
        <f t="shared" si="239"/>
        <v>7.7500000000000013E-2</v>
      </c>
      <c r="L145" s="22">
        <f t="shared" si="239"/>
        <v>0</v>
      </c>
      <c r="M145" s="22">
        <f t="shared" si="239"/>
        <v>0</v>
      </c>
      <c r="N145" s="37">
        <f t="shared" ref="N145:O145" si="240">INT((INDEX(O$7:O$22,$B145)*(1-$D145)+INDEX(O$7:O$22,$B145+1)*$D145)*O$4*$B$2)</f>
        <v>549</v>
      </c>
      <c r="O145" s="37">
        <f t="shared" si="240"/>
        <v>81</v>
      </c>
    </row>
    <row r="146" spans="1:15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M146" si="241">(INDEX(F$7:F$22,$B146)*(1-$D146)+INDEX(F$7:F$22,$B146+1)*$D146)*F$4*$B$2</f>
        <v>0</v>
      </c>
      <c r="F146" s="22">
        <f t="shared" si="241"/>
        <v>0.1</v>
      </c>
      <c r="G146" s="22">
        <f t="shared" si="241"/>
        <v>0.18000000000000002</v>
      </c>
      <c r="H146" s="22">
        <f t="shared" si="241"/>
        <v>1.4999999999999999E-2</v>
      </c>
      <c r="I146" s="22">
        <f t="shared" si="241"/>
        <v>0</v>
      </c>
      <c r="J146" s="22">
        <f t="shared" si="241"/>
        <v>0.42499999999999999</v>
      </c>
      <c r="K146" s="22">
        <f t="shared" si="241"/>
        <v>8.0000000000000016E-2</v>
      </c>
      <c r="L146" s="22">
        <f t="shared" si="241"/>
        <v>0</v>
      </c>
      <c r="M146" s="22">
        <f t="shared" si="241"/>
        <v>0</v>
      </c>
      <c r="N146" s="37">
        <f t="shared" ref="N146:O146" si="242">INT((INDEX(O$7:O$22,$B146)*(1-$D146)+INDEX(O$7:O$22,$B146+1)*$D146)*O$4*$B$2)</f>
        <v>556</v>
      </c>
      <c r="O146" s="37">
        <f t="shared" si="242"/>
        <v>82</v>
      </c>
    </row>
    <row r="147" spans="1:15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M147" si="243">(INDEX(F$7:F$22,$B147)*(1-$D147)+INDEX(F$7:F$22,$B147+1)*$D147)*F$4*$B$2</f>
        <v>0</v>
      </c>
      <c r="F147" s="22">
        <f t="shared" si="243"/>
        <v>8.7499999999999994E-2</v>
      </c>
      <c r="G147" s="22">
        <f t="shared" si="243"/>
        <v>0.1825</v>
      </c>
      <c r="H147" s="22">
        <f t="shared" si="243"/>
        <v>1.6250000000000001E-2</v>
      </c>
      <c r="I147" s="22">
        <f t="shared" si="243"/>
        <v>0</v>
      </c>
      <c r="J147" s="22">
        <f t="shared" si="243"/>
        <v>0.41875000000000001</v>
      </c>
      <c r="K147" s="22">
        <f t="shared" si="243"/>
        <v>8.2500000000000004E-2</v>
      </c>
      <c r="L147" s="22">
        <f t="shared" si="243"/>
        <v>0</v>
      </c>
      <c r="M147" s="22">
        <f t="shared" si="243"/>
        <v>0</v>
      </c>
      <c r="N147" s="37">
        <f t="shared" ref="N147:O147" si="244">INT((INDEX(O$7:O$22,$B147)*(1-$D147)+INDEX(O$7:O$22,$B147+1)*$D147)*O$4*$B$2)</f>
        <v>564</v>
      </c>
      <c r="O147" s="37">
        <f t="shared" si="244"/>
        <v>83</v>
      </c>
    </row>
    <row r="148" spans="1:15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M148" si="245">(INDEX(F$7:F$22,$B148)*(1-$D148)+INDEX(F$7:F$22,$B148+1)*$D148)*F$4*$B$2</f>
        <v>0</v>
      </c>
      <c r="F148" s="22">
        <f t="shared" si="245"/>
        <v>7.5000000000000011E-2</v>
      </c>
      <c r="G148" s="22">
        <f t="shared" si="245"/>
        <v>0.18500000000000003</v>
      </c>
      <c r="H148" s="22">
        <f t="shared" si="245"/>
        <v>1.7499999999999998E-2</v>
      </c>
      <c r="I148" s="22">
        <f t="shared" si="245"/>
        <v>0</v>
      </c>
      <c r="J148" s="22">
        <f t="shared" si="245"/>
        <v>0.41249999999999998</v>
      </c>
      <c r="K148" s="22">
        <f t="shared" si="245"/>
        <v>8.5000000000000006E-2</v>
      </c>
      <c r="L148" s="22">
        <f t="shared" si="245"/>
        <v>0</v>
      </c>
      <c r="M148" s="22">
        <f t="shared" si="245"/>
        <v>0</v>
      </c>
      <c r="N148" s="37">
        <f t="shared" ref="N148:O148" si="246">INT((INDEX(O$7:O$22,$B148)*(1-$D148)+INDEX(O$7:O$22,$B148+1)*$D148)*O$4*$B$2)</f>
        <v>571</v>
      </c>
      <c r="O148" s="37">
        <f t="shared" si="246"/>
        <v>84</v>
      </c>
    </row>
    <row r="149" spans="1:15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M149" si="247">(INDEX(F$7:F$22,$B149)*(1-$D149)+INDEX(F$7:F$22,$B149+1)*$D149)*F$4*$B$2</f>
        <v>0</v>
      </c>
      <c r="F149" s="22">
        <f t="shared" si="247"/>
        <v>6.25E-2</v>
      </c>
      <c r="G149" s="22">
        <f t="shared" si="247"/>
        <v>0.1875</v>
      </c>
      <c r="H149" s="22">
        <f t="shared" si="247"/>
        <v>1.8750000000000003E-2</v>
      </c>
      <c r="I149" s="22">
        <f t="shared" si="247"/>
        <v>0</v>
      </c>
      <c r="J149" s="22">
        <f t="shared" si="247"/>
        <v>0.40625</v>
      </c>
      <c r="K149" s="22">
        <f t="shared" si="247"/>
        <v>8.7500000000000008E-2</v>
      </c>
      <c r="L149" s="22">
        <f t="shared" si="247"/>
        <v>0</v>
      </c>
      <c r="M149" s="22">
        <f t="shared" si="247"/>
        <v>0</v>
      </c>
      <c r="N149" s="37">
        <f t="shared" ref="N149:O149" si="248">INT((INDEX(O$7:O$22,$B149)*(1-$D149)+INDEX(O$7:O$22,$B149+1)*$D149)*O$4*$B$2)</f>
        <v>579</v>
      </c>
      <c r="O149" s="37">
        <f t="shared" si="248"/>
        <v>85</v>
      </c>
    </row>
    <row r="150" spans="1:15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M150" si="249">(INDEX(F$7:F$22,$B150)*(1-$D150)+INDEX(F$7:F$22,$B150+1)*$D150)*F$4*$B$2</f>
        <v>0</v>
      </c>
      <c r="F150" s="22">
        <f t="shared" si="249"/>
        <v>4.9999999999999989E-2</v>
      </c>
      <c r="G150" s="22">
        <f t="shared" si="249"/>
        <v>0.19</v>
      </c>
      <c r="H150" s="22">
        <f t="shared" si="249"/>
        <v>2.0000000000000004E-2</v>
      </c>
      <c r="I150" s="22">
        <f t="shared" si="249"/>
        <v>0</v>
      </c>
      <c r="J150" s="22">
        <f t="shared" si="249"/>
        <v>0.4</v>
      </c>
      <c r="K150" s="22">
        <f t="shared" si="249"/>
        <v>9.0000000000000011E-2</v>
      </c>
      <c r="L150" s="22">
        <f t="shared" si="249"/>
        <v>0</v>
      </c>
      <c r="M150" s="22">
        <f t="shared" si="249"/>
        <v>0</v>
      </c>
      <c r="N150" s="37">
        <f t="shared" ref="N150:O150" si="250">INT((INDEX(O$7:O$22,$B150)*(1-$D150)+INDEX(O$7:O$22,$B150+1)*$D150)*O$4*$B$2)</f>
        <v>586</v>
      </c>
      <c r="O150" s="37">
        <f t="shared" si="250"/>
        <v>86</v>
      </c>
    </row>
    <row r="151" spans="1:15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M151" si="251">(INDEX(F$7:F$22,$B151)*(1-$D151)+INDEX(F$7:F$22,$B151+1)*$D151)*F$4*$B$2</f>
        <v>0</v>
      </c>
      <c r="F151" s="22">
        <f t="shared" si="251"/>
        <v>3.7500000000000006E-2</v>
      </c>
      <c r="G151" s="22">
        <f t="shared" si="251"/>
        <v>0.1925</v>
      </c>
      <c r="H151" s="22">
        <f t="shared" si="251"/>
        <v>2.1250000000000002E-2</v>
      </c>
      <c r="I151" s="22">
        <f t="shared" si="251"/>
        <v>0</v>
      </c>
      <c r="J151" s="22">
        <f t="shared" si="251"/>
        <v>0.39374999999999999</v>
      </c>
      <c r="K151" s="22">
        <f t="shared" si="251"/>
        <v>9.2500000000000013E-2</v>
      </c>
      <c r="L151" s="22">
        <f t="shared" si="251"/>
        <v>0</v>
      </c>
      <c r="M151" s="22">
        <f t="shared" si="251"/>
        <v>0</v>
      </c>
      <c r="N151" s="37">
        <f t="shared" ref="N151:O151" si="252">INT((INDEX(O$7:O$22,$B151)*(1-$D151)+INDEX(O$7:O$22,$B151+1)*$D151)*O$4*$B$2)</f>
        <v>593</v>
      </c>
      <c r="O151" s="37">
        <f t="shared" si="252"/>
        <v>87</v>
      </c>
    </row>
    <row r="152" spans="1:15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M152" si="253">(INDEX(F$7:F$22,$B152)*(1-$D152)+INDEX(F$7:F$22,$B152+1)*$D152)*F$4*$B$2</f>
        <v>0</v>
      </c>
      <c r="F152" s="22">
        <f t="shared" si="253"/>
        <v>2.4999999999999994E-2</v>
      </c>
      <c r="G152" s="22">
        <f t="shared" si="253"/>
        <v>0.19500000000000001</v>
      </c>
      <c r="H152" s="22">
        <f t="shared" si="253"/>
        <v>2.2500000000000003E-2</v>
      </c>
      <c r="I152" s="22">
        <f t="shared" si="253"/>
        <v>0</v>
      </c>
      <c r="J152" s="22">
        <f t="shared" si="253"/>
        <v>0.38750000000000001</v>
      </c>
      <c r="K152" s="22">
        <f t="shared" si="253"/>
        <v>9.5000000000000001E-2</v>
      </c>
      <c r="L152" s="22">
        <f t="shared" si="253"/>
        <v>0</v>
      </c>
      <c r="M152" s="22">
        <f t="shared" si="253"/>
        <v>0</v>
      </c>
      <c r="N152" s="37">
        <f t="shared" ref="N152:O152" si="254">INT((INDEX(O$7:O$22,$B152)*(1-$D152)+INDEX(O$7:O$22,$B152+1)*$D152)*O$4*$B$2)</f>
        <v>601</v>
      </c>
      <c r="O152" s="37">
        <f t="shared" si="254"/>
        <v>88</v>
      </c>
    </row>
    <row r="153" spans="1:15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M153" si="255">(INDEX(F$7:F$22,$B153)*(1-$D153)+INDEX(F$7:F$22,$B153+1)*$D153)*F$4*$B$2</f>
        <v>0</v>
      </c>
      <c r="F153" s="22">
        <f t="shared" si="255"/>
        <v>1.2500000000000011E-2</v>
      </c>
      <c r="G153" s="22">
        <f t="shared" si="255"/>
        <v>0.19750000000000001</v>
      </c>
      <c r="H153" s="22">
        <f t="shared" si="255"/>
        <v>2.375E-2</v>
      </c>
      <c r="I153" s="22">
        <f t="shared" si="255"/>
        <v>0</v>
      </c>
      <c r="J153" s="22">
        <f t="shared" si="255"/>
        <v>0.38124999999999998</v>
      </c>
      <c r="K153" s="22">
        <f t="shared" si="255"/>
        <v>9.7500000000000003E-2</v>
      </c>
      <c r="L153" s="22">
        <f t="shared" si="255"/>
        <v>0</v>
      </c>
      <c r="M153" s="22">
        <f t="shared" si="255"/>
        <v>0</v>
      </c>
      <c r="N153" s="37">
        <f t="shared" ref="N153:O153" si="256">INT((INDEX(O$7:O$22,$B153)*(1-$D153)+INDEX(O$7:O$22,$B153+1)*$D153)*O$4*$B$2)</f>
        <v>608</v>
      </c>
      <c r="O153" s="37">
        <f t="shared" si="256"/>
        <v>89</v>
      </c>
    </row>
    <row r="154" spans="1:15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M154" si="257">(INDEX(F$7:F$22,$B154)*(1-$D154)+INDEX(F$7:F$22,$B154+1)*$D154)*F$4*$B$2</f>
        <v>0</v>
      </c>
      <c r="F154" s="22">
        <f t="shared" si="257"/>
        <v>0</v>
      </c>
      <c r="G154" s="22">
        <f t="shared" si="257"/>
        <v>0.2</v>
      </c>
      <c r="H154" s="22">
        <f t="shared" si="257"/>
        <v>2.5000000000000001E-2</v>
      </c>
      <c r="I154" s="22">
        <f t="shared" si="257"/>
        <v>0</v>
      </c>
      <c r="J154" s="22">
        <f t="shared" si="257"/>
        <v>0.375</v>
      </c>
      <c r="K154" s="22">
        <f t="shared" si="257"/>
        <v>0.1</v>
      </c>
      <c r="L154" s="22">
        <f t="shared" si="257"/>
        <v>0</v>
      </c>
      <c r="M154" s="22">
        <f t="shared" si="257"/>
        <v>0</v>
      </c>
      <c r="N154" s="37">
        <f t="shared" ref="N154:O154" si="258">INT((INDEX(O$7:O$22,$B154)*(1-$D154)+INDEX(O$7:O$22,$B154+1)*$D154)*O$4*$B$2)</f>
        <v>616</v>
      </c>
      <c r="O154" s="37">
        <f t="shared" si="258"/>
        <v>90</v>
      </c>
    </row>
    <row r="155" spans="1:15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M155" si="259">(INDEX(F$7:F$22,$B155)*(1-$D155)+INDEX(F$7:F$22,$B155+1)*$D155)*F$4*$B$2</f>
        <v>0</v>
      </c>
      <c r="F155" s="22">
        <f t="shared" si="259"/>
        <v>0</v>
      </c>
      <c r="G155" s="22">
        <f t="shared" si="259"/>
        <v>0.185</v>
      </c>
      <c r="H155" s="22">
        <f t="shared" si="259"/>
        <v>3.2499999999999994E-2</v>
      </c>
      <c r="I155" s="22">
        <f t="shared" si="259"/>
        <v>0</v>
      </c>
      <c r="J155" s="22">
        <f t="shared" si="259"/>
        <v>0.33749999999999997</v>
      </c>
      <c r="K155" s="22">
        <f t="shared" si="259"/>
        <v>0.11499999999999999</v>
      </c>
      <c r="L155" s="22">
        <f t="shared" si="259"/>
        <v>0</v>
      </c>
      <c r="M155" s="22">
        <f t="shared" si="259"/>
        <v>0</v>
      </c>
      <c r="N155" s="37">
        <f t="shared" ref="N155:O155" si="260">INT((INDEX(O$7:O$22,$B155)*(1-$D155)+INDEX(O$7:O$22,$B155+1)*$D155)*O$4*$B$2)</f>
        <v>669</v>
      </c>
      <c r="O155" s="37">
        <f t="shared" si="260"/>
        <v>96</v>
      </c>
    </row>
    <row r="156" spans="1:15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M156" si="261">(INDEX(F$7:F$22,$B156)*(1-$D156)+INDEX(F$7:F$22,$B156+1)*$D156)*F$4*$B$2</f>
        <v>0</v>
      </c>
      <c r="F156" s="22">
        <f t="shared" si="261"/>
        <v>0</v>
      </c>
      <c r="G156" s="22">
        <f t="shared" si="261"/>
        <v>0.1825</v>
      </c>
      <c r="H156" s="22">
        <f t="shared" si="261"/>
        <v>3.3750000000000002E-2</v>
      </c>
      <c r="I156" s="22">
        <f t="shared" si="261"/>
        <v>0</v>
      </c>
      <c r="J156" s="22">
        <f t="shared" si="261"/>
        <v>0.33125000000000004</v>
      </c>
      <c r="K156" s="22">
        <f t="shared" si="261"/>
        <v>0.11749999999999999</v>
      </c>
      <c r="L156" s="22">
        <f t="shared" si="261"/>
        <v>0</v>
      </c>
      <c r="M156" s="22">
        <f t="shared" si="261"/>
        <v>0</v>
      </c>
      <c r="N156" s="37">
        <f t="shared" ref="N156:O156" si="262">INT((INDEX(O$7:O$22,$B156)*(1-$D156)+INDEX(O$7:O$22,$B156+1)*$D156)*O$4*$B$2)</f>
        <v>678</v>
      </c>
      <c r="O156" s="37">
        <f t="shared" si="262"/>
        <v>97</v>
      </c>
    </row>
    <row r="157" spans="1:15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M157" si="263">(INDEX(F$7:F$22,$B157)*(1-$D157)+INDEX(F$7:F$22,$B157+1)*$D157)*F$4*$B$2</f>
        <v>0</v>
      </c>
      <c r="F157" s="22">
        <f t="shared" si="263"/>
        <v>0</v>
      </c>
      <c r="G157" s="22">
        <f t="shared" si="263"/>
        <v>0.18000000000000002</v>
      </c>
      <c r="H157" s="22">
        <f t="shared" si="263"/>
        <v>3.4999999999999996E-2</v>
      </c>
      <c r="I157" s="22">
        <f t="shared" si="263"/>
        <v>0</v>
      </c>
      <c r="J157" s="22">
        <f t="shared" si="263"/>
        <v>0.32499999999999996</v>
      </c>
      <c r="K157" s="22">
        <f t="shared" si="263"/>
        <v>0.12000000000000002</v>
      </c>
      <c r="L157" s="22">
        <f t="shared" si="263"/>
        <v>0</v>
      </c>
      <c r="M157" s="22">
        <f t="shared" si="263"/>
        <v>0</v>
      </c>
      <c r="N157" s="37">
        <f t="shared" ref="N157:O157" si="264">INT((INDEX(O$7:O$22,$B157)*(1-$D157)+INDEX(O$7:O$22,$B157+1)*$D157)*O$4*$B$2)</f>
        <v>687</v>
      </c>
      <c r="O157" s="37">
        <f t="shared" si="264"/>
        <v>98</v>
      </c>
    </row>
    <row r="158" spans="1:15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M158" si="265">(INDEX(F$7:F$22,$B158)*(1-$D158)+INDEX(F$7:F$22,$B158+1)*$D158)*F$4*$B$2</f>
        <v>0</v>
      </c>
      <c r="F158" s="22">
        <f t="shared" si="265"/>
        <v>0</v>
      </c>
      <c r="G158" s="22">
        <f t="shared" si="265"/>
        <v>0.17750000000000002</v>
      </c>
      <c r="H158" s="22">
        <f t="shared" si="265"/>
        <v>3.6250000000000004E-2</v>
      </c>
      <c r="I158" s="22">
        <f t="shared" si="265"/>
        <v>0</v>
      </c>
      <c r="J158" s="22">
        <f t="shared" si="265"/>
        <v>0.31875000000000003</v>
      </c>
      <c r="K158" s="22">
        <f t="shared" si="265"/>
        <v>0.12250000000000001</v>
      </c>
      <c r="L158" s="22">
        <f t="shared" si="265"/>
        <v>0</v>
      </c>
      <c r="M158" s="22">
        <f t="shared" si="265"/>
        <v>0</v>
      </c>
      <c r="N158" s="37">
        <f t="shared" ref="N158:O158" si="266">INT((INDEX(O$7:O$22,$B158)*(1-$D158)+INDEX(O$7:O$22,$B158+1)*$D158)*O$4*$B$2)</f>
        <v>696</v>
      </c>
      <c r="O158" s="37">
        <f t="shared" si="266"/>
        <v>99</v>
      </c>
    </row>
    <row r="159" spans="1:15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M159" si="267">(INDEX(F$7:F$22,$B159)*(1-$D159)+INDEX(F$7:F$22,$B159+1)*$D159)*F$4*$B$2</f>
        <v>0</v>
      </c>
      <c r="F159" s="22">
        <f t="shared" si="267"/>
        <v>0</v>
      </c>
      <c r="G159" s="22">
        <f t="shared" si="267"/>
        <v>0.17500000000000002</v>
      </c>
      <c r="H159" s="22">
        <f t="shared" si="267"/>
        <v>3.7500000000000006E-2</v>
      </c>
      <c r="I159" s="22">
        <f t="shared" si="267"/>
        <v>0</v>
      </c>
      <c r="J159" s="22">
        <f t="shared" si="267"/>
        <v>0.3125</v>
      </c>
      <c r="K159" s="22">
        <f t="shared" si="267"/>
        <v>0.125</v>
      </c>
      <c r="L159" s="22">
        <f t="shared" si="267"/>
        <v>0</v>
      </c>
      <c r="M159" s="22">
        <f t="shared" si="267"/>
        <v>0</v>
      </c>
      <c r="N159" s="37">
        <f t="shared" ref="N159:O159" si="268">INT((INDEX(O$7:O$22,$B159)*(1-$D159)+INDEX(O$7:O$22,$B159+1)*$D159)*O$4*$B$2)</f>
        <v>705</v>
      </c>
      <c r="O159" s="37">
        <f t="shared" si="268"/>
        <v>100</v>
      </c>
    </row>
    <row r="160" spans="1:15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M160" si="269">(INDEX(F$7:F$22,$B160)*(1-$D160)+INDEX(F$7:F$22,$B160+1)*$D160)*F$4*$B$2</f>
        <v>0</v>
      </c>
      <c r="F160" s="22">
        <f t="shared" si="269"/>
        <v>0</v>
      </c>
      <c r="G160" s="22">
        <f t="shared" si="269"/>
        <v>0.17250000000000001</v>
      </c>
      <c r="H160" s="22">
        <f t="shared" si="269"/>
        <v>3.8750000000000007E-2</v>
      </c>
      <c r="I160" s="22">
        <f t="shared" si="269"/>
        <v>0</v>
      </c>
      <c r="J160" s="22">
        <f t="shared" si="269"/>
        <v>0.30625000000000002</v>
      </c>
      <c r="K160" s="22">
        <f t="shared" si="269"/>
        <v>0.1275</v>
      </c>
      <c r="L160" s="22">
        <f t="shared" si="269"/>
        <v>0</v>
      </c>
      <c r="M160" s="22">
        <f t="shared" si="269"/>
        <v>0</v>
      </c>
      <c r="N160" s="37">
        <f t="shared" ref="N160:O160" si="270">INT((INDEX(O$7:O$22,$B160)*(1-$D160)+INDEX(O$7:O$22,$B160+1)*$D160)*O$4*$B$2)</f>
        <v>714</v>
      </c>
      <c r="O160" s="37">
        <f t="shared" si="270"/>
        <v>101</v>
      </c>
    </row>
    <row r="161" spans="1:15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M161" si="271">(INDEX(F$7:F$22,$B161)*(1-$D161)+INDEX(F$7:F$22,$B161+1)*$D161)*F$4*$B$2</f>
        <v>0</v>
      </c>
      <c r="F161" s="22">
        <f t="shared" si="271"/>
        <v>0</v>
      </c>
      <c r="G161" s="22">
        <f t="shared" si="271"/>
        <v>0.17</v>
      </c>
      <c r="H161" s="22">
        <f t="shared" si="271"/>
        <v>4.0000000000000008E-2</v>
      </c>
      <c r="I161" s="22">
        <f t="shared" si="271"/>
        <v>0</v>
      </c>
      <c r="J161" s="22">
        <f t="shared" si="271"/>
        <v>0.30000000000000004</v>
      </c>
      <c r="K161" s="22">
        <f t="shared" si="271"/>
        <v>0.12999999999999998</v>
      </c>
      <c r="L161" s="22">
        <f t="shared" si="271"/>
        <v>0</v>
      </c>
      <c r="M161" s="22">
        <f t="shared" si="271"/>
        <v>0</v>
      </c>
      <c r="N161" s="37">
        <f t="shared" ref="N161:O161" si="272">INT((INDEX(O$7:O$22,$B161)*(1-$D161)+INDEX(O$7:O$22,$B161+1)*$D161)*O$4*$B$2)</f>
        <v>723</v>
      </c>
      <c r="O161" s="37">
        <f t="shared" si="272"/>
        <v>102</v>
      </c>
    </row>
    <row r="162" spans="1:15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M162" si="273">(INDEX(F$7:F$22,$B162)*(1-$D162)+INDEX(F$7:F$22,$B162+1)*$D162)*F$4*$B$2</f>
        <v>0</v>
      </c>
      <c r="F162" s="22">
        <f t="shared" si="273"/>
        <v>0</v>
      </c>
      <c r="G162" s="22">
        <f t="shared" si="273"/>
        <v>0.16750000000000001</v>
      </c>
      <c r="H162" s="22">
        <f t="shared" si="273"/>
        <v>4.1250000000000002E-2</v>
      </c>
      <c r="I162" s="22">
        <f t="shared" si="273"/>
        <v>0</v>
      </c>
      <c r="J162" s="22">
        <f t="shared" si="273"/>
        <v>0.29374999999999996</v>
      </c>
      <c r="K162" s="22">
        <f t="shared" si="273"/>
        <v>0.13250000000000003</v>
      </c>
      <c r="L162" s="22">
        <f t="shared" si="273"/>
        <v>0</v>
      </c>
      <c r="M162" s="22">
        <f t="shared" si="273"/>
        <v>0</v>
      </c>
      <c r="N162" s="37">
        <f t="shared" ref="N162:O162" si="274">INT((INDEX(O$7:O$22,$B162)*(1-$D162)+INDEX(O$7:O$22,$B162+1)*$D162)*O$4*$B$2)</f>
        <v>732</v>
      </c>
      <c r="O162" s="37">
        <f t="shared" si="274"/>
        <v>103</v>
      </c>
    </row>
    <row r="163" spans="1:15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M163" si="275">(INDEX(F$7:F$22,$B163)*(1-$D163)+INDEX(F$7:F$22,$B163+1)*$D163)*F$4*$B$2</f>
        <v>0</v>
      </c>
      <c r="F163" s="22">
        <f t="shared" si="275"/>
        <v>0</v>
      </c>
      <c r="G163" s="22">
        <f t="shared" si="275"/>
        <v>0.16500000000000001</v>
      </c>
      <c r="H163" s="22">
        <f t="shared" si="275"/>
        <v>4.2500000000000003E-2</v>
      </c>
      <c r="I163" s="22">
        <f t="shared" si="275"/>
        <v>0</v>
      </c>
      <c r="J163" s="22">
        <f t="shared" si="275"/>
        <v>0.28749999999999998</v>
      </c>
      <c r="K163" s="22">
        <f t="shared" si="275"/>
        <v>0.13499999999999998</v>
      </c>
      <c r="L163" s="22">
        <f t="shared" si="275"/>
        <v>0</v>
      </c>
      <c r="M163" s="22">
        <f t="shared" si="275"/>
        <v>0</v>
      </c>
      <c r="N163" s="37">
        <f t="shared" ref="N163:O163" si="276">INT((INDEX(O$7:O$22,$B163)*(1-$D163)+INDEX(O$7:O$22,$B163+1)*$D163)*O$4*$B$2)</f>
        <v>741</v>
      </c>
      <c r="O163" s="37">
        <f t="shared" si="276"/>
        <v>104</v>
      </c>
    </row>
    <row r="164" spans="1:15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M164" si="277">(INDEX(F$7:F$22,$B164)*(1-$D164)+INDEX(F$7:F$22,$B164+1)*$D164)*F$4*$B$2</f>
        <v>0</v>
      </c>
      <c r="F164" s="22">
        <f t="shared" si="277"/>
        <v>0</v>
      </c>
      <c r="G164" s="22">
        <f t="shared" si="277"/>
        <v>0.16250000000000001</v>
      </c>
      <c r="H164" s="22">
        <f t="shared" si="277"/>
        <v>4.3750000000000004E-2</v>
      </c>
      <c r="I164" s="22">
        <f t="shared" si="277"/>
        <v>0</v>
      </c>
      <c r="J164" s="22">
        <f t="shared" si="277"/>
        <v>0.28125</v>
      </c>
      <c r="K164" s="22">
        <f t="shared" si="277"/>
        <v>0.13750000000000001</v>
      </c>
      <c r="L164" s="22">
        <f t="shared" si="277"/>
        <v>0</v>
      </c>
      <c r="M164" s="22">
        <f t="shared" si="277"/>
        <v>0</v>
      </c>
      <c r="N164" s="37">
        <f t="shared" ref="N164:O164" si="278">INT((INDEX(O$7:O$22,$B164)*(1-$D164)+INDEX(O$7:O$22,$B164+1)*$D164)*O$4*$B$2)</f>
        <v>750</v>
      </c>
      <c r="O164" s="37">
        <f t="shared" si="278"/>
        <v>105</v>
      </c>
    </row>
    <row r="165" spans="1:15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M165" si="279">(INDEX(F$7:F$22,$B165)*(1-$D165)+INDEX(F$7:F$22,$B165+1)*$D165)*F$4*$B$2</f>
        <v>0</v>
      </c>
      <c r="F165" s="22">
        <f t="shared" si="279"/>
        <v>0</v>
      </c>
      <c r="G165" s="22">
        <f t="shared" si="279"/>
        <v>0.16000000000000003</v>
      </c>
      <c r="H165" s="22">
        <f t="shared" si="279"/>
        <v>4.5000000000000005E-2</v>
      </c>
      <c r="I165" s="22">
        <f t="shared" si="279"/>
        <v>0</v>
      </c>
      <c r="J165" s="22">
        <f t="shared" si="279"/>
        <v>0.27500000000000002</v>
      </c>
      <c r="K165" s="22">
        <f t="shared" si="279"/>
        <v>0.14000000000000001</v>
      </c>
      <c r="L165" s="22">
        <f t="shared" si="279"/>
        <v>0</v>
      </c>
      <c r="M165" s="22">
        <f t="shared" si="279"/>
        <v>0</v>
      </c>
      <c r="N165" s="37">
        <f t="shared" ref="N165:O165" si="280">INT((INDEX(O$7:O$22,$B165)*(1-$D165)+INDEX(O$7:O$22,$B165+1)*$D165)*O$4*$B$2)</f>
        <v>759</v>
      </c>
      <c r="O165" s="37">
        <f t="shared" si="280"/>
        <v>106</v>
      </c>
    </row>
    <row r="166" spans="1:15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M166" si="281">(INDEX(F$7:F$22,$B166)*(1-$D166)+INDEX(F$7:F$22,$B166+1)*$D166)*F$4*$B$2</f>
        <v>0</v>
      </c>
      <c r="F166" s="22">
        <f t="shared" si="281"/>
        <v>0</v>
      </c>
      <c r="G166" s="22">
        <f t="shared" si="281"/>
        <v>0.1575</v>
      </c>
      <c r="H166" s="22">
        <f t="shared" si="281"/>
        <v>4.6250000000000006E-2</v>
      </c>
      <c r="I166" s="22">
        <f t="shared" si="281"/>
        <v>0</v>
      </c>
      <c r="J166" s="22">
        <f t="shared" si="281"/>
        <v>0.26874999999999999</v>
      </c>
      <c r="K166" s="22">
        <f t="shared" si="281"/>
        <v>0.14249999999999999</v>
      </c>
      <c r="L166" s="22">
        <f t="shared" si="281"/>
        <v>0</v>
      </c>
      <c r="M166" s="22">
        <f t="shared" si="281"/>
        <v>0</v>
      </c>
      <c r="N166" s="37">
        <f t="shared" ref="N166:O166" si="282">INT((INDEX(O$7:O$22,$B166)*(1-$D166)+INDEX(O$7:O$22,$B166+1)*$D166)*O$4*$B$2)</f>
        <v>768</v>
      </c>
      <c r="O166" s="37">
        <f t="shared" si="282"/>
        <v>107</v>
      </c>
    </row>
    <row r="167" spans="1:15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M167" si="283">(INDEX(F$7:F$22,$B167)*(1-$D167)+INDEX(F$7:F$22,$B167+1)*$D167)*F$4*$B$2</f>
        <v>0</v>
      </c>
      <c r="F167" s="22">
        <f t="shared" si="283"/>
        <v>0</v>
      </c>
      <c r="G167" s="22">
        <f t="shared" si="283"/>
        <v>0.15500000000000003</v>
      </c>
      <c r="H167" s="22">
        <f t="shared" si="283"/>
        <v>4.7500000000000001E-2</v>
      </c>
      <c r="I167" s="22">
        <f t="shared" si="283"/>
        <v>0</v>
      </c>
      <c r="J167" s="22">
        <f t="shared" si="283"/>
        <v>0.26250000000000001</v>
      </c>
      <c r="K167" s="22">
        <f t="shared" si="283"/>
        <v>0.14500000000000002</v>
      </c>
      <c r="L167" s="22">
        <f t="shared" si="283"/>
        <v>0</v>
      </c>
      <c r="M167" s="22">
        <f t="shared" si="283"/>
        <v>0</v>
      </c>
      <c r="N167" s="37">
        <f t="shared" ref="N167:O167" si="284">INT((INDEX(O$7:O$22,$B167)*(1-$D167)+INDEX(O$7:O$22,$B167+1)*$D167)*O$4*$B$2)</f>
        <v>777</v>
      </c>
      <c r="O167" s="37">
        <f t="shared" si="284"/>
        <v>108</v>
      </c>
    </row>
    <row r="168" spans="1:15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M168" si="285">(INDEX(F$7:F$22,$B168)*(1-$D168)+INDEX(F$7:F$22,$B168+1)*$D168)*F$4*$B$2</f>
        <v>0</v>
      </c>
      <c r="F168" s="22">
        <f t="shared" si="285"/>
        <v>0</v>
      </c>
      <c r="G168" s="22">
        <f t="shared" si="285"/>
        <v>0.1525</v>
      </c>
      <c r="H168" s="22">
        <f t="shared" si="285"/>
        <v>4.8750000000000002E-2</v>
      </c>
      <c r="I168" s="22">
        <f t="shared" si="285"/>
        <v>0</v>
      </c>
      <c r="J168" s="22">
        <f t="shared" si="285"/>
        <v>0.25624999999999998</v>
      </c>
      <c r="K168" s="22">
        <f t="shared" si="285"/>
        <v>0.14749999999999999</v>
      </c>
      <c r="L168" s="22">
        <f t="shared" si="285"/>
        <v>0</v>
      </c>
      <c r="M168" s="22">
        <f t="shared" si="285"/>
        <v>0</v>
      </c>
      <c r="N168" s="37">
        <f t="shared" ref="N168:O168" si="286">INT((INDEX(O$7:O$22,$B168)*(1-$D168)+INDEX(O$7:O$22,$B168+1)*$D168)*O$4*$B$2)</f>
        <v>786</v>
      </c>
      <c r="O168" s="37">
        <f t="shared" si="286"/>
        <v>109</v>
      </c>
    </row>
    <row r="169" spans="1:15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M169" si="287">(INDEX(F$7:F$22,$B169)*(1-$D169)+INDEX(F$7:F$22,$B169+1)*$D169)*F$4*$B$2</f>
        <v>0</v>
      </c>
      <c r="F169" s="22">
        <f t="shared" si="287"/>
        <v>0</v>
      </c>
      <c r="G169" s="22">
        <f t="shared" si="287"/>
        <v>0.15000000000000002</v>
      </c>
      <c r="H169" s="22">
        <f t="shared" si="287"/>
        <v>0.05</v>
      </c>
      <c r="I169" s="22">
        <f t="shared" si="287"/>
        <v>0</v>
      </c>
      <c r="J169" s="22">
        <f t="shared" si="287"/>
        <v>0.25</v>
      </c>
      <c r="K169" s="22">
        <f t="shared" si="287"/>
        <v>0.15000000000000002</v>
      </c>
      <c r="L169" s="22">
        <f t="shared" si="287"/>
        <v>0</v>
      </c>
      <c r="M169" s="22">
        <f t="shared" si="287"/>
        <v>0</v>
      </c>
      <c r="N169" s="37">
        <f t="shared" ref="N169:O169" si="288">INT((INDEX(O$7:O$22,$B169)*(1-$D169)+INDEX(O$7:O$22,$B169+1)*$D169)*O$4*$B$2)</f>
        <v>795</v>
      </c>
      <c r="O169" s="37">
        <f t="shared" si="288"/>
        <v>110</v>
      </c>
    </row>
    <row r="170" spans="1:15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M170" si="289">(INDEX(F$7:F$22,$B170)*(1-$D170)+INDEX(F$7:F$22,$B170+1)*$D170)*F$4*$B$2</f>
        <v>0</v>
      </c>
      <c r="F170" s="22">
        <f t="shared" si="289"/>
        <v>0</v>
      </c>
      <c r="G170" s="22">
        <f t="shared" si="289"/>
        <v>0.13499999999999998</v>
      </c>
      <c r="H170" s="22">
        <f t="shared" si="289"/>
        <v>5.7499999999999996E-2</v>
      </c>
      <c r="I170" s="22">
        <f t="shared" si="289"/>
        <v>0</v>
      </c>
      <c r="J170" s="22">
        <f t="shared" si="289"/>
        <v>0.17499999999999999</v>
      </c>
      <c r="K170" s="22">
        <f t="shared" si="289"/>
        <v>0.16500000000000001</v>
      </c>
      <c r="L170" s="22">
        <f t="shared" si="289"/>
        <v>7.4999999999999997E-3</v>
      </c>
      <c r="M170" s="22">
        <f t="shared" si="289"/>
        <v>6.0000000000000001E-3</v>
      </c>
      <c r="N170" s="37">
        <f t="shared" ref="N170:O170" si="290">INT((INDEX(O$7:O$22,$B170)*(1-$D170)+INDEX(O$7:O$22,$B170+1)*$D170)*O$4*$B$2)</f>
        <v>868</v>
      </c>
      <c r="O170" s="37">
        <f t="shared" si="290"/>
        <v>116</v>
      </c>
    </row>
    <row r="171" spans="1:15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M171" si="291">(INDEX(F$7:F$22,$B171)*(1-$D171)+INDEX(F$7:F$22,$B171+1)*$D171)*F$4*$B$2</f>
        <v>0</v>
      </c>
      <c r="F171" s="22">
        <f t="shared" si="291"/>
        <v>0</v>
      </c>
      <c r="G171" s="22">
        <f t="shared" si="291"/>
        <v>0.13250000000000003</v>
      </c>
      <c r="H171" s="22">
        <f t="shared" si="291"/>
        <v>5.8749999999999997E-2</v>
      </c>
      <c r="I171" s="22">
        <f t="shared" si="291"/>
        <v>0</v>
      </c>
      <c r="J171" s="22">
        <f t="shared" si="291"/>
        <v>0.16250000000000001</v>
      </c>
      <c r="K171" s="22">
        <f t="shared" si="291"/>
        <v>0.16750000000000001</v>
      </c>
      <c r="L171" s="22">
        <f t="shared" si="291"/>
        <v>8.7499999999999991E-3</v>
      </c>
      <c r="M171" s="22">
        <f t="shared" si="291"/>
        <v>6.9999999999999993E-3</v>
      </c>
      <c r="N171" s="37">
        <f t="shared" ref="N171:O171" si="292">INT((INDEX(O$7:O$22,$B171)*(1-$D171)+INDEX(O$7:O$22,$B171+1)*$D171)*O$4*$B$2)</f>
        <v>880</v>
      </c>
      <c r="O171" s="37">
        <f t="shared" si="292"/>
        <v>117</v>
      </c>
    </row>
    <row r="172" spans="1:15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M172" si="293">(INDEX(F$7:F$22,$B172)*(1-$D172)+INDEX(F$7:F$22,$B172+1)*$D172)*F$4*$B$2</f>
        <v>0</v>
      </c>
      <c r="F172" s="22">
        <f t="shared" si="293"/>
        <v>0</v>
      </c>
      <c r="G172" s="22">
        <f t="shared" si="293"/>
        <v>0.12999999999999998</v>
      </c>
      <c r="H172" s="22">
        <f t="shared" si="293"/>
        <v>6.0000000000000012E-2</v>
      </c>
      <c r="I172" s="22">
        <f t="shared" si="293"/>
        <v>0</v>
      </c>
      <c r="J172" s="22">
        <f t="shared" si="293"/>
        <v>0.15</v>
      </c>
      <c r="K172" s="22">
        <f t="shared" si="293"/>
        <v>0.17</v>
      </c>
      <c r="L172" s="22">
        <f t="shared" si="293"/>
        <v>1.0000000000000002E-2</v>
      </c>
      <c r="M172" s="22">
        <f t="shared" si="293"/>
        <v>8.0000000000000019E-3</v>
      </c>
      <c r="N172" s="37">
        <f t="shared" ref="N172:O172" si="294">INT((INDEX(O$7:O$22,$B172)*(1-$D172)+INDEX(O$7:O$22,$B172+1)*$D172)*O$4*$B$2)</f>
        <v>893</v>
      </c>
      <c r="O172" s="37">
        <f t="shared" si="294"/>
        <v>118</v>
      </c>
    </row>
    <row r="173" spans="1:15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M173" si="295">(INDEX(F$7:F$22,$B173)*(1-$D173)+INDEX(F$7:F$22,$B173+1)*$D173)*F$4*$B$2</f>
        <v>0</v>
      </c>
      <c r="F173" s="22">
        <f t="shared" si="295"/>
        <v>0</v>
      </c>
      <c r="G173" s="22">
        <f t="shared" si="295"/>
        <v>0.12750000000000003</v>
      </c>
      <c r="H173" s="22">
        <f t="shared" si="295"/>
        <v>6.1250000000000006E-2</v>
      </c>
      <c r="I173" s="22">
        <f t="shared" si="295"/>
        <v>0</v>
      </c>
      <c r="J173" s="22">
        <f t="shared" si="295"/>
        <v>0.13750000000000001</v>
      </c>
      <c r="K173" s="22">
        <f t="shared" si="295"/>
        <v>0.17250000000000001</v>
      </c>
      <c r="L173" s="22">
        <f t="shared" si="295"/>
        <v>1.1250000000000001E-2</v>
      </c>
      <c r="M173" s="22">
        <f t="shared" si="295"/>
        <v>9.0000000000000011E-3</v>
      </c>
      <c r="N173" s="37">
        <f t="shared" ref="N173:O173" si="296">INT((INDEX(O$7:O$22,$B173)*(1-$D173)+INDEX(O$7:O$22,$B173+1)*$D173)*O$4*$B$2)</f>
        <v>905</v>
      </c>
      <c r="O173" s="37">
        <f t="shared" si="296"/>
        <v>119</v>
      </c>
    </row>
    <row r="174" spans="1:15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M174" si="297">(INDEX(F$7:F$22,$B174)*(1-$D174)+INDEX(F$7:F$22,$B174+1)*$D174)*F$4*$B$2</f>
        <v>0</v>
      </c>
      <c r="F174" s="22">
        <f t="shared" si="297"/>
        <v>0</v>
      </c>
      <c r="G174" s="22">
        <f t="shared" si="297"/>
        <v>0.125</v>
      </c>
      <c r="H174" s="22">
        <f t="shared" si="297"/>
        <v>6.25E-2</v>
      </c>
      <c r="I174" s="22">
        <f t="shared" si="297"/>
        <v>0</v>
      </c>
      <c r="J174" s="22">
        <f t="shared" si="297"/>
        <v>0.125</v>
      </c>
      <c r="K174" s="22">
        <f t="shared" si="297"/>
        <v>0.17500000000000002</v>
      </c>
      <c r="L174" s="22">
        <f t="shared" si="297"/>
        <v>1.2500000000000001E-2</v>
      </c>
      <c r="M174" s="22">
        <f t="shared" si="297"/>
        <v>1.0000000000000002E-2</v>
      </c>
      <c r="N174" s="37">
        <f t="shared" ref="N174:O174" si="298">INT((INDEX(O$7:O$22,$B174)*(1-$D174)+INDEX(O$7:O$22,$B174+1)*$D174)*O$4*$B$2)</f>
        <v>917</v>
      </c>
      <c r="O174" s="37">
        <f t="shared" si="298"/>
        <v>120</v>
      </c>
    </row>
    <row r="175" spans="1:15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M175" si="299">(INDEX(F$7:F$22,$B175)*(1-$D175)+INDEX(F$7:F$22,$B175+1)*$D175)*F$4*$B$2</f>
        <v>0</v>
      </c>
      <c r="F175" s="22">
        <f t="shared" si="299"/>
        <v>0</v>
      </c>
      <c r="G175" s="22">
        <f t="shared" si="299"/>
        <v>0.12250000000000001</v>
      </c>
      <c r="H175" s="22">
        <f t="shared" si="299"/>
        <v>6.3750000000000001E-2</v>
      </c>
      <c r="I175" s="22">
        <f t="shared" si="299"/>
        <v>0</v>
      </c>
      <c r="J175" s="22">
        <f t="shared" si="299"/>
        <v>0.11249999999999999</v>
      </c>
      <c r="K175" s="22">
        <f t="shared" si="299"/>
        <v>0.17749999999999999</v>
      </c>
      <c r="L175" s="22">
        <f t="shared" si="299"/>
        <v>1.3750000000000002E-2</v>
      </c>
      <c r="M175" s="22">
        <f t="shared" si="299"/>
        <v>1.1000000000000003E-2</v>
      </c>
      <c r="N175" s="37">
        <f t="shared" ref="N175:O175" si="300">INT((INDEX(O$7:O$22,$B175)*(1-$D175)+INDEX(O$7:O$22,$B175+1)*$D175)*O$4*$B$2)</f>
        <v>929</v>
      </c>
      <c r="O175" s="37">
        <f t="shared" si="300"/>
        <v>121</v>
      </c>
    </row>
    <row r="176" spans="1:15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M176" si="301">(INDEX(F$7:F$22,$B176)*(1-$D176)+INDEX(F$7:F$22,$B176+1)*$D176)*F$4*$B$2</f>
        <v>0</v>
      </c>
      <c r="F176" s="22">
        <f t="shared" si="301"/>
        <v>0</v>
      </c>
      <c r="G176" s="22">
        <f t="shared" si="301"/>
        <v>0.12000000000000002</v>
      </c>
      <c r="H176" s="22">
        <f t="shared" si="301"/>
        <v>6.4999999999999988E-2</v>
      </c>
      <c r="I176" s="22">
        <f t="shared" si="301"/>
        <v>0</v>
      </c>
      <c r="J176" s="22">
        <f t="shared" si="301"/>
        <v>0.1</v>
      </c>
      <c r="K176" s="22">
        <f t="shared" si="301"/>
        <v>0.18000000000000002</v>
      </c>
      <c r="L176" s="22">
        <f t="shared" si="301"/>
        <v>1.4999999999999999E-2</v>
      </c>
      <c r="M176" s="22">
        <f t="shared" si="301"/>
        <v>1.2E-2</v>
      </c>
      <c r="N176" s="37">
        <f t="shared" ref="N176:O176" si="302">INT((INDEX(O$7:O$22,$B176)*(1-$D176)+INDEX(O$7:O$22,$B176+1)*$D176)*O$4*$B$2)</f>
        <v>942</v>
      </c>
      <c r="O176" s="37">
        <f t="shared" si="302"/>
        <v>122</v>
      </c>
    </row>
    <row r="177" spans="1:15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M177" si="303">(INDEX(F$7:F$22,$B177)*(1-$D177)+INDEX(F$7:F$22,$B177+1)*$D177)*F$4*$B$2</f>
        <v>0</v>
      </c>
      <c r="F177" s="22">
        <f t="shared" si="303"/>
        <v>0</v>
      </c>
      <c r="G177" s="22">
        <f t="shared" si="303"/>
        <v>0.11749999999999999</v>
      </c>
      <c r="H177" s="22">
        <f t="shared" si="303"/>
        <v>6.6250000000000017E-2</v>
      </c>
      <c r="I177" s="22">
        <f t="shared" si="303"/>
        <v>0</v>
      </c>
      <c r="J177" s="22">
        <f t="shared" si="303"/>
        <v>8.7499999999999994E-2</v>
      </c>
      <c r="K177" s="22">
        <f t="shared" si="303"/>
        <v>0.1825</v>
      </c>
      <c r="L177" s="22">
        <f t="shared" si="303"/>
        <v>1.6250000000000001E-2</v>
      </c>
      <c r="M177" s="22">
        <f t="shared" si="303"/>
        <v>1.3000000000000001E-2</v>
      </c>
      <c r="N177" s="37">
        <f t="shared" ref="N177:O177" si="304">INT((INDEX(O$7:O$22,$B177)*(1-$D177)+INDEX(O$7:O$22,$B177+1)*$D177)*O$4*$B$2)</f>
        <v>954</v>
      </c>
      <c r="O177" s="37">
        <f t="shared" si="304"/>
        <v>123</v>
      </c>
    </row>
    <row r="178" spans="1:15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M178" si="305">(INDEX(F$7:F$22,$B178)*(1-$D178)+INDEX(F$7:F$22,$B178+1)*$D178)*F$4*$B$2</f>
        <v>0</v>
      </c>
      <c r="F178" s="22">
        <f t="shared" si="305"/>
        <v>0</v>
      </c>
      <c r="G178" s="22">
        <f t="shared" si="305"/>
        <v>0.11499999999999999</v>
      </c>
      <c r="H178" s="22">
        <f t="shared" si="305"/>
        <v>6.7499999999999991E-2</v>
      </c>
      <c r="I178" s="22">
        <f t="shared" si="305"/>
        <v>0</v>
      </c>
      <c r="J178" s="22">
        <f t="shared" si="305"/>
        <v>7.5000000000000011E-2</v>
      </c>
      <c r="K178" s="22">
        <f t="shared" si="305"/>
        <v>0.18500000000000003</v>
      </c>
      <c r="L178" s="22">
        <f t="shared" si="305"/>
        <v>1.7499999999999998E-2</v>
      </c>
      <c r="M178" s="22">
        <f t="shared" si="305"/>
        <v>1.3999999999999999E-2</v>
      </c>
      <c r="N178" s="37">
        <f t="shared" ref="N178:O178" si="306">INT((INDEX(O$7:O$22,$B178)*(1-$D178)+INDEX(O$7:O$22,$B178+1)*$D178)*O$4*$B$2)</f>
        <v>966</v>
      </c>
      <c r="O178" s="37">
        <f t="shared" si="306"/>
        <v>124</v>
      </c>
    </row>
    <row r="179" spans="1:15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M179" si="307">(INDEX(F$7:F$22,$B179)*(1-$D179)+INDEX(F$7:F$22,$B179+1)*$D179)*F$4*$B$2</f>
        <v>0</v>
      </c>
      <c r="F179" s="22">
        <f t="shared" si="307"/>
        <v>0</v>
      </c>
      <c r="G179" s="22">
        <f t="shared" si="307"/>
        <v>0.1125</v>
      </c>
      <c r="H179" s="22">
        <f t="shared" si="307"/>
        <v>6.8750000000000006E-2</v>
      </c>
      <c r="I179" s="22">
        <f t="shared" si="307"/>
        <v>0</v>
      </c>
      <c r="J179" s="22">
        <f t="shared" si="307"/>
        <v>6.25E-2</v>
      </c>
      <c r="K179" s="22">
        <f t="shared" si="307"/>
        <v>0.1875</v>
      </c>
      <c r="L179" s="22">
        <f t="shared" si="307"/>
        <v>1.8750000000000003E-2</v>
      </c>
      <c r="M179" s="22">
        <f t="shared" si="307"/>
        <v>1.5000000000000003E-2</v>
      </c>
      <c r="N179" s="37">
        <f t="shared" ref="N179:O179" si="308">INT((INDEX(O$7:O$22,$B179)*(1-$D179)+INDEX(O$7:O$22,$B179+1)*$D179)*O$4*$B$2)</f>
        <v>978</v>
      </c>
      <c r="O179" s="37">
        <f t="shared" si="308"/>
        <v>125</v>
      </c>
    </row>
    <row r="180" spans="1:15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M180" si="309">(INDEX(F$7:F$22,$B180)*(1-$D180)+INDEX(F$7:F$22,$B180+1)*$D180)*F$4*$B$2</f>
        <v>0</v>
      </c>
      <c r="F180" s="22">
        <f t="shared" si="309"/>
        <v>0</v>
      </c>
      <c r="G180" s="22">
        <f t="shared" si="309"/>
        <v>0.11000000000000001</v>
      </c>
      <c r="H180" s="22">
        <f t="shared" si="309"/>
        <v>7.0000000000000007E-2</v>
      </c>
      <c r="I180" s="22">
        <f t="shared" si="309"/>
        <v>0</v>
      </c>
      <c r="J180" s="22">
        <f t="shared" si="309"/>
        <v>4.9999999999999989E-2</v>
      </c>
      <c r="K180" s="22">
        <f t="shared" si="309"/>
        <v>0.19</v>
      </c>
      <c r="L180" s="22">
        <f t="shared" si="309"/>
        <v>2.0000000000000004E-2</v>
      </c>
      <c r="M180" s="22">
        <f t="shared" si="309"/>
        <v>1.6000000000000004E-2</v>
      </c>
      <c r="N180" s="37">
        <f t="shared" ref="N180:O180" si="310">INT((INDEX(O$7:O$22,$B180)*(1-$D180)+INDEX(O$7:O$22,$B180+1)*$D180)*O$4*$B$2)</f>
        <v>991</v>
      </c>
      <c r="O180" s="37">
        <f t="shared" si="310"/>
        <v>126</v>
      </c>
    </row>
    <row r="181" spans="1:15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M181" si="311">(INDEX(F$7:F$22,$B181)*(1-$D181)+INDEX(F$7:F$22,$B181+1)*$D181)*F$4*$B$2</f>
        <v>0</v>
      </c>
      <c r="F181" s="22">
        <f t="shared" si="311"/>
        <v>0</v>
      </c>
      <c r="G181" s="22">
        <f t="shared" si="311"/>
        <v>0.1075</v>
      </c>
      <c r="H181" s="22">
        <f t="shared" si="311"/>
        <v>7.1249999999999994E-2</v>
      </c>
      <c r="I181" s="22">
        <f t="shared" si="311"/>
        <v>0</v>
      </c>
      <c r="J181" s="22">
        <f t="shared" si="311"/>
        <v>3.7500000000000006E-2</v>
      </c>
      <c r="K181" s="22">
        <f t="shared" si="311"/>
        <v>0.1925</v>
      </c>
      <c r="L181" s="22">
        <f t="shared" si="311"/>
        <v>2.1250000000000002E-2</v>
      </c>
      <c r="M181" s="22">
        <f t="shared" si="311"/>
        <v>1.7000000000000001E-2</v>
      </c>
      <c r="N181" s="37">
        <f t="shared" ref="N181:O181" si="312">INT((INDEX(O$7:O$22,$B181)*(1-$D181)+INDEX(O$7:O$22,$B181+1)*$D181)*O$4*$B$2)</f>
        <v>1003</v>
      </c>
      <c r="O181" s="37">
        <f t="shared" si="312"/>
        <v>127</v>
      </c>
    </row>
    <row r="182" spans="1:15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M182" si="313">(INDEX(F$7:F$22,$B182)*(1-$D182)+INDEX(F$7:F$22,$B182+1)*$D182)*F$4*$B$2</f>
        <v>0</v>
      </c>
      <c r="F182" s="22">
        <f t="shared" si="313"/>
        <v>0</v>
      </c>
      <c r="G182" s="22">
        <f t="shared" si="313"/>
        <v>0.10500000000000001</v>
      </c>
      <c r="H182" s="22">
        <f t="shared" si="313"/>
        <v>7.2500000000000009E-2</v>
      </c>
      <c r="I182" s="22">
        <f t="shared" si="313"/>
        <v>0</v>
      </c>
      <c r="J182" s="22">
        <f t="shared" si="313"/>
        <v>2.4999999999999994E-2</v>
      </c>
      <c r="K182" s="22">
        <f t="shared" si="313"/>
        <v>0.19500000000000001</v>
      </c>
      <c r="L182" s="22">
        <f t="shared" si="313"/>
        <v>2.2500000000000003E-2</v>
      </c>
      <c r="M182" s="22">
        <f t="shared" si="313"/>
        <v>1.8000000000000002E-2</v>
      </c>
      <c r="N182" s="37">
        <f t="shared" ref="N182:O182" si="314">INT((INDEX(O$7:O$22,$B182)*(1-$D182)+INDEX(O$7:O$22,$B182+1)*$D182)*O$4*$B$2)</f>
        <v>1015</v>
      </c>
      <c r="O182" s="37">
        <f t="shared" si="314"/>
        <v>128</v>
      </c>
    </row>
    <row r="183" spans="1:15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M183" si="315">(INDEX(F$7:F$22,$B183)*(1-$D183)+INDEX(F$7:F$22,$B183+1)*$D183)*F$4*$B$2</f>
        <v>0</v>
      </c>
      <c r="F183" s="22">
        <f t="shared" si="315"/>
        <v>0</v>
      </c>
      <c r="G183" s="22">
        <f t="shared" si="315"/>
        <v>0.10249999999999999</v>
      </c>
      <c r="H183" s="22">
        <f t="shared" si="315"/>
        <v>7.3749999999999996E-2</v>
      </c>
      <c r="I183" s="22">
        <f t="shared" si="315"/>
        <v>0</v>
      </c>
      <c r="J183" s="22">
        <f t="shared" si="315"/>
        <v>1.2500000000000011E-2</v>
      </c>
      <c r="K183" s="22">
        <f t="shared" si="315"/>
        <v>0.19750000000000001</v>
      </c>
      <c r="L183" s="22">
        <f t="shared" si="315"/>
        <v>2.375E-2</v>
      </c>
      <c r="M183" s="22">
        <f t="shared" si="315"/>
        <v>1.9000000000000003E-2</v>
      </c>
      <c r="N183" s="37">
        <f t="shared" ref="N183:O183" si="316">INT((INDEX(O$7:O$22,$B183)*(1-$D183)+INDEX(O$7:O$22,$B183+1)*$D183)*O$4*$B$2)</f>
        <v>1027</v>
      </c>
      <c r="O183" s="37">
        <f t="shared" si="316"/>
        <v>129</v>
      </c>
    </row>
    <row r="184" spans="1:15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M184" si="317">(INDEX(F$7:F$22,$B184)*(1-$D184)+INDEX(F$7:F$22,$B184+1)*$D184)*F$4*$B$2</f>
        <v>0</v>
      </c>
      <c r="F184" s="22">
        <f t="shared" si="317"/>
        <v>0</v>
      </c>
      <c r="G184" s="22">
        <f t="shared" si="317"/>
        <v>0.1</v>
      </c>
      <c r="H184" s="22">
        <f t="shared" si="317"/>
        <v>7.5000000000000011E-2</v>
      </c>
      <c r="I184" s="22">
        <f t="shared" si="317"/>
        <v>0</v>
      </c>
      <c r="J184" s="22">
        <f t="shared" si="317"/>
        <v>0</v>
      </c>
      <c r="K184" s="22">
        <f t="shared" si="317"/>
        <v>0.2</v>
      </c>
      <c r="L184" s="22">
        <f t="shared" si="317"/>
        <v>2.5000000000000001E-2</v>
      </c>
      <c r="M184" s="22">
        <f t="shared" si="317"/>
        <v>2.0000000000000004E-2</v>
      </c>
      <c r="N184" s="37">
        <f t="shared" ref="N184:O184" si="318">INT((INDEX(O$7:O$22,$B184)*(1-$D184)+INDEX(O$7:O$22,$B184+1)*$D184)*O$4*$B$2)</f>
        <v>1040</v>
      </c>
      <c r="O184" s="37">
        <f t="shared" si="318"/>
        <v>130</v>
      </c>
    </row>
    <row r="185" spans="1:15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M185" si="319">(INDEX(F$7:F$22,$B185)*(1-$D185)+INDEX(F$7:F$22,$B185+1)*$D185)*F$4*$B$2</f>
        <v>0</v>
      </c>
      <c r="F185" s="22">
        <f t="shared" si="319"/>
        <v>0</v>
      </c>
      <c r="G185" s="22">
        <f t="shared" si="319"/>
        <v>6.9999999999999993E-2</v>
      </c>
      <c r="H185" s="22">
        <f t="shared" si="319"/>
        <v>8.2500000000000004E-2</v>
      </c>
      <c r="I185" s="22">
        <f t="shared" si="319"/>
        <v>3.7499999999999999E-3</v>
      </c>
      <c r="J185" s="22">
        <f t="shared" si="319"/>
        <v>0</v>
      </c>
      <c r="K185" s="22">
        <f t="shared" si="319"/>
        <v>0.185</v>
      </c>
      <c r="L185" s="22">
        <f t="shared" si="319"/>
        <v>3.2499999999999994E-2</v>
      </c>
      <c r="M185" s="22">
        <f t="shared" si="319"/>
        <v>2.4500000000000001E-2</v>
      </c>
      <c r="N185" s="37">
        <f t="shared" ref="N185:O185" si="320">INT((INDEX(O$7:O$22,$B185)*(1-$D185)+INDEX(O$7:O$22,$B185+1)*$D185)*O$4*$B$2)</f>
        <v>1136</v>
      </c>
      <c r="O185" s="37">
        <f t="shared" si="320"/>
        <v>136</v>
      </c>
    </row>
    <row r="186" spans="1:15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M186" si="321">(INDEX(F$7:F$22,$B186)*(1-$D186)+INDEX(F$7:F$22,$B186+1)*$D186)*F$4*$B$2</f>
        <v>0</v>
      </c>
      <c r="F186" s="22">
        <f t="shared" si="321"/>
        <v>0</v>
      </c>
      <c r="G186" s="22">
        <f t="shared" si="321"/>
        <v>6.5000000000000002E-2</v>
      </c>
      <c r="H186" s="22">
        <f t="shared" si="321"/>
        <v>8.3750000000000005E-2</v>
      </c>
      <c r="I186" s="22">
        <f t="shared" si="321"/>
        <v>4.3749999999999995E-3</v>
      </c>
      <c r="J186" s="22">
        <f t="shared" si="321"/>
        <v>0</v>
      </c>
      <c r="K186" s="22">
        <f t="shared" si="321"/>
        <v>0.1825</v>
      </c>
      <c r="L186" s="22">
        <f t="shared" si="321"/>
        <v>3.3750000000000002E-2</v>
      </c>
      <c r="M186" s="22">
        <f t="shared" si="321"/>
        <v>2.5250000000000002E-2</v>
      </c>
      <c r="N186" s="37">
        <f t="shared" ref="N186:O186" si="322">INT((INDEX(O$7:O$22,$B186)*(1-$D186)+INDEX(O$7:O$22,$B186+1)*$D186)*O$4*$B$2)</f>
        <v>1152</v>
      </c>
      <c r="O186" s="37">
        <f t="shared" si="322"/>
        <v>137</v>
      </c>
    </row>
    <row r="187" spans="1:15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M187" si="323">(INDEX(F$7:F$22,$B187)*(1-$D187)+INDEX(F$7:F$22,$B187+1)*$D187)*F$4*$B$2</f>
        <v>0</v>
      </c>
      <c r="F187" s="22">
        <f t="shared" si="323"/>
        <v>0</v>
      </c>
      <c r="G187" s="22">
        <f t="shared" si="323"/>
        <v>0.06</v>
      </c>
      <c r="H187" s="22">
        <f t="shared" si="323"/>
        <v>8.5000000000000006E-2</v>
      </c>
      <c r="I187" s="22">
        <f t="shared" si="323"/>
        <v>5.000000000000001E-3</v>
      </c>
      <c r="J187" s="22">
        <f t="shared" si="323"/>
        <v>0</v>
      </c>
      <c r="K187" s="22">
        <f t="shared" si="323"/>
        <v>0.18000000000000002</v>
      </c>
      <c r="L187" s="22">
        <f t="shared" si="323"/>
        <v>3.4999999999999996E-2</v>
      </c>
      <c r="M187" s="22">
        <f t="shared" si="323"/>
        <v>2.6000000000000002E-2</v>
      </c>
      <c r="N187" s="37">
        <f t="shared" ref="N187:O187" si="324">INT((INDEX(O$7:O$22,$B187)*(1-$D187)+INDEX(O$7:O$22,$B187+1)*$D187)*O$4*$B$2)</f>
        <v>1168</v>
      </c>
      <c r="O187" s="37">
        <f t="shared" si="324"/>
        <v>138</v>
      </c>
    </row>
    <row r="188" spans="1:15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M188" si="325">(INDEX(F$7:F$22,$B188)*(1-$D188)+INDEX(F$7:F$22,$B188+1)*$D188)*F$4*$B$2</f>
        <v>0</v>
      </c>
      <c r="F188" s="22">
        <f t="shared" si="325"/>
        <v>0</v>
      </c>
      <c r="G188" s="22">
        <f t="shared" si="325"/>
        <v>5.5000000000000007E-2</v>
      </c>
      <c r="H188" s="22">
        <f t="shared" si="325"/>
        <v>8.6250000000000007E-2</v>
      </c>
      <c r="I188" s="22">
        <f t="shared" si="325"/>
        <v>5.6250000000000007E-3</v>
      </c>
      <c r="J188" s="22">
        <f t="shared" si="325"/>
        <v>0</v>
      </c>
      <c r="K188" s="22">
        <f t="shared" si="325"/>
        <v>0.17750000000000002</v>
      </c>
      <c r="L188" s="22">
        <f t="shared" si="325"/>
        <v>3.6250000000000004E-2</v>
      </c>
      <c r="M188" s="22">
        <f t="shared" si="325"/>
        <v>2.6750000000000003E-2</v>
      </c>
      <c r="N188" s="37">
        <f t="shared" ref="N188:O188" si="326">INT((INDEX(O$7:O$22,$B188)*(1-$D188)+INDEX(O$7:O$22,$B188+1)*$D188)*O$4*$B$2)</f>
        <v>1184</v>
      </c>
      <c r="O188" s="37">
        <f t="shared" si="326"/>
        <v>139</v>
      </c>
    </row>
    <row r="189" spans="1:15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M189" si="327">(INDEX(F$7:F$22,$B189)*(1-$D189)+INDEX(F$7:F$22,$B189+1)*$D189)*F$4*$B$2</f>
        <v>0</v>
      </c>
      <c r="F189" s="22">
        <f t="shared" si="327"/>
        <v>0</v>
      </c>
      <c r="G189" s="22">
        <f t="shared" si="327"/>
        <v>0.05</v>
      </c>
      <c r="H189" s="22">
        <f t="shared" si="327"/>
        <v>8.7500000000000008E-2</v>
      </c>
      <c r="I189" s="22">
        <f t="shared" si="327"/>
        <v>6.2500000000000003E-3</v>
      </c>
      <c r="J189" s="22">
        <f t="shared" si="327"/>
        <v>0</v>
      </c>
      <c r="K189" s="22">
        <f t="shared" si="327"/>
        <v>0.17500000000000002</v>
      </c>
      <c r="L189" s="22">
        <f t="shared" si="327"/>
        <v>3.7500000000000006E-2</v>
      </c>
      <c r="M189" s="22">
        <f t="shared" si="327"/>
        <v>2.7500000000000004E-2</v>
      </c>
      <c r="N189" s="37">
        <f t="shared" ref="N189:O189" si="328">INT((INDEX(O$7:O$22,$B189)*(1-$D189)+INDEX(O$7:O$22,$B189+1)*$D189)*O$4*$B$2)</f>
        <v>1200</v>
      </c>
      <c r="O189" s="37">
        <f t="shared" si="328"/>
        <v>140</v>
      </c>
    </row>
    <row r="190" spans="1:15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M190" si="329">(INDEX(F$7:F$22,$B190)*(1-$D190)+INDEX(F$7:F$22,$B190+1)*$D190)*F$4*$B$2</f>
        <v>0</v>
      </c>
      <c r="F190" s="22">
        <f t="shared" si="329"/>
        <v>0</v>
      </c>
      <c r="G190" s="22">
        <f t="shared" si="329"/>
        <v>4.4999999999999998E-2</v>
      </c>
      <c r="H190" s="22">
        <f t="shared" si="329"/>
        <v>8.8749999999999996E-2</v>
      </c>
      <c r="I190" s="22">
        <f t="shared" si="329"/>
        <v>6.8750000000000009E-3</v>
      </c>
      <c r="J190" s="22">
        <f t="shared" si="329"/>
        <v>0</v>
      </c>
      <c r="K190" s="22">
        <f t="shared" si="329"/>
        <v>0.17250000000000001</v>
      </c>
      <c r="L190" s="22">
        <f t="shared" si="329"/>
        <v>3.8750000000000007E-2</v>
      </c>
      <c r="M190" s="22">
        <f t="shared" si="329"/>
        <v>2.8249999999999997E-2</v>
      </c>
      <c r="N190" s="37">
        <f t="shared" ref="N190:O190" si="330">INT((INDEX(O$7:O$22,$B190)*(1-$D190)+INDEX(O$7:O$22,$B190+1)*$D190)*O$4*$B$2)</f>
        <v>1216</v>
      </c>
      <c r="O190" s="37">
        <f t="shared" si="330"/>
        <v>141</v>
      </c>
    </row>
    <row r="191" spans="1:15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M191" si="331">(INDEX(F$7:F$22,$B191)*(1-$D191)+INDEX(F$7:F$22,$B191+1)*$D191)*F$4*$B$2</f>
        <v>0</v>
      </c>
      <c r="F191" s="22">
        <f t="shared" si="331"/>
        <v>0</v>
      </c>
      <c r="G191" s="22">
        <f t="shared" si="331"/>
        <v>4.0000000000000008E-2</v>
      </c>
      <c r="H191" s="22">
        <f t="shared" si="331"/>
        <v>9.0000000000000011E-2</v>
      </c>
      <c r="I191" s="22">
        <f t="shared" si="331"/>
        <v>7.4999999999999997E-3</v>
      </c>
      <c r="J191" s="22">
        <f t="shared" si="331"/>
        <v>0</v>
      </c>
      <c r="K191" s="22">
        <f t="shared" si="331"/>
        <v>0.17</v>
      </c>
      <c r="L191" s="22">
        <f t="shared" si="331"/>
        <v>4.0000000000000008E-2</v>
      </c>
      <c r="M191" s="22">
        <f t="shared" si="331"/>
        <v>2.9000000000000005E-2</v>
      </c>
      <c r="N191" s="37">
        <f t="shared" ref="N191:O191" si="332">INT((INDEX(O$7:O$22,$B191)*(1-$D191)+INDEX(O$7:O$22,$B191+1)*$D191)*O$4*$B$2)</f>
        <v>1232</v>
      </c>
      <c r="O191" s="37">
        <f t="shared" si="332"/>
        <v>142</v>
      </c>
    </row>
    <row r="192" spans="1:15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M192" si="333">(INDEX(F$7:F$22,$B192)*(1-$D192)+INDEX(F$7:F$22,$B192+1)*$D192)*F$4*$B$2</f>
        <v>0</v>
      </c>
      <c r="F192" s="22">
        <f t="shared" si="333"/>
        <v>0</v>
      </c>
      <c r="G192" s="22">
        <f t="shared" si="333"/>
        <v>3.4999999999999996E-2</v>
      </c>
      <c r="H192" s="22">
        <f t="shared" si="333"/>
        <v>9.1249999999999998E-2</v>
      </c>
      <c r="I192" s="22">
        <f t="shared" si="333"/>
        <v>8.1250000000000003E-3</v>
      </c>
      <c r="J192" s="22">
        <f t="shared" si="333"/>
        <v>0</v>
      </c>
      <c r="K192" s="22">
        <f t="shared" si="333"/>
        <v>0.16750000000000001</v>
      </c>
      <c r="L192" s="22">
        <f t="shared" si="333"/>
        <v>4.1250000000000002E-2</v>
      </c>
      <c r="M192" s="22">
        <f t="shared" si="333"/>
        <v>2.9749999999999999E-2</v>
      </c>
      <c r="N192" s="37">
        <f t="shared" ref="N192:O192" si="334">INT((INDEX(O$7:O$22,$B192)*(1-$D192)+INDEX(O$7:O$22,$B192+1)*$D192)*O$4*$B$2)</f>
        <v>1248</v>
      </c>
      <c r="O192" s="37">
        <f t="shared" si="334"/>
        <v>143</v>
      </c>
    </row>
    <row r="193" spans="1:15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M193" si="335">(INDEX(F$7:F$22,$B193)*(1-$D193)+INDEX(F$7:F$22,$B193+1)*$D193)*F$4*$B$2</f>
        <v>0</v>
      </c>
      <c r="F193" s="22">
        <f t="shared" si="335"/>
        <v>0</v>
      </c>
      <c r="G193" s="22">
        <f t="shared" si="335"/>
        <v>3.0000000000000006E-2</v>
      </c>
      <c r="H193" s="22">
        <f t="shared" si="335"/>
        <v>9.2500000000000013E-2</v>
      </c>
      <c r="I193" s="22">
        <f t="shared" si="335"/>
        <v>8.7499999999999991E-3</v>
      </c>
      <c r="J193" s="22">
        <f t="shared" si="335"/>
        <v>0</v>
      </c>
      <c r="K193" s="22">
        <f t="shared" si="335"/>
        <v>0.16500000000000001</v>
      </c>
      <c r="L193" s="22">
        <f t="shared" si="335"/>
        <v>4.2500000000000003E-2</v>
      </c>
      <c r="M193" s="22">
        <f t="shared" si="335"/>
        <v>3.0499999999999999E-2</v>
      </c>
      <c r="N193" s="37">
        <f t="shared" ref="N193:O193" si="336">INT((INDEX(O$7:O$22,$B193)*(1-$D193)+INDEX(O$7:O$22,$B193+1)*$D193)*O$4*$B$2)</f>
        <v>1264</v>
      </c>
      <c r="O193" s="37">
        <f t="shared" si="336"/>
        <v>144</v>
      </c>
    </row>
    <row r="194" spans="1:15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M194" si="337">(INDEX(F$7:F$22,$B194)*(1-$D194)+INDEX(F$7:F$22,$B194+1)*$D194)*F$4*$B$2</f>
        <v>0</v>
      </c>
      <c r="F194" s="22">
        <f t="shared" si="337"/>
        <v>0</v>
      </c>
      <c r="G194" s="22">
        <f t="shared" si="337"/>
        <v>2.5000000000000001E-2</v>
      </c>
      <c r="H194" s="22">
        <f t="shared" si="337"/>
        <v>9.375E-2</v>
      </c>
      <c r="I194" s="22">
        <f t="shared" si="337"/>
        <v>9.3750000000000014E-3</v>
      </c>
      <c r="J194" s="22">
        <f t="shared" si="337"/>
        <v>0</v>
      </c>
      <c r="K194" s="22">
        <f t="shared" si="337"/>
        <v>0.16250000000000001</v>
      </c>
      <c r="L194" s="22">
        <f t="shared" si="337"/>
        <v>4.3750000000000004E-2</v>
      </c>
      <c r="M194" s="22">
        <f t="shared" si="337"/>
        <v>3.1249999999999997E-2</v>
      </c>
      <c r="N194" s="37">
        <f t="shared" ref="N194:O194" si="338">INT((INDEX(O$7:O$22,$B194)*(1-$D194)+INDEX(O$7:O$22,$B194+1)*$D194)*O$4*$B$2)</f>
        <v>1280</v>
      </c>
      <c r="O194" s="37">
        <f t="shared" si="338"/>
        <v>145</v>
      </c>
    </row>
    <row r="195" spans="1:15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M195" si="339">(INDEX(F$7:F$22,$B195)*(1-$D195)+INDEX(F$7:F$22,$B195+1)*$D195)*F$4*$B$2</f>
        <v>0</v>
      </c>
      <c r="F195" s="22">
        <f t="shared" si="339"/>
        <v>0</v>
      </c>
      <c r="G195" s="22">
        <f t="shared" si="339"/>
        <v>1.9999999999999997E-2</v>
      </c>
      <c r="H195" s="22">
        <f t="shared" si="339"/>
        <v>9.5000000000000001E-2</v>
      </c>
      <c r="I195" s="22">
        <f t="shared" si="339"/>
        <v>1.0000000000000002E-2</v>
      </c>
      <c r="J195" s="22">
        <f t="shared" si="339"/>
        <v>0</v>
      </c>
      <c r="K195" s="22">
        <f t="shared" si="339"/>
        <v>0.16000000000000003</v>
      </c>
      <c r="L195" s="22">
        <f t="shared" si="339"/>
        <v>4.5000000000000005E-2</v>
      </c>
      <c r="M195" s="22">
        <f t="shared" si="339"/>
        <v>3.1999999999999994E-2</v>
      </c>
      <c r="N195" s="37">
        <f t="shared" ref="N195:O195" si="340">INT((INDEX(O$7:O$22,$B195)*(1-$D195)+INDEX(O$7:O$22,$B195+1)*$D195)*O$4*$B$2)</f>
        <v>1296</v>
      </c>
      <c r="O195" s="37">
        <f t="shared" si="340"/>
        <v>146</v>
      </c>
    </row>
    <row r="196" spans="1:15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M196" si="341">(INDEX(F$7:F$22,$B196)*(1-$D196)+INDEX(F$7:F$22,$B196+1)*$D196)*F$4*$B$2</f>
        <v>0</v>
      </c>
      <c r="F196" s="22">
        <f t="shared" si="341"/>
        <v>0</v>
      </c>
      <c r="G196" s="22">
        <f t="shared" si="341"/>
        <v>1.5000000000000003E-2</v>
      </c>
      <c r="H196" s="22">
        <f t="shared" si="341"/>
        <v>9.6250000000000002E-2</v>
      </c>
      <c r="I196" s="22">
        <f t="shared" si="341"/>
        <v>1.0625000000000001E-2</v>
      </c>
      <c r="J196" s="22">
        <f t="shared" si="341"/>
        <v>0</v>
      </c>
      <c r="K196" s="22">
        <f t="shared" si="341"/>
        <v>0.1575</v>
      </c>
      <c r="L196" s="22">
        <f t="shared" si="341"/>
        <v>4.6250000000000006E-2</v>
      </c>
      <c r="M196" s="22">
        <f t="shared" si="341"/>
        <v>3.2750000000000001E-2</v>
      </c>
      <c r="N196" s="37">
        <f t="shared" ref="N196:O196" si="342">INT((INDEX(O$7:O$22,$B196)*(1-$D196)+INDEX(O$7:O$22,$B196+1)*$D196)*O$4*$B$2)</f>
        <v>1312</v>
      </c>
      <c r="O196" s="37">
        <f t="shared" si="342"/>
        <v>147</v>
      </c>
    </row>
    <row r="197" spans="1:15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M197" si="343">(INDEX(F$7:F$22,$B197)*(1-$D197)+INDEX(F$7:F$22,$B197+1)*$D197)*F$4*$B$2</f>
        <v>0</v>
      </c>
      <c r="F197" s="22">
        <f t="shared" si="343"/>
        <v>0</v>
      </c>
      <c r="G197" s="22">
        <f t="shared" si="343"/>
        <v>9.9999999999999985E-3</v>
      </c>
      <c r="H197" s="22">
        <f t="shared" si="343"/>
        <v>9.7500000000000003E-2</v>
      </c>
      <c r="I197" s="22">
        <f t="shared" si="343"/>
        <v>1.1250000000000001E-2</v>
      </c>
      <c r="J197" s="22">
        <f t="shared" si="343"/>
        <v>0</v>
      </c>
      <c r="K197" s="22">
        <f t="shared" si="343"/>
        <v>0.15500000000000003</v>
      </c>
      <c r="L197" s="22">
        <f t="shared" si="343"/>
        <v>4.7500000000000001E-2</v>
      </c>
      <c r="M197" s="22">
        <f t="shared" si="343"/>
        <v>3.3500000000000002E-2</v>
      </c>
      <c r="N197" s="37">
        <f t="shared" ref="N197:O197" si="344">INT((INDEX(O$7:O$22,$B197)*(1-$D197)+INDEX(O$7:O$22,$B197+1)*$D197)*O$4*$B$2)</f>
        <v>1328</v>
      </c>
      <c r="O197" s="37">
        <f t="shared" si="344"/>
        <v>148</v>
      </c>
    </row>
    <row r="198" spans="1:15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M198" si="345">(INDEX(F$7:F$22,$B198)*(1-$D198)+INDEX(F$7:F$22,$B198+1)*$D198)*F$4*$B$2</f>
        <v>0</v>
      </c>
      <c r="F198" s="22">
        <f t="shared" si="345"/>
        <v>0</v>
      </c>
      <c r="G198" s="22">
        <f t="shared" si="345"/>
        <v>5.0000000000000044E-3</v>
      </c>
      <c r="H198" s="22">
        <f t="shared" si="345"/>
        <v>9.8750000000000004E-2</v>
      </c>
      <c r="I198" s="22">
        <f t="shared" si="345"/>
        <v>1.1875E-2</v>
      </c>
      <c r="J198" s="22">
        <f t="shared" si="345"/>
        <v>0</v>
      </c>
      <c r="K198" s="22">
        <f t="shared" si="345"/>
        <v>0.1525</v>
      </c>
      <c r="L198" s="22">
        <f t="shared" si="345"/>
        <v>4.8750000000000002E-2</v>
      </c>
      <c r="M198" s="22">
        <f t="shared" si="345"/>
        <v>3.4249999999999996E-2</v>
      </c>
      <c r="N198" s="37">
        <f t="shared" ref="N198:O198" si="346">INT((INDEX(O$7:O$22,$B198)*(1-$D198)+INDEX(O$7:O$22,$B198+1)*$D198)*O$4*$B$2)</f>
        <v>1344</v>
      </c>
      <c r="O198" s="37">
        <f t="shared" si="346"/>
        <v>149</v>
      </c>
    </row>
    <row r="199" spans="1:15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M199" si="347">(INDEX(F$7:F$22,$B199)*(1-$D199)+INDEX(F$7:F$22,$B199+1)*$D199)*F$4*$B$2</f>
        <v>0</v>
      </c>
      <c r="F199" s="22">
        <f t="shared" si="347"/>
        <v>0</v>
      </c>
      <c r="G199" s="22">
        <f t="shared" si="347"/>
        <v>0</v>
      </c>
      <c r="H199" s="22">
        <f t="shared" si="347"/>
        <v>0.1</v>
      </c>
      <c r="I199" s="22">
        <f t="shared" si="347"/>
        <v>1.2500000000000001E-2</v>
      </c>
      <c r="J199" s="22">
        <f t="shared" si="347"/>
        <v>0</v>
      </c>
      <c r="K199" s="22">
        <f t="shared" si="347"/>
        <v>0.15000000000000002</v>
      </c>
      <c r="L199" s="22">
        <f t="shared" si="347"/>
        <v>0.05</v>
      </c>
      <c r="M199" s="22">
        <f t="shared" si="347"/>
        <v>3.4999999999999996E-2</v>
      </c>
      <c r="N199" s="37">
        <f t="shared" ref="N199:O199" si="348">INT((INDEX(O$7:O$22,$B199)*(1-$D199)+INDEX(O$7:O$22,$B199+1)*$D199)*O$4*$B$2)</f>
        <v>1360</v>
      </c>
      <c r="O199" s="37">
        <f t="shared" si="348"/>
        <v>150</v>
      </c>
    </row>
    <row r="200" spans="1:15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M200" si="349">(INDEX(F$7:F$22,$B200)*(1-$D200)+INDEX(F$7:F$22,$B200+1)*$D200)*F$4*$B$2</f>
        <v>0</v>
      </c>
      <c r="F200" s="22">
        <f t="shared" si="349"/>
        <v>0</v>
      </c>
      <c r="G200" s="22">
        <f t="shared" si="349"/>
        <v>0</v>
      </c>
      <c r="H200" s="22">
        <f t="shared" si="349"/>
        <v>9.2499999999999999E-2</v>
      </c>
      <c r="I200" s="22">
        <f t="shared" si="349"/>
        <v>1.6249999999999997E-2</v>
      </c>
      <c r="J200" s="22">
        <f t="shared" si="349"/>
        <v>0</v>
      </c>
      <c r="K200" s="22">
        <f t="shared" si="349"/>
        <v>0.13499999999999998</v>
      </c>
      <c r="L200" s="22">
        <f t="shared" si="349"/>
        <v>5.7499999999999996E-2</v>
      </c>
      <c r="M200" s="22">
        <f t="shared" si="349"/>
        <v>3.95E-2</v>
      </c>
      <c r="N200" s="37">
        <f t="shared" ref="N200:O200" si="350">INT((INDEX(O$7:O$22,$B200)*(1-$D200)+INDEX(O$7:O$22,$B200+1)*$D200)*O$4*$B$2)</f>
        <v>1492</v>
      </c>
      <c r="O200" s="37">
        <f t="shared" si="350"/>
        <v>157</v>
      </c>
    </row>
    <row r="201" spans="1:15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M201" si="351">(INDEX(F$7:F$22,$B201)*(1-$D201)+INDEX(F$7:F$22,$B201+1)*$D201)*F$4*$B$2</f>
        <v>0</v>
      </c>
      <c r="F201" s="22">
        <f t="shared" si="351"/>
        <v>0</v>
      </c>
      <c r="G201" s="22">
        <f t="shared" si="351"/>
        <v>0</v>
      </c>
      <c r="H201" s="22">
        <f t="shared" si="351"/>
        <v>9.1249999999999998E-2</v>
      </c>
      <c r="I201" s="22">
        <f t="shared" si="351"/>
        <v>1.6875000000000001E-2</v>
      </c>
      <c r="J201" s="22">
        <f t="shared" si="351"/>
        <v>0</v>
      </c>
      <c r="K201" s="22">
        <f t="shared" si="351"/>
        <v>0.13250000000000003</v>
      </c>
      <c r="L201" s="22">
        <f t="shared" si="351"/>
        <v>5.8749999999999997E-2</v>
      </c>
      <c r="M201" s="22">
        <f t="shared" si="351"/>
        <v>4.0250000000000001E-2</v>
      </c>
      <c r="N201" s="37">
        <f t="shared" ref="N201:O201" si="352">INT((INDEX(O$7:O$22,$B201)*(1-$D201)+INDEX(O$7:O$22,$B201+1)*$D201)*O$4*$B$2)</f>
        <v>1514</v>
      </c>
      <c r="O201" s="37">
        <f t="shared" si="352"/>
        <v>158</v>
      </c>
    </row>
    <row r="202" spans="1:15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M202" si="353">(INDEX(F$7:F$22,$B202)*(1-$D202)+INDEX(F$7:F$22,$B202+1)*$D202)*F$4*$B$2</f>
        <v>0</v>
      </c>
      <c r="F202" s="22">
        <f t="shared" si="353"/>
        <v>0</v>
      </c>
      <c r="G202" s="22">
        <f t="shared" si="353"/>
        <v>0</v>
      </c>
      <c r="H202" s="22">
        <f t="shared" si="353"/>
        <v>9.0000000000000011E-2</v>
      </c>
      <c r="I202" s="22">
        <f t="shared" si="353"/>
        <v>1.7499999999999998E-2</v>
      </c>
      <c r="J202" s="22">
        <f t="shared" si="353"/>
        <v>0</v>
      </c>
      <c r="K202" s="22">
        <f t="shared" si="353"/>
        <v>0.12999999999999998</v>
      </c>
      <c r="L202" s="22">
        <f t="shared" si="353"/>
        <v>6.0000000000000012E-2</v>
      </c>
      <c r="M202" s="22">
        <f t="shared" si="353"/>
        <v>4.1000000000000009E-2</v>
      </c>
      <c r="N202" s="37">
        <f t="shared" ref="N202:O202" si="354">INT((INDEX(O$7:O$22,$B202)*(1-$D202)+INDEX(O$7:O$22,$B202+1)*$D202)*O$4*$B$2)</f>
        <v>1536</v>
      </c>
      <c r="O202" s="37">
        <f t="shared" si="354"/>
        <v>160</v>
      </c>
    </row>
    <row r="203" spans="1:15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M203" si="355">(INDEX(F$7:F$22,$B203)*(1-$D203)+INDEX(F$7:F$22,$B203+1)*$D203)*F$4*$B$2</f>
        <v>0</v>
      </c>
      <c r="F203" s="22">
        <f t="shared" si="355"/>
        <v>0</v>
      </c>
      <c r="G203" s="22">
        <f t="shared" si="355"/>
        <v>0</v>
      </c>
      <c r="H203" s="22">
        <f t="shared" si="355"/>
        <v>8.8750000000000009E-2</v>
      </c>
      <c r="I203" s="22">
        <f t="shared" si="355"/>
        <v>1.8125000000000002E-2</v>
      </c>
      <c r="J203" s="22">
        <f t="shared" si="355"/>
        <v>0</v>
      </c>
      <c r="K203" s="22">
        <f t="shared" si="355"/>
        <v>0.12750000000000003</v>
      </c>
      <c r="L203" s="22">
        <f t="shared" si="355"/>
        <v>6.1250000000000006E-2</v>
      </c>
      <c r="M203" s="22">
        <f t="shared" si="355"/>
        <v>4.1750000000000002E-2</v>
      </c>
      <c r="N203" s="37">
        <f t="shared" ref="N203:O203" si="356">INT((INDEX(O$7:O$22,$B203)*(1-$D203)+INDEX(O$7:O$22,$B203+1)*$D203)*O$4*$B$2)</f>
        <v>1558</v>
      </c>
      <c r="O203" s="37">
        <f t="shared" si="356"/>
        <v>161</v>
      </c>
    </row>
    <row r="204" spans="1:15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M204" si="357">(INDEX(F$7:F$22,$B204)*(1-$D204)+INDEX(F$7:F$22,$B204+1)*$D204)*F$4*$B$2</f>
        <v>0</v>
      </c>
      <c r="F204" s="22">
        <f t="shared" si="357"/>
        <v>0</v>
      </c>
      <c r="G204" s="22">
        <f t="shared" si="357"/>
        <v>0</v>
      </c>
      <c r="H204" s="22">
        <f t="shared" si="357"/>
        <v>8.7500000000000008E-2</v>
      </c>
      <c r="I204" s="22">
        <f t="shared" si="357"/>
        <v>1.8750000000000003E-2</v>
      </c>
      <c r="J204" s="22">
        <f t="shared" si="357"/>
        <v>0</v>
      </c>
      <c r="K204" s="22">
        <f t="shared" si="357"/>
        <v>0.125</v>
      </c>
      <c r="L204" s="22">
        <f t="shared" si="357"/>
        <v>6.25E-2</v>
      </c>
      <c r="M204" s="22">
        <f t="shared" si="357"/>
        <v>4.2500000000000003E-2</v>
      </c>
      <c r="N204" s="37">
        <f t="shared" ref="N204:O204" si="358">INT((INDEX(O$7:O$22,$B204)*(1-$D204)+INDEX(O$7:O$22,$B204+1)*$D204)*O$4*$B$2)</f>
        <v>1580</v>
      </c>
      <c r="O204" s="37">
        <f t="shared" si="358"/>
        <v>162</v>
      </c>
    </row>
    <row r="205" spans="1:15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M205" si="359">(INDEX(F$7:F$22,$B205)*(1-$D205)+INDEX(F$7:F$22,$B205+1)*$D205)*F$4*$B$2</f>
        <v>0</v>
      </c>
      <c r="F205" s="22">
        <f t="shared" si="359"/>
        <v>0</v>
      </c>
      <c r="G205" s="22">
        <f t="shared" si="359"/>
        <v>0</v>
      </c>
      <c r="H205" s="22">
        <f t="shared" si="359"/>
        <v>8.6250000000000007E-2</v>
      </c>
      <c r="I205" s="22">
        <f t="shared" si="359"/>
        <v>1.9375000000000003E-2</v>
      </c>
      <c r="J205" s="22">
        <f t="shared" si="359"/>
        <v>0</v>
      </c>
      <c r="K205" s="22">
        <f t="shared" si="359"/>
        <v>0.12250000000000001</v>
      </c>
      <c r="L205" s="22">
        <f t="shared" si="359"/>
        <v>6.3750000000000001E-2</v>
      </c>
      <c r="M205" s="22">
        <f t="shared" si="359"/>
        <v>4.3250000000000004E-2</v>
      </c>
      <c r="N205" s="37">
        <f t="shared" ref="N205:O205" si="360">INT((INDEX(O$7:O$22,$B205)*(1-$D205)+INDEX(O$7:O$22,$B205+1)*$D205)*O$4*$B$2)</f>
        <v>1602</v>
      </c>
      <c r="O205" s="37">
        <f t="shared" si="360"/>
        <v>163</v>
      </c>
    </row>
    <row r="206" spans="1:15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M206" si="361">(INDEX(F$7:F$22,$B206)*(1-$D206)+INDEX(F$7:F$22,$B206+1)*$D206)*F$4*$B$2</f>
        <v>0</v>
      </c>
      <c r="F206" s="22">
        <f t="shared" si="361"/>
        <v>0</v>
      </c>
      <c r="G206" s="22">
        <f t="shared" si="361"/>
        <v>0</v>
      </c>
      <c r="H206" s="22">
        <f t="shared" si="361"/>
        <v>8.5000000000000006E-2</v>
      </c>
      <c r="I206" s="22">
        <f t="shared" si="361"/>
        <v>2.0000000000000004E-2</v>
      </c>
      <c r="J206" s="22">
        <f t="shared" si="361"/>
        <v>0</v>
      </c>
      <c r="K206" s="22">
        <f t="shared" si="361"/>
        <v>0.12000000000000002</v>
      </c>
      <c r="L206" s="22">
        <f t="shared" si="361"/>
        <v>6.4999999999999988E-2</v>
      </c>
      <c r="M206" s="22">
        <f t="shared" si="361"/>
        <v>4.3999999999999997E-2</v>
      </c>
      <c r="N206" s="37">
        <f t="shared" ref="N206:O206" si="362">INT((INDEX(O$7:O$22,$B206)*(1-$D206)+INDEX(O$7:O$22,$B206+1)*$D206)*O$4*$B$2)</f>
        <v>1624</v>
      </c>
      <c r="O206" s="37">
        <f t="shared" si="362"/>
        <v>165</v>
      </c>
    </row>
    <row r="207" spans="1:15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M207" si="363">(INDEX(F$7:F$22,$B207)*(1-$D207)+INDEX(F$7:F$22,$B207+1)*$D207)*F$4*$B$2</f>
        <v>0</v>
      </c>
      <c r="F207" s="22">
        <f t="shared" si="363"/>
        <v>0</v>
      </c>
      <c r="G207" s="22">
        <f t="shared" si="363"/>
        <v>0</v>
      </c>
      <c r="H207" s="22">
        <f t="shared" si="363"/>
        <v>8.3750000000000005E-2</v>
      </c>
      <c r="I207" s="22">
        <f t="shared" si="363"/>
        <v>2.0625000000000001E-2</v>
      </c>
      <c r="J207" s="22">
        <f t="shared" si="363"/>
        <v>0</v>
      </c>
      <c r="K207" s="22">
        <f t="shared" si="363"/>
        <v>0.11749999999999999</v>
      </c>
      <c r="L207" s="22">
        <f t="shared" si="363"/>
        <v>6.6250000000000017E-2</v>
      </c>
      <c r="M207" s="22">
        <f t="shared" si="363"/>
        <v>4.4750000000000005E-2</v>
      </c>
      <c r="N207" s="37">
        <f t="shared" ref="N207:O207" si="364">INT((INDEX(O$7:O$22,$B207)*(1-$D207)+INDEX(O$7:O$22,$B207+1)*$D207)*O$4*$B$2)</f>
        <v>1646</v>
      </c>
      <c r="O207" s="37">
        <f t="shared" si="364"/>
        <v>166</v>
      </c>
    </row>
    <row r="208" spans="1:15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M208" si="365">(INDEX(F$7:F$22,$B208)*(1-$D208)+INDEX(F$7:F$22,$B208+1)*$D208)*F$4*$B$2</f>
        <v>0</v>
      </c>
      <c r="F208" s="22">
        <f t="shared" si="365"/>
        <v>0</v>
      </c>
      <c r="G208" s="22">
        <f t="shared" si="365"/>
        <v>0</v>
      </c>
      <c r="H208" s="22">
        <f t="shared" si="365"/>
        <v>8.2500000000000004E-2</v>
      </c>
      <c r="I208" s="22">
        <f t="shared" si="365"/>
        <v>2.1250000000000002E-2</v>
      </c>
      <c r="J208" s="22">
        <f t="shared" si="365"/>
        <v>0</v>
      </c>
      <c r="K208" s="22">
        <f t="shared" si="365"/>
        <v>0.11499999999999999</v>
      </c>
      <c r="L208" s="22">
        <f t="shared" si="365"/>
        <v>6.7499999999999991E-2</v>
      </c>
      <c r="M208" s="22">
        <f t="shared" si="365"/>
        <v>4.5499999999999999E-2</v>
      </c>
      <c r="N208" s="37">
        <f t="shared" ref="N208:O208" si="366">INT((INDEX(O$7:O$22,$B208)*(1-$D208)+INDEX(O$7:O$22,$B208+1)*$D208)*O$4*$B$2)</f>
        <v>1668</v>
      </c>
      <c r="O208" s="37">
        <f t="shared" si="366"/>
        <v>167</v>
      </c>
    </row>
    <row r="209" spans="1:15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M209" si="367">(INDEX(F$7:F$22,$B209)*(1-$D209)+INDEX(F$7:F$22,$B209+1)*$D209)*F$4*$B$2</f>
        <v>0</v>
      </c>
      <c r="F209" s="22">
        <f t="shared" si="367"/>
        <v>0</v>
      </c>
      <c r="G209" s="22">
        <f t="shared" si="367"/>
        <v>0</v>
      </c>
      <c r="H209" s="22">
        <f t="shared" si="367"/>
        <v>8.1250000000000003E-2</v>
      </c>
      <c r="I209" s="22">
        <f t="shared" si="367"/>
        <v>2.1875000000000002E-2</v>
      </c>
      <c r="J209" s="22">
        <f t="shared" si="367"/>
        <v>0</v>
      </c>
      <c r="K209" s="22">
        <f t="shared" si="367"/>
        <v>0.1125</v>
      </c>
      <c r="L209" s="22">
        <f t="shared" si="367"/>
        <v>6.8750000000000006E-2</v>
      </c>
      <c r="M209" s="22">
        <f t="shared" si="367"/>
        <v>4.6250000000000006E-2</v>
      </c>
      <c r="N209" s="37">
        <f t="shared" ref="N209:O209" si="368">INT((INDEX(O$7:O$22,$B209)*(1-$D209)+INDEX(O$7:O$22,$B209+1)*$D209)*O$4*$B$2)</f>
        <v>1690</v>
      </c>
      <c r="O209" s="37">
        <f t="shared" si="368"/>
        <v>168</v>
      </c>
    </row>
    <row r="210" spans="1:15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M210" si="369">(INDEX(F$7:F$22,$B210)*(1-$D210)+INDEX(F$7:F$22,$B210+1)*$D210)*F$4*$B$2</f>
        <v>0</v>
      </c>
      <c r="F210" s="22">
        <f t="shared" si="369"/>
        <v>0</v>
      </c>
      <c r="G210" s="22">
        <f t="shared" si="369"/>
        <v>0</v>
      </c>
      <c r="H210" s="22">
        <f t="shared" si="369"/>
        <v>8.0000000000000016E-2</v>
      </c>
      <c r="I210" s="22">
        <f t="shared" si="369"/>
        <v>2.2500000000000003E-2</v>
      </c>
      <c r="J210" s="22">
        <f t="shared" si="369"/>
        <v>0</v>
      </c>
      <c r="K210" s="22">
        <f t="shared" si="369"/>
        <v>0.11000000000000001</v>
      </c>
      <c r="L210" s="22">
        <f t="shared" si="369"/>
        <v>7.0000000000000007E-2</v>
      </c>
      <c r="M210" s="22">
        <f t="shared" si="369"/>
        <v>4.7E-2</v>
      </c>
      <c r="N210" s="37">
        <f t="shared" ref="N210:O210" si="370">INT((INDEX(O$7:O$22,$B210)*(1-$D210)+INDEX(O$7:O$22,$B210+1)*$D210)*O$4*$B$2)</f>
        <v>1712</v>
      </c>
      <c r="O210" s="37">
        <f t="shared" si="370"/>
        <v>170</v>
      </c>
    </row>
    <row r="211" spans="1:15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M211" si="371">(INDEX(F$7:F$22,$B211)*(1-$D211)+INDEX(F$7:F$22,$B211+1)*$D211)*F$4*$B$2</f>
        <v>0</v>
      </c>
      <c r="F211" s="22">
        <f t="shared" si="371"/>
        <v>0</v>
      </c>
      <c r="G211" s="22">
        <f t="shared" si="371"/>
        <v>0</v>
      </c>
      <c r="H211" s="22">
        <f t="shared" si="371"/>
        <v>7.8750000000000001E-2</v>
      </c>
      <c r="I211" s="22">
        <f t="shared" si="371"/>
        <v>2.3125000000000003E-2</v>
      </c>
      <c r="J211" s="22">
        <f t="shared" si="371"/>
        <v>0</v>
      </c>
      <c r="K211" s="22">
        <f t="shared" si="371"/>
        <v>0.1075</v>
      </c>
      <c r="L211" s="22">
        <f t="shared" si="371"/>
        <v>7.1249999999999994E-2</v>
      </c>
      <c r="M211" s="22">
        <f t="shared" si="371"/>
        <v>4.7750000000000001E-2</v>
      </c>
      <c r="N211" s="37">
        <f t="shared" ref="N211:O211" si="372">INT((INDEX(O$7:O$22,$B211)*(1-$D211)+INDEX(O$7:O$22,$B211+1)*$D211)*O$4*$B$2)</f>
        <v>1734</v>
      </c>
      <c r="O211" s="37">
        <f t="shared" si="372"/>
        <v>171</v>
      </c>
    </row>
    <row r="212" spans="1:15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M212" si="373">(INDEX(F$7:F$22,$B212)*(1-$D212)+INDEX(F$7:F$22,$B212+1)*$D212)*F$4*$B$2</f>
        <v>0</v>
      </c>
      <c r="F212" s="22">
        <f t="shared" si="373"/>
        <v>0</v>
      </c>
      <c r="G212" s="22">
        <f t="shared" si="373"/>
        <v>0</v>
      </c>
      <c r="H212" s="22">
        <f t="shared" si="373"/>
        <v>7.7500000000000013E-2</v>
      </c>
      <c r="I212" s="22">
        <f t="shared" si="373"/>
        <v>2.375E-2</v>
      </c>
      <c r="J212" s="22">
        <f t="shared" si="373"/>
        <v>0</v>
      </c>
      <c r="K212" s="22">
        <f t="shared" si="373"/>
        <v>0.10500000000000001</v>
      </c>
      <c r="L212" s="22">
        <f t="shared" si="373"/>
        <v>7.2500000000000009E-2</v>
      </c>
      <c r="M212" s="22">
        <f t="shared" si="373"/>
        <v>4.8500000000000001E-2</v>
      </c>
      <c r="N212" s="37">
        <f t="shared" ref="N212:O212" si="374">INT((INDEX(O$7:O$22,$B212)*(1-$D212)+INDEX(O$7:O$22,$B212+1)*$D212)*O$4*$B$2)</f>
        <v>1756</v>
      </c>
      <c r="O212" s="37">
        <f t="shared" si="374"/>
        <v>172</v>
      </c>
    </row>
    <row r="213" spans="1:15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M213" si="375">(INDEX(F$7:F$22,$B213)*(1-$D213)+INDEX(F$7:F$22,$B213+1)*$D213)*F$4*$B$2</f>
        <v>0</v>
      </c>
      <c r="F213" s="22">
        <f t="shared" si="375"/>
        <v>0</v>
      </c>
      <c r="G213" s="22">
        <f t="shared" si="375"/>
        <v>0</v>
      </c>
      <c r="H213" s="22">
        <f t="shared" si="375"/>
        <v>7.6249999999999998E-2</v>
      </c>
      <c r="I213" s="22">
        <f t="shared" si="375"/>
        <v>2.4375000000000001E-2</v>
      </c>
      <c r="J213" s="22">
        <f t="shared" si="375"/>
        <v>0</v>
      </c>
      <c r="K213" s="22">
        <f t="shared" si="375"/>
        <v>0.10249999999999999</v>
      </c>
      <c r="L213" s="22">
        <f t="shared" si="375"/>
        <v>7.3749999999999996E-2</v>
      </c>
      <c r="M213" s="22">
        <f t="shared" si="375"/>
        <v>4.9250000000000002E-2</v>
      </c>
      <c r="N213" s="37">
        <f t="shared" ref="N213:O213" si="376">INT((INDEX(O$7:O$22,$B213)*(1-$D213)+INDEX(O$7:O$22,$B213+1)*$D213)*O$4*$B$2)</f>
        <v>1778</v>
      </c>
      <c r="O213" s="37">
        <f t="shared" si="376"/>
        <v>173</v>
      </c>
    </row>
    <row r="214" spans="1:15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M214" si="377">(INDEX(F$7:F$22,$B214)*(1-$D214)+INDEX(F$7:F$22,$B214+1)*$D214)*F$4*$B$2</f>
        <v>0</v>
      </c>
      <c r="F214" s="22">
        <f t="shared" si="377"/>
        <v>0</v>
      </c>
      <c r="G214" s="22">
        <f t="shared" si="377"/>
        <v>0</v>
      </c>
      <c r="H214" s="22">
        <f t="shared" si="377"/>
        <v>7.5000000000000011E-2</v>
      </c>
      <c r="I214" s="22">
        <f t="shared" si="377"/>
        <v>2.5000000000000001E-2</v>
      </c>
      <c r="J214" s="22">
        <f t="shared" si="377"/>
        <v>0</v>
      </c>
      <c r="K214" s="22">
        <f t="shared" si="377"/>
        <v>0.1</v>
      </c>
      <c r="L214" s="22">
        <f t="shared" si="377"/>
        <v>7.5000000000000011E-2</v>
      </c>
      <c r="M214" s="22">
        <f t="shared" si="377"/>
        <v>0.05</v>
      </c>
      <c r="N214" s="37">
        <f t="shared" ref="N214:O214" si="378">INT((INDEX(O$7:O$22,$B214)*(1-$D214)+INDEX(O$7:O$22,$B214+1)*$D214)*O$4*$B$2)</f>
        <v>1800</v>
      </c>
      <c r="O214" s="37">
        <f t="shared" si="378"/>
        <v>175</v>
      </c>
    </row>
    <row r="215" spans="1:15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M215" si="379">(INDEX(F$7:F$22,$B215)*(1-$D215)+INDEX(F$7:F$22,$B215+1)*$D215)*F$4*$B$2</f>
        <v>0</v>
      </c>
      <c r="F215" s="22">
        <f t="shared" si="379"/>
        <v>0</v>
      </c>
      <c r="G215" s="22">
        <f t="shared" si="379"/>
        <v>0</v>
      </c>
      <c r="H215" s="22">
        <f t="shared" si="379"/>
        <v>6.7499999999999991E-2</v>
      </c>
      <c r="I215" s="22">
        <f t="shared" si="379"/>
        <v>3.2499999999999994E-2</v>
      </c>
      <c r="J215" s="22">
        <f t="shared" si="379"/>
        <v>0</v>
      </c>
      <c r="K215" s="22">
        <f t="shared" si="379"/>
        <v>6.9999999999999993E-2</v>
      </c>
      <c r="L215" s="22">
        <f t="shared" si="379"/>
        <v>8.2500000000000004E-2</v>
      </c>
      <c r="M215" s="22">
        <f t="shared" si="379"/>
        <v>6.4999999999999988E-2</v>
      </c>
      <c r="N215" s="37">
        <f t="shared" ref="N215:O215" si="380">INT((INDEX(O$7:O$22,$B215)*(1-$D215)+INDEX(O$7:O$22,$B215+1)*$D215)*O$4*$B$2)</f>
        <v>2010</v>
      </c>
      <c r="O215" s="37">
        <f t="shared" si="380"/>
        <v>182</v>
      </c>
    </row>
    <row r="216" spans="1:15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M216" si="381">(INDEX(F$7:F$22,$B216)*(1-$D216)+INDEX(F$7:F$22,$B216+1)*$D216)*F$4*$B$2</f>
        <v>0</v>
      </c>
      <c r="F216" s="22">
        <f t="shared" si="381"/>
        <v>0</v>
      </c>
      <c r="G216" s="22">
        <f t="shared" si="381"/>
        <v>0</v>
      </c>
      <c r="H216" s="22">
        <f t="shared" si="381"/>
        <v>6.6250000000000017E-2</v>
      </c>
      <c r="I216" s="22">
        <f t="shared" si="381"/>
        <v>3.3750000000000002E-2</v>
      </c>
      <c r="J216" s="22">
        <f t="shared" si="381"/>
        <v>0</v>
      </c>
      <c r="K216" s="22">
        <f t="shared" si="381"/>
        <v>6.5000000000000002E-2</v>
      </c>
      <c r="L216" s="22">
        <f t="shared" si="381"/>
        <v>8.3750000000000005E-2</v>
      </c>
      <c r="M216" s="22">
        <f t="shared" si="381"/>
        <v>6.7500000000000004E-2</v>
      </c>
      <c r="N216" s="37">
        <f t="shared" ref="N216:O216" si="382">INT((INDEX(O$7:O$22,$B216)*(1-$D216)+INDEX(O$7:O$22,$B216+1)*$D216)*O$4*$B$2)</f>
        <v>2045</v>
      </c>
      <c r="O216" s="37">
        <f t="shared" si="382"/>
        <v>183</v>
      </c>
    </row>
    <row r="217" spans="1:15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M217" si="383">(INDEX(F$7:F$22,$B217)*(1-$D217)+INDEX(F$7:F$22,$B217+1)*$D217)*F$4*$B$2</f>
        <v>0</v>
      </c>
      <c r="F217" s="22">
        <f t="shared" si="383"/>
        <v>0</v>
      </c>
      <c r="G217" s="22">
        <f t="shared" si="383"/>
        <v>0</v>
      </c>
      <c r="H217" s="22">
        <f t="shared" si="383"/>
        <v>6.4999999999999988E-2</v>
      </c>
      <c r="I217" s="22">
        <f t="shared" si="383"/>
        <v>3.4999999999999996E-2</v>
      </c>
      <c r="J217" s="22">
        <f t="shared" si="383"/>
        <v>0</v>
      </c>
      <c r="K217" s="22">
        <f t="shared" si="383"/>
        <v>0.06</v>
      </c>
      <c r="L217" s="22">
        <f t="shared" si="383"/>
        <v>8.5000000000000006E-2</v>
      </c>
      <c r="M217" s="22">
        <f t="shared" si="383"/>
        <v>6.9999999999999993E-2</v>
      </c>
      <c r="N217" s="37">
        <f t="shared" ref="N217:O217" si="384">INT((INDEX(O$7:O$22,$B217)*(1-$D217)+INDEX(O$7:O$22,$B217+1)*$D217)*O$4*$B$2)</f>
        <v>2080</v>
      </c>
      <c r="O217" s="37">
        <f t="shared" si="384"/>
        <v>185</v>
      </c>
    </row>
    <row r="218" spans="1:15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M218" si="385">(INDEX(F$7:F$22,$B218)*(1-$D218)+INDEX(F$7:F$22,$B218+1)*$D218)*F$4*$B$2</f>
        <v>0</v>
      </c>
      <c r="F218" s="22">
        <f t="shared" si="385"/>
        <v>0</v>
      </c>
      <c r="G218" s="22">
        <f t="shared" si="385"/>
        <v>0</v>
      </c>
      <c r="H218" s="22">
        <f t="shared" si="385"/>
        <v>6.3750000000000015E-2</v>
      </c>
      <c r="I218" s="22">
        <f t="shared" si="385"/>
        <v>3.6250000000000004E-2</v>
      </c>
      <c r="J218" s="22">
        <f t="shared" si="385"/>
        <v>0</v>
      </c>
      <c r="K218" s="22">
        <f t="shared" si="385"/>
        <v>5.5000000000000007E-2</v>
      </c>
      <c r="L218" s="22">
        <f t="shared" si="385"/>
        <v>8.6250000000000007E-2</v>
      </c>
      <c r="M218" s="22">
        <f t="shared" si="385"/>
        <v>7.2500000000000009E-2</v>
      </c>
      <c r="N218" s="37">
        <f t="shared" ref="N218:O218" si="386">INT((INDEX(O$7:O$22,$B218)*(1-$D218)+INDEX(O$7:O$22,$B218+1)*$D218)*O$4*$B$2)</f>
        <v>2115</v>
      </c>
      <c r="O218" s="37">
        <f t="shared" si="386"/>
        <v>186</v>
      </c>
    </row>
    <row r="219" spans="1:15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M219" si="387">(INDEX(F$7:F$22,$B219)*(1-$D219)+INDEX(F$7:F$22,$B219+1)*$D219)*F$4*$B$2</f>
        <v>0</v>
      </c>
      <c r="F219" s="22">
        <f t="shared" si="387"/>
        <v>0</v>
      </c>
      <c r="G219" s="22">
        <f t="shared" si="387"/>
        <v>0</v>
      </c>
      <c r="H219" s="22">
        <f t="shared" si="387"/>
        <v>6.25E-2</v>
      </c>
      <c r="I219" s="22">
        <f t="shared" si="387"/>
        <v>3.7500000000000006E-2</v>
      </c>
      <c r="J219" s="22">
        <f t="shared" si="387"/>
        <v>0</v>
      </c>
      <c r="K219" s="22">
        <f t="shared" si="387"/>
        <v>0.05</v>
      </c>
      <c r="L219" s="22">
        <f t="shared" si="387"/>
        <v>8.7500000000000008E-2</v>
      </c>
      <c r="M219" s="22">
        <f t="shared" si="387"/>
        <v>7.5000000000000011E-2</v>
      </c>
      <c r="N219" s="37">
        <f t="shared" ref="N219:O219" si="388">INT((INDEX(O$7:O$22,$B219)*(1-$D219)+INDEX(O$7:O$22,$B219+1)*$D219)*O$4*$B$2)</f>
        <v>2150</v>
      </c>
      <c r="O219" s="37">
        <f t="shared" si="388"/>
        <v>187</v>
      </c>
    </row>
    <row r="220" spans="1:15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M220" si="389">(INDEX(F$7:F$22,$B220)*(1-$D220)+INDEX(F$7:F$22,$B220+1)*$D220)*F$4*$B$2</f>
        <v>0</v>
      </c>
      <c r="F220" s="22">
        <f t="shared" si="389"/>
        <v>0</v>
      </c>
      <c r="G220" s="22">
        <f t="shared" si="389"/>
        <v>0</v>
      </c>
      <c r="H220" s="22">
        <f t="shared" si="389"/>
        <v>6.1250000000000006E-2</v>
      </c>
      <c r="I220" s="22">
        <f t="shared" si="389"/>
        <v>3.8750000000000007E-2</v>
      </c>
      <c r="J220" s="22">
        <f t="shared" si="389"/>
        <v>0</v>
      </c>
      <c r="K220" s="22">
        <f t="shared" si="389"/>
        <v>4.4999999999999998E-2</v>
      </c>
      <c r="L220" s="22">
        <f t="shared" si="389"/>
        <v>8.8749999999999996E-2</v>
      </c>
      <c r="M220" s="22">
        <f t="shared" si="389"/>
        <v>7.7500000000000013E-2</v>
      </c>
      <c r="N220" s="37">
        <f t="shared" ref="N220:O220" si="390">INT((INDEX(O$7:O$22,$B220)*(1-$D220)+INDEX(O$7:O$22,$B220+1)*$D220)*O$4*$B$2)</f>
        <v>2185</v>
      </c>
      <c r="O220" s="37">
        <f t="shared" si="390"/>
        <v>188</v>
      </c>
    </row>
    <row r="221" spans="1:15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M221" si="391">(INDEX(F$7:F$22,$B221)*(1-$D221)+INDEX(F$7:F$22,$B221+1)*$D221)*F$4*$B$2</f>
        <v>0</v>
      </c>
      <c r="F221" s="22">
        <f t="shared" si="391"/>
        <v>0</v>
      </c>
      <c r="G221" s="22">
        <f t="shared" si="391"/>
        <v>0</v>
      </c>
      <c r="H221" s="22">
        <f t="shared" si="391"/>
        <v>6.0000000000000012E-2</v>
      </c>
      <c r="I221" s="22">
        <f t="shared" si="391"/>
        <v>4.0000000000000008E-2</v>
      </c>
      <c r="J221" s="22">
        <f t="shared" si="391"/>
        <v>0</v>
      </c>
      <c r="K221" s="22">
        <f t="shared" si="391"/>
        <v>4.0000000000000008E-2</v>
      </c>
      <c r="L221" s="22">
        <f t="shared" si="391"/>
        <v>9.0000000000000011E-2</v>
      </c>
      <c r="M221" s="22">
        <f t="shared" si="391"/>
        <v>8.0000000000000016E-2</v>
      </c>
      <c r="N221" s="37">
        <f t="shared" ref="N221:O221" si="392">INT((INDEX(O$7:O$22,$B221)*(1-$D221)+INDEX(O$7:O$22,$B221+1)*$D221)*O$4*$B$2)</f>
        <v>2220</v>
      </c>
      <c r="O221" s="37">
        <f t="shared" si="392"/>
        <v>190</v>
      </c>
    </row>
    <row r="222" spans="1:15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M222" si="393">(INDEX(F$7:F$22,$B222)*(1-$D222)+INDEX(F$7:F$22,$B222+1)*$D222)*F$4*$B$2</f>
        <v>0</v>
      </c>
      <c r="F222" s="22">
        <f t="shared" si="393"/>
        <v>0</v>
      </c>
      <c r="G222" s="22">
        <f t="shared" si="393"/>
        <v>0</v>
      </c>
      <c r="H222" s="22">
        <f t="shared" si="393"/>
        <v>5.8749999999999997E-2</v>
      </c>
      <c r="I222" s="22">
        <f t="shared" si="393"/>
        <v>4.1250000000000002E-2</v>
      </c>
      <c r="J222" s="22">
        <f t="shared" si="393"/>
        <v>0</v>
      </c>
      <c r="K222" s="22">
        <f t="shared" si="393"/>
        <v>3.4999999999999996E-2</v>
      </c>
      <c r="L222" s="22">
        <f t="shared" si="393"/>
        <v>9.1249999999999998E-2</v>
      </c>
      <c r="M222" s="22">
        <f t="shared" si="393"/>
        <v>8.2500000000000004E-2</v>
      </c>
      <c r="N222" s="37">
        <f t="shared" ref="N222:O222" si="394">INT((INDEX(O$7:O$22,$B222)*(1-$D222)+INDEX(O$7:O$22,$B222+1)*$D222)*O$4*$B$2)</f>
        <v>2255</v>
      </c>
      <c r="O222" s="37">
        <f t="shared" si="394"/>
        <v>191</v>
      </c>
    </row>
    <row r="223" spans="1:15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M223" si="395">(INDEX(F$7:F$22,$B223)*(1-$D223)+INDEX(F$7:F$22,$B223+1)*$D223)*F$4*$B$2</f>
        <v>0</v>
      </c>
      <c r="F223" s="22">
        <f t="shared" si="395"/>
        <v>0</v>
      </c>
      <c r="G223" s="22">
        <f t="shared" si="395"/>
        <v>0</v>
      </c>
      <c r="H223" s="22">
        <f t="shared" si="395"/>
        <v>5.7499999999999996E-2</v>
      </c>
      <c r="I223" s="22">
        <f t="shared" si="395"/>
        <v>4.2500000000000003E-2</v>
      </c>
      <c r="J223" s="22">
        <f t="shared" si="395"/>
        <v>0</v>
      </c>
      <c r="K223" s="22">
        <f t="shared" si="395"/>
        <v>3.0000000000000006E-2</v>
      </c>
      <c r="L223" s="22">
        <f t="shared" si="395"/>
        <v>9.2500000000000013E-2</v>
      </c>
      <c r="M223" s="22">
        <f t="shared" si="395"/>
        <v>8.5000000000000006E-2</v>
      </c>
      <c r="N223" s="37">
        <f t="shared" ref="N223:O223" si="396">INT((INDEX(O$7:O$22,$B223)*(1-$D223)+INDEX(O$7:O$22,$B223+1)*$D223)*O$4*$B$2)</f>
        <v>2290</v>
      </c>
      <c r="O223" s="37">
        <f t="shared" si="396"/>
        <v>192</v>
      </c>
    </row>
    <row r="224" spans="1:15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M224" si="397">(INDEX(F$7:F$22,$B224)*(1-$D224)+INDEX(F$7:F$22,$B224+1)*$D224)*F$4*$B$2</f>
        <v>0</v>
      </c>
      <c r="F224" s="22">
        <f t="shared" si="397"/>
        <v>0</v>
      </c>
      <c r="G224" s="22">
        <f t="shared" si="397"/>
        <v>0</v>
      </c>
      <c r="H224" s="22">
        <f t="shared" si="397"/>
        <v>5.6250000000000001E-2</v>
      </c>
      <c r="I224" s="22">
        <f t="shared" si="397"/>
        <v>4.3750000000000004E-2</v>
      </c>
      <c r="J224" s="22">
        <f t="shared" si="397"/>
        <v>0</v>
      </c>
      <c r="K224" s="22">
        <f t="shared" si="397"/>
        <v>2.5000000000000001E-2</v>
      </c>
      <c r="L224" s="22">
        <f t="shared" si="397"/>
        <v>9.375E-2</v>
      </c>
      <c r="M224" s="22">
        <f t="shared" si="397"/>
        <v>8.7500000000000008E-2</v>
      </c>
      <c r="N224" s="37">
        <f t="shared" ref="N224:O224" si="398">INT((INDEX(O$7:O$22,$B224)*(1-$D224)+INDEX(O$7:O$22,$B224+1)*$D224)*O$4*$B$2)</f>
        <v>2325</v>
      </c>
      <c r="O224" s="37">
        <f t="shared" si="398"/>
        <v>193</v>
      </c>
    </row>
    <row r="225" spans="1:15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M225" si="399">(INDEX(F$7:F$22,$B225)*(1-$D225)+INDEX(F$7:F$22,$B225+1)*$D225)*F$4*$B$2</f>
        <v>0</v>
      </c>
      <c r="F225" s="22">
        <f t="shared" si="399"/>
        <v>0</v>
      </c>
      <c r="G225" s="22">
        <f t="shared" si="399"/>
        <v>0</v>
      </c>
      <c r="H225" s="22">
        <f t="shared" si="399"/>
        <v>5.5000000000000007E-2</v>
      </c>
      <c r="I225" s="22">
        <f t="shared" si="399"/>
        <v>4.5000000000000005E-2</v>
      </c>
      <c r="J225" s="22">
        <f t="shared" si="399"/>
        <v>0</v>
      </c>
      <c r="K225" s="22">
        <f t="shared" si="399"/>
        <v>1.9999999999999997E-2</v>
      </c>
      <c r="L225" s="22">
        <f t="shared" si="399"/>
        <v>9.5000000000000001E-2</v>
      </c>
      <c r="M225" s="22">
        <f t="shared" si="399"/>
        <v>9.0000000000000011E-2</v>
      </c>
      <c r="N225" s="37">
        <f t="shared" ref="N225:O225" si="400">INT((INDEX(O$7:O$22,$B225)*(1-$D225)+INDEX(O$7:O$22,$B225+1)*$D225)*O$4*$B$2)</f>
        <v>2360</v>
      </c>
      <c r="O225" s="37">
        <f t="shared" si="400"/>
        <v>195</v>
      </c>
    </row>
    <row r="226" spans="1:15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M226" si="401">(INDEX(F$7:F$22,$B226)*(1-$D226)+INDEX(F$7:F$22,$B226+1)*$D226)*F$4*$B$2</f>
        <v>0</v>
      </c>
      <c r="F226" s="22">
        <f t="shared" si="401"/>
        <v>0</v>
      </c>
      <c r="G226" s="22">
        <f t="shared" si="401"/>
        <v>0</v>
      </c>
      <c r="H226" s="22">
        <f t="shared" si="401"/>
        <v>5.3749999999999999E-2</v>
      </c>
      <c r="I226" s="22">
        <f t="shared" si="401"/>
        <v>4.6250000000000006E-2</v>
      </c>
      <c r="J226" s="22">
        <f t="shared" si="401"/>
        <v>0</v>
      </c>
      <c r="K226" s="22">
        <f t="shared" si="401"/>
        <v>1.5000000000000003E-2</v>
      </c>
      <c r="L226" s="22">
        <f t="shared" si="401"/>
        <v>9.6250000000000002E-2</v>
      </c>
      <c r="M226" s="22">
        <f t="shared" si="401"/>
        <v>9.2500000000000013E-2</v>
      </c>
      <c r="N226" s="37">
        <f t="shared" ref="N226:O226" si="402">INT((INDEX(O$7:O$22,$B226)*(1-$D226)+INDEX(O$7:O$22,$B226+1)*$D226)*O$4*$B$2)</f>
        <v>2395</v>
      </c>
      <c r="O226" s="37">
        <f t="shared" si="402"/>
        <v>196</v>
      </c>
    </row>
    <row r="227" spans="1:15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M227" si="403">(INDEX(F$7:F$22,$B227)*(1-$D227)+INDEX(F$7:F$22,$B227+1)*$D227)*F$4*$B$2</f>
        <v>0</v>
      </c>
      <c r="F227" s="22">
        <f t="shared" si="403"/>
        <v>0</v>
      </c>
      <c r="G227" s="22">
        <f t="shared" si="403"/>
        <v>0</v>
      </c>
      <c r="H227" s="22">
        <f t="shared" si="403"/>
        <v>5.2500000000000005E-2</v>
      </c>
      <c r="I227" s="22">
        <f t="shared" si="403"/>
        <v>4.7500000000000001E-2</v>
      </c>
      <c r="J227" s="22">
        <f t="shared" si="403"/>
        <v>0</v>
      </c>
      <c r="K227" s="22">
        <f t="shared" si="403"/>
        <v>9.9999999999999985E-3</v>
      </c>
      <c r="L227" s="22">
        <f t="shared" si="403"/>
        <v>9.7500000000000003E-2</v>
      </c>
      <c r="M227" s="22">
        <f t="shared" si="403"/>
        <v>9.5000000000000001E-2</v>
      </c>
      <c r="N227" s="37">
        <f t="shared" ref="N227:O227" si="404">INT((INDEX(O$7:O$22,$B227)*(1-$D227)+INDEX(O$7:O$22,$B227+1)*$D227)*O$4*$B$2)</f>
        <v>2430</v>
      </c>
      <c r="O227" s="37">
        <f t="shared" si="404"/>
        <v>197</v>
      </c>
    </row>
    <row r="228" spans="1:15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M228" si="405">(INDEX(F$7:F$22,$B228)*(1-$D228)+INDEX(F$7:F$22,$B228+1)*$D228)*F$4*$B$2</f>
        <v>0</v>
      </c>
      <c r="F228" s="22">
        <f t="shared" si="405"/>
        <v>0</v>
      </c>
      <c r="G228" s="22">
        <f t="shared" si="405"/>
        <v>0</v>
      </c>
      <c r="H228" s="22">
        <f t="shared" si="405"/>
        <v>5.1249999999999997E-2</v>
      </c>
      <c r="I228" s="22">
        <f t="shared" si="405"/>
        <v>4.8750000000000002E-2</v>
      </c>
      <c r="J228" s="22">
        <f t="shared" si="405"/>
        <v>0</v>
      </c>
      <c r="K228" s="22">
        <f t="shared" si="405"/>
        <v>5.0000000000000044E-3</v>
      </c>
      <c r="L228" s="22">
        <f t="shared" si="405"/>
        <v>9.8750000000000004E-2</v>
      </c>
      <c r="M228" s="22">
        <f t="shared" si="405"/>
        <v>9.7500000000000003E-2</v>
      </c>
      <c r="N228" s="37">
        <f t="shared" ref="N228:O228" si="406">INT((INDEX(O$7:O$22,$B228)*(1-$D228)+INDEX(O$7:O$22,$B228+1)*$D228)*O$4*$B$2)</f>
        <v>2465</v>
      </c>
      <c r="O228" s="37">
        <f t="shared" si="406"/>
        <v>198</v>
      </c>
    </row>
    <row r="229" spans="1:15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M229" si="407">(INDEX(F$7:F$22,$B229)*(1-$D229)+INDEX(F$7:F$22,$B229+1)*$D229)*F$4*$B$2</f>
        <v>0</v>
      </c>
      <c r="F229" s="22">
        <f t="shared" si="407"/>
        <v>0</v>
      </c>
      <c r="G229" s="22">
        <f t="shared" si="407"/>
        <v>0</v>
      </c>
      <c r="H229" s="22">
        <f t="shared" si="407"/>
        <v>0.05</v>
      </c>
      <c r="I229" s="22">
        <f t="shared" si="407"/>
        <v>0.05</v>
      </c>
      <c r="J229" s="22">
        <f t="shared" si="407"/>
        <v>0</v>
      </c>
      <c r="K229" s="22">
        <f t="shared" si="407"/>
        <v>0</v>
      </c>
      <c r="L229" s="22">
        <f t="shared" si="407"/>
        <v>0.1</v>
      </c>
      <c r="M229" s="22">
        <f t="shared" si="407"/>
        <v>0.1</v>
      </c>
      <c r="N229" s="37">
        <f t="shared" ref="N229:O229" si="408">INT((INDEX(O$7:O$22,$B229)*(1-$D229)+INDEX(O$7:O$22,$B229+1)*$D229)*O$4*$B$2)</f>
        <v>2500</v>
      </c>
      <c r="O229" s="37">
        <f t="shared" si="408"/>
        <v>200</v>
      </c>
    </row>
    <row r="230" spans="1:15" x14ac:dyDescent="0.2">
      <c r="N230" s="16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7"/>
  <sheetViews>
    <sheetView topLeftCell="A25" workbookViewId="0">
      <selection activeCell="J59" sqref="J59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0" customWidth="1"/>
    <col min="15" max="15" width="10.125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</cols>
  <sheetData>
    <row r="2" spans="1:12" ht="16.5" x14ac:dyDescent="0.2">
      <c r="G2" s="35" t="s">
        <v>352</v>
      </c>
      <c r="H2" s="35" t="s">
        <v>353</v>
      </c>
      <c r="I2" s="35" t="s">
        <v>354</v>
      </c>
      <c r="J2" s="35" t="s">
        <v>355</v>
      </c>
      <c r="K2" s="35" t="s">
        <v>356</v>
      </c>
      <c r="L2" s="35" t="s">
        <v>357</v>
      </c>
    </row>
    <row r="3" spans="1:12" ht="20.25" x14ac:dyDescent="0.2">
      <c r="A3" s="84" t="s">
        <v>286</v>
      </c>
      <c r="B3" s="84"/>
      <c r="C3" s="84"/>
      <c r="D3" s="84"/>
      <c r="E3" s="84"/>
    </row>
    <row r="4" spans="1:12" ht="17.25" x14ac:dyDescent="0.2">
      <c r="A4" s="12" t="s">
        <v>291</v>
      </c>
      <c r="B4" s="12" t="s">
        <v>287</v>
      </c>
      <c r="C4" s="12" t="s">
        <v>288</v>
      </c>
      <c r="D4" s="12" t="s">
        <v>289</v>
      </c>
      <c r="E4" s="12" t="s">
        <v>290</v>
      </c>
    </row>
    <row r="5" spans="1:12" ht="16.5" x14ac:dyDescent="0.2">
      <c r="A5" s="34" t="s">
        <v>292</v>
      </c>
      <c r="B5" s="20">
        <v>0.5</v>
      </c>
      <c r="C5" s="20">
        <v>0.8</v>
      </c>
      <c r="D5" s="20">
        <v>1</v>
      </c>
      <c r="E5" s="20">
        <v>1.2</v>
      </c>
    </row>
    <row r="6" spans="1:12" ht="16.5" x14ac:dyDescent="0.2">
      <c r="A6" s="34" t="s">
        <v>293</v>
      </c>
      <c r="B6" s="20">
        <v>0.5</v>
      </c>
      <c r="C6" s="20">
        <v>0.8</v>
      </c>
      <c r="D6" s="20">
        <v>1</v>
      </c>
      <c r="E6" s="20">
        <v>1.2</v>
      </c>
    </row>
    <row r="7" spans="1:12" ht="16.5" x14ac:dyDescent="0.2">
      <c r="A7" s="34" t="s">
        <v>294</v>
      </c>
      <c r="B7" s="22">
        <v>1</v>
      </c>
      <c r="C7" s="22">
        <v>1</v>
      </c>
      <c r="D7" s="22">
        <v>1</v>
      </c>
      <c r="E7" s="22">
        <v>1</v>
      </c>
    </row>
    <row r="8" spans="1:12" ht="16.5" x14ac:dyDescent="0.2">
      <c r="A8" s="34" t="s">
        <v>88</v>
      </c>
      <c r="B8" s="22">
        <v>0.5</v>
      </c>
      <c r="C8" s="22">
        <v>0.7</v>
      </c>
      <c r="D8" s="22">
        <v>1</v>
      </c>
      <c r="E8" s="22">
        <v>1.5</v>
      </c>
    </row>
    <row r="11" spans="1:12" x14ac:dyDescent="0.2">
      <c r="A11" s="38" t="s">
        <v>312</v>
      </c>
      <c r="B11">
        <v>20</v>
      </c>
      <c r="C11">
        <v>30</v>
      </c>
      <c r="D11">
        <v>45</v>
      </c>
    </row>
    <row r="12" spans="1:12" ht="17.25" x14ac:dyDescent="0.2">
      <c r="A12" s="12" t="s">
        <v>295</v>
      </c>
      <c r="B12" s="12" t="s">
        <v>296</v>
      </c>
      <c r="C12" s="12" t="s">
        <v>297</v>
      </c>
      <c r="D12" s="12" t="s">
        <v>298</v>
      </c>
      <c r="E12" s="12" t="s">
        <v>299</v>
      </c>
      <c r="F12" s="12" t="s">
        <v>300</v>
      </c>
      <c r="G12" s="12" t="s">
        <v>301</v>
      </c>
      <c r="H12" s="12" t="s">
        <v>475</v>
      </c>
    </row>
    <row r="13" spans="1:12" ht="16.5" x14ac:dyDescent="0.2">
      <c r="A13" s="15">
        <v>1102001</v>
      </c>
      <c r="B13" s="15" t="s">
        <v>313</v>
      </c>
      <c r="C13" s="15">
        <v>4</v>
      </c>
      <c r="D13" s="15">
        <v>45</v>
      </c>
      <c r="E13" s="15">
        <v>1</v>
      </c>
      <c r="F13" s="35" t="s">
        <v>305</v>
      </c>
      <c r="G13" s="35" t="str">
        <f t="shared" ref="G13:G33" si="0">F13&amp;"修身材料"</f>
        <v>土修身材料</v>
      </c>
      <c r="H13" s="49">
        <v>1501001</v>
      </c>
    </row>
    <row r="14" spans="1:12" ht="16.5" x14ac:dyDescent="0.2">
      <c r="A14" s="15">
        <v>1102002</v>
      </c>
      <c r="B14" s="15" t="s">
        <v>314</v>
      </c>
      <c r="C14" s="15">
        <v>3</v>
      </c>
      <c r="D14" s="15">
        <v>30</v>
      </c>
      <c r="E14" s="15">
        <v>1</v>
      </c>
      <c r="F14" s="35" t="s">
        <v>303</v>
      </c>
      <c r="G14" s="35" t="str">
        <f t="shared" si="0"/>
        <v>雷修身材料</v>
      </c>
      <c r="H14" s="49">
        <v>1501002</v>
      </c>
    </row>
    <row r="15" spans="1:12" ht="16.5" x14ac:dyDescent="0.2">
      <c r="A15" s="15">
        <v>1102003</v>
      </c>
      <c r="B15" s="15" t="s">
        <v>315</v>
      </c>
      <c r="C15" s="15">
        <v>3</v>
      </c>
      <c r="D15" s="15">
        <v>30</v>
      </c>
      <c r="E15" s="15">
        <v>2</v>
      </c>
      <c r="F15" s="35" t="s">
        <v>303</v>
      </c>
      <c r="G15" s="35" t="str">
        <f t="shared" si="0"/>
        <v>雷修身材料</v>
      </c>
      <c r="H15" s="49">
        <v>1501003</v>
      </c>
    </row>
    <row r="16" spans="1:12" ht="16.5" x14ac:dyDescent="0.2">
      <c r="A16" s="15">
        <v>1102004</v>
      </c>
      <c r="B16" s="15" t="s">
        <v>316</v>
      </c>
      <c r="C16" s="15">
        <v>2</v>
      </c>
      <c r="D16" s="15">
        <v>20</v>
      </c>
      <c r="E16" s="15">
        <v>2</v>
      </c>
      <c r="F16" s="35" t="s">
        <v>306</v>
      </c>
      <c r="G16" s="35" t="str">
        <f t="shared" si="0"/>
        <v>风修身材料</v>
      </c>
      <c r="H16" s="49">
        <v>1501004</v>
      </c>
    </row>
    <row r="17" spans="1:8" ht="16.5" x14ac:dyDescent="0.2">
      <c r="A17" s="15">
        <v>1102005</v>
      </c>
      <c r="B17" s="15" t="s">
        <v>317</v>
      </c>
      <c r="C17" s="15">
        <v>3</v>
      </c>
      <c r="D17" s="15">
        <v>30</v>
      </c>
      <c r="E17" s="15">
        <v>3</v>
      </c>
      <c r="F17" s="35" t="s">
        <v>303</v>
      </c>
      <c r="G17" s="35" t="str">
        <f t="shared" si="0"/>
        <v>雷修身材料</v>
      </c>
      <c r="H17" s="49">
        <v>1501005</v>
      </c>
    </row>
    <row r="18" spans="1:8" ht="18.75" customHeight="1" x14ac:dyDescent="0.2">
      <c r="A18" s="15">
        <v>1102006</v>
      </c>
      <c r="B18" s="15" t="s">
        <v>318</v>
      </c>
      <c r="C18" s="15">
        <v>4</v>
      </c>
      <c r="D18" s="15">
        <v>45</v>
      </c>
      <c r="E18" s="15">
        <v>2</v>
      </c>
      <c r="F18" s="35" t="s">
        <v>304</v>
      </c>
      <c r="G18" s="35" t="str">
        <f t="shared" si="0"/>
        <v>水修身材料</v>
      </c>
      <c r="H18" s="49">
        <v>1501006</v>
      </c>
    </row>
    <row r="19" spans="1:8" ht="16.5" x14ac:dyDescent="0.2">
      <c r="A19" s="15">
        <v>1102007</v>
      </c>
      <c r="B19" s="15" t="s">
        <v>319</v>
      </c>
      <c r="C19" s="15">
        <v>4</v>
      </c>
      <c r="D19" s="15">
        <v>30</v>
      </c>
      <c r="E19" s="15">
        <v>1</v>
      </c>
      <c r="F19" s="35" t="s">
        <v>306</v>
      </c>
      <c r="G19" s="35" t="str">
        <f t="shared" si="0"/>
        <v>风修身材料</v>
      </c>
      <c r="H19" s="49">
        <v>1501007</v>
      </c>
    </row>
    <row r="20" spans="1:8" ht="16.5" x14ac:dyDescent="0.2">
      <c r="A20" s="15">
        <v>1102008</v>
      </c>
      <c r="B20" s="15" t="s">
        <v>320</v>
      </c>
      <c r="C20" s="15">
        <v>3</v>
      </c>
      <c r="D20" s="15">
        <v>45</v>
      </c>
      <c r="E20" s="15">
        <v>1</v>
      </c>
      <c r="F20" s="35" t="s">
        <v>306</v>
      </c>
      <c r="G20" s="35" t="str">
        <f t="shared" si="0"/>
        <v>风修身材料</v>
      </c>
      <c r="H20" s="49">
        <v>1501008</v>
      </c>
    </row>
    <row r="21" spans="1:8" ht="16.5" x14ac:dyDescent="0.2">
      <c r="A21" s="15">
        <v>1102009</v>
      </c>
      <c r="B21" s="15" t="s">
        <v>321</v>
      </c>
      <c r="C21" s="15">
        <v>4</v>
      </c>
      <c r="D21" s="15">
        <v>45</v>
      </c>
      <c r="E21" s="15">
        <v>2</v>
      </c>
      <c r="F21" s="35" t="s">
        <v>304</v>
      </c>
      <c r="G21" s="35" t="str">
        <f t="shared" si="0"/>
        <v>水修身材料</v>
      </c>
      <c r="H21" s="49">
        <v>1501009</v>
      </c>
    </row>
    <row r="22" spans="1:8" ht="16.5" x14ac:dyDescent="0.2">
      <c r="A22" s="15">
        <v>1102010</v>
      </c>
      <c r="B22" s="15" t="s">
        <v>322</v>
      </c>
      <c r="C22" s="15">
        <v>4</v>
      </c>
      <c r="D22" s="15">
        <v>45</v>
      </c>
      <c r="E22" s="15">
        <v>3</v>
      </c>
      <c r="F22" s="35" t="s">
        <v>307</v>
      </c>
      <c r="G22" s="35" t="str">
        <f t="shared" si="0"/>
        <v>火修身材料</v>
      </c>
      <c r="H22" s="49">
        <v>1501010</v>
      </c>
    </row>
    <row r="23" spans="1:8" ht="16.5" x14ac:dyDescent="0.2">
      <c r="A23" s="15">
        <v>1102011</v>
      </c>
      <c r="B23" s="15" t="s">
        <v>323</v>
      </c>
      <c r="C23" s="15">
        <v>4</v>
      </c>
      <c r="D23" s="15">
        <v>45</v>
      </c>
      <c r="E23" s="15">
        <v>2</v>
      </c>
      <c r="F23" s="35" t="s">
        <v>302</v>
      </c>
      <c r="G23" s="35" t="str">
        <f t="shared" si="0"/>
        <v>火修身材料</v>
      </c>
      <c r="H23" s="49">
        <v>1501011</v>
      </c>
    </row>
    <row r="24" spans="1:8" ht="16.5" x14ac:dyDescent="0.2">
      <c r="A24" s="15">
        <v>1102012</v>
      </c>
      <c r="B24" s="15" t="s">
        <v>324</v>
      </c>
      <c r="C24" s="15">
        <v>4</v>
      </c>
      <c r="D24" s="15">
        <v>45</v>
      </c>
      <c r="E24" s="15">
        <v>1</v>
      </c>
      <c r="F24" s="35" t="s">
        <v>303</v>
      </c>
      <c r="G24" s="35" t="str">
        <f t="shared" si="0"/>
        <v>雷修身材料</v>
      </c>
      <c r="H24" s="49">
        <v>1501012</v>
      </c>
    </row>
    <row r="25" spans="1:8" ht="16.5" x14ac:dyDescent="0.2">
      <c r="A25" s="15">
        <v>1102013</v>
      </c>
      <c r="B25" s="15" t="s">
        <v>325</v>
      </c>
      <c r="C25" s="15">
        <v>2</v>
      </c>
      <c r="D25" s="15">
        <v>20</v>
      </c>
      <c r="E25" s="15">
        <v>3</v>
      </c>
      <c r="F25" s="35" t="s">
        <v>304</v>
      </c>
      <c r="G25" s="35" t="str">
        <f t="shared" si="0"/>
        <v>水修身材料</v>
      </c>
      <c r="H25" s="49">
        <v>1501013</v>
      </c>
    </row>
    <row r="26" spans="1:8" ht="16.5" x14ac:dyDescent="0.2">
      <c r="A26" s="15">
        <v>1102014</v>
      </c>
      <c r="B26" s="15" t="s">
        <v>326</v>
      </c>
      <c r="C26" s="15">
        <v>3</v>
      </c>
      <c r="D26" s="15">
        <v>30</v>
      </c>
      <c r="E26" s="15">
        <v>1</v>
      </c>
      <c r="F26" s="35" t="s">
        <v>305</v>
      </c>
      <c r="G26" s="35" t="str">
        <f t="shared" si="0"/>
        <v>土修身材料</v>
      </c>
      <c r="H26" s="49">
        <v>1501014</v>
      </c>
    </row>
    <row r="27" spans="1:8" ht="16.5" x14ac:dyDescent="0.2">
      <c r="A27" s="15">
        <v>1102015</v>
      </c>
      <c r="B27" s="15" t="s">
        <v>327</v>
      </c>
      <c r="C27" s="15">
        <v>2</v>
      </c>
      <c r="D27" s="15">
        <v>20</v>
      </c>
      <c r="E27" s="15">
        <v>1</v>
      </c>
      <c r="F27" s="35" t="s">
        <v>302</v>
      </c>
      <c r="G27" s="35" t="str">
        <f t="shared" si="0"/>
        <v>火修身材料</v>
      </c>
      <c r="H27" s="49">
        <v>1501015</v>
      </c>
    </row>
    <row r="28" spans="1:8" ht="16.5" x14ac:dyDescent="0.2">
      <c r="A28" s="15">
        <v>1102016</v>
      </c>
      <c r="B28" s="15" t="s">
        <v>328</v>
      </c>
      <c r="C28" s="15">
        <v>4</v>
      </c>
      <c r="D28" s="15">
        <v>45</v>
      </c>
      <c r="E28" s="15">
        <v>2</v>
      </c>
      <c r="F28" s="35" t="s">
        <v>308</v>
      </c>
      <c r="G28" s="35" t="str">
        <f t="shared" si="0"/>
        <v>火修身材料</v>
      </c>
      <c r="H28" s="49">
        <v>1501016</v>
      </c>
    </row>
    <row r="29" spans="1:8" ht="16.5" x14ac:dyDescent="0.2">
      <c r="A29" s="15">
        <v>1102017</v>
      </c>
      <c r="B29" s="15" t="s">
        <v>329</v>
      </c>
      <c r="C29" s="15">
        <v>3</v>
      </c>
      <c r="D29" s="15">
        <v>30</v>
      </c>
      <c r="E29" s="15">
        <v>3</v>
      </c>
      <c r="F29" s="35" t="s">
        <v>309</v>
      </c>
      <c r="G29" s="35" t="str">
        <f t="shared" si="0"/>
        <v>雷修身材料</v>
      </c>
      <c r="H29" s="49">
        <v>1501017</v>
      </c>
    </row>
    <row r="30" spans="1:8" ht="16.5" x14ac:dyDescent="0.2">
      <c r="A30" s="15">
        <v>1102018</v>
      </c>
      <c r="B30" s="15" t="s">
        <v>330</v>
      </c>
      <c r="C30" s="15">
        <v>3</v>
      </c>
      <c r="D30" s="15">
        <v>20</v>
      </c>
      <c r="E30" s="15">
        <v>2</v>
      </c>
      <c r="F30" s="35" t="s">
        <v>310</v>
      </c>
      <c r="G30" s="35" t="str">
        <f t="shared" si="0"/>
        <v>风修身材料</v>
      </c>
      <c r="H30" s="49">
        <v>1501018</v>
      </c>
    </row>
    <row r="31" spans="1:8" ht="16.5" x14ac:dyDescent="0.2">
      <c r="A31" s="15">
        <v>1102019</v>
      </c>
      <c r="B31" s="15" t="s">
        <v>331</v>
      </c>
      <c r="C31" s="15">
        <v>3</v>
      </c>
      <c r="D31" s="15">
        <v>20</v>
      </c>
      <c r="E31" s="15">
        <v>1</v>
      </c>
      <c r="F31" s="35" t="s">
        <v>304</v>
      </c>
      <c r="G31" s="35" t="str">
        <f t="shared" si="0"/>
        <v>水修身材料</v>
      </c>
      <c r="H31" s="49">
        <v>1501019</v>
      </c>
    </row>
    <row r="32" spans="1:8" ht="16.5" x14ac:dyDescent="0.2">
      <c r="A32" s="15">
        <v>1102020</v>
      </c>
      <c r="B32" s="15" t="s">
        <v>332</v>
      </c>
      <c r="C32" s="15">
        <v>3</v>
      </c>
      <c r="D32" s="15">
        <v>30</v>
      </c>
      <c r="E32" s="15">
        <v>2</v>
      </c>
      <c r="F32" s="35" t="s">
        <v>311</v>
      </c>
      <c r="G32" s="35" t="str">
        <f t="shared" si="0"/>
        <v>火修身材料</v>
      </c>
      <c r="H32" s="49">
        <v>1501020</v>
      </c>
    </row>
    <row r="33" spans="1:24" ht="16.5" x14ac:dyDescent="0.2">
      <c r="A33" s="15">
        <v>1102021</v>
      </c>
      <c r="B33" s="15" t="s">
        <v>333</v>
      </c>
      <c r="C33" s="15">
        <v>2</v>
      </c>
      <c r="D33" s="15">
        <v>20</v>
      </c>
      <c r="E33" s="15">
        <v>2</v>
      </c>
      <c r="F33" s="35" t="s">
        <v>305</v>
      </c>
      <c r="G33" s="35" t="str">
        <f t="shared" si="0"/>
        <v>土修身材料</v>
      </c>
      <c r="H33" s="49">
        <v>1501021</v>
      </c>
    </row>
    <row r="35" spans="1:24" ht="20.25" x14ac:dyDescent="0.2">
      <c r="I35" s="84" t="s">
        <v>342</v>
      </c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X35" t="s">
        <v>362</v>
      </c>
    </row>
    <row r="36" spans="1:24" ht="17.25" x14ac:dyDescent="0.2">
      <c r="I36" s="12" t="s">
        <v>334</v>
      </c>
      <c r="J36" s="12" t="s">
        <v>335</v>
      </c>
      <c r="K36" s="12" t="s">
        <v>336</v>
      </c>
      <c r="L36" s="12" t="s">
        <v>337</v>
      </c>
      <c r="M36" s="12" t="s">
        <v>299</v>
      </c>
      <c r="N36" s="12" t="s">
        <v>360</v>
      </c>
      <c r="O36" s="12" t="s">
        <v>361</v>
      </c>
      <c r="P36" s="12" t="s">
        <v>338</v>
      </c>
      <c r="Q36" s="12" t="s">
        <v>339</v>
      </c>
      <c r="R36" s="12" t="s">
        <v>340</v>
      </c>
      <c r="S36" s="12" t="s">
        <v>341</v>
      </c>
      <c r="T36" s="12" t="s">
        <v>359</v>
      </c>
      <c r="U36" s="12" t="s">
        <v>339</v>
      </c>
    </row>
    <row r="37" spans="1:24" ht="16.5" x14ac:dyDescent="0.2">
      <c r="I37" s="35">
        <v>1</v>
      </c>
      <c r="J37" s="15">
        <f t="shared" ref="J37:J100" si="1">INDEX($A$13:$A$33,INT((I37-1)/21)+1)</f>
        <v>1102001</v>
      </c>
      <c r="K37" s="15">
        <f t="shared" ref="K37:K100" si="2">VLOOKUP(J37,$A$13:$D$33,3)</f>
        <v>4</v>
      </c>
      <c r="L37" s="15">
        <f>MOD((I37-1),21)+1</f>
        <v>1</v>
      </c>
      <c r="M37" s="15" t="str">
        <f t="shared" ref="M37:M100" si="3">INDEX($J$2:$L$2,INDEX($E$13:$E$33,INT((I37-1)/21)+1))</f>
        <v>红</v>
      </c>
      <c r="N37" s="15" t="str">
        <f>IF(L37&gt;1,"金币","")</f>
        <v/>
      </c>
      <c r="O37" s="15" t="str">
        <f>IF(L37&gt;1,INDEX(挂机升级突破!$AI$35:$AI$55,卡牌消耗!L37),"")</f>
        <v/>
      </c>
      <c r="P37" s="15" t="str">
        <f>IF(L37&gt;1,INDEX(价值概述!$A$4:$A$8,INDEX(挂机升级突破!$W$35:$W$55,卡牌消耗!L37)),"")</f>
        <v/>
      </c>
      <c r="Q37" s="15" t="str">
        <f>IF(L37&gt;1,INDEX(挂机升级突破!$Z$35:$AD$55,卡牌消耗!L37,INDEX(挂机升级突破!$W$35:$W$55,卡牌消耗!L37)),"")</f>
        <v/>
      </c>
      <c r="R37" s="15" t="str">
        <f>IF(INDEX(挂机升级突破!$X$35:$X$55,卡牌消耗!L37)&gt;0,INDEX($G$2:$I$2,INDEX(挂机升级突破!$X$35:$X$55,卡牌消耗!L37))&amp;M37,"")</f>
        <v/>
      </c>
      <c r="S37" s="15" t="str">
        <f>IF(R37="","",INDEX(挂机升级突破!$AE$35:$AG$55,卡牌消耗!L37,INDEX(挂机升级突破!$X$35:$X$55,卡牌消耗!L37)))</f>
        <v/>
      </c>
      <c r="T37" s="15" t="str">
        <f>IF(INDEX(挂机升级突破!$Y$35:$Y$55,卡牌消耗!L37)&gt;0,"灵玉","")</f>
        <v/>
      </c>
      <c r="U37" s="15" t="str">
        <f>IF(INDEX(挂机升级突破!$Y$35:$Y$55,卡牌消耗!L37)&gt;0,INDEX(挂机升级突破!$AH$35:$AH$55,卡牌消耗!L37),"")</f>
        <v/>
      </c>
    </row>
    <row r="38" spans="1:24" ht="16.5" x14ac:dyDescent="0.2">
      <c r="I38" s="35">
        <v>2</v>
      </c>
      <c r="J38" s="15">
        <f t="shared" si="1"/>
        <v>1102001</v>
      </c>
      <c r="K38" s="15">
        <f t="shared" si="2"/>
        <v>4</v>
      </c>
      <c r="L38" s="15">
        <f t="shared" ref="L38:L101" si="4">MOD((I38-1),21)+1</f>
        <v>2</v>
      </c>
      <c r="M38" s="15" t="str">
        <f t="shared" si="3"/>
        <v>红</v>
      </c>
      <c r="N38" s="15" t="str">
        <f t="shared" ref="N38:N101" si="5">IF(L38&gt;1,"金币","")</f>
        <v>金币</v>
      </c>
      <c r="O38" s="15">
        <f>IF(L38&gt;1,INDEX(挂机升级突破!$AI$35:$AI$55,卡牌消耗!L38),"")</f>
        <v>2500</v>
      </c>
      <c r="P38" s="15" t="str">
        <f>IF(L38&gt;1,INDEX(价值概述!$A$4:$A$8,INDEX(挂机升级突破!$W$35:$W$55,卡牌消耗!L38)),"")</f>
        <v>绿色基础材料</v>
      </c>
      <c r="Q38" s="15">
        <f>IF(L38&gt;1,INDEX(挂机升级突破!$Z$35:$AD$55,卡牌消耗!L38,INDEX(挂机升级突破!$W$35:$W$55,卡牌消耗!L38)),"")</f>
        <v>10</v>
      </c>
      <c r="R38" s="15" t="str">
        <f>IF(INDEX(挂机升级突破!$X$35:$X$55,卡牌消耗!L38)&gt;0,INDEX($G$2:$I$2,INDEX(挂机升级突破!$X$35:$X$55,卡牌消耗!L38))&amp;M38,"")</f>
        <v/>
      </c>
      <c r="S38" s="15" t="str">
        <f>IF(R38="","",INDEX(挂机升级突破!$AE$35:$AG$55,卡牌消耗!L38,INDEX(挂机升级突破!$X$35:$X$55,卡牌消耗!L38)))</f>
        <v/>
      </c>
      <c r="T38" s="15" t="str">
        <f>IF(INDEX(挂机升级突破!$Y$35:$Y$55,卡牌消耗!L38)&gt;0,"灵玉","")</f>
        <v/>
      </c>
      <c r="U38" s="15" t="str">
        <f>IF(INDEX(挂机升级突破!$Y$35:$Y$55,卡牌消耗!L38)&gt;0,INDEX(挂机升级突破!$AH$35:$AH$55,卡牌消耗!L38),"")</f>
        <v/>
      </c>
    </row>
    <row r="39" spans="1:24" ht="16.5" x14ac:dyDescent="0.2">
      <c r="I39" s="35">
        <v>3</v>
      </c>
      <c r="J39" s="15">
        <f t="shared" si="1"/>
        <v>1102001</v>
      </c>
      <c r="K39" s="15">
        <f t="shared" si="2"/>
        <v>4</v>
      </c>
      <c r="L39" s="15">
        <f t="shared" si="4"/>
        <v>3</v>
      </c>
      <c r="M39" s="15" t="str">
        <f t="shared" si="3"/>
        <v>红</v>
      </c>
      <c r="N39" s="15" t="str">
        <f t="shared" si="5"/>
        <v>金币</v>
      </c>
      <c r="O39" s="15">
        <f>IF(L39&gt;1,INDEX(挂机升级突破!$AI$35:$AI$55,卡牌消耗!L39),"")</f>
        <v>8000</v>
      </c>
      <c r="P39" s="15" t="str">
        <f>IF(L39&gt;1,INDEX(价值概述!$A$4:$A$8,INDEX(挂机升级突破!$W$35:$W$55,卡牌消耗!L39)),"")</f>
        <v>绿色基础材料</v>
      </c>
      <c r="Q39" s="15">
        <f>IF(L39&gt;1,INDEX(挂机升级突破!$Z$35:$AD$55,卡牌消耗!L39,INDEX(挂机升级突破!$W$35:$W$55,卡牌消耗!L39)),"")</f>
        <v>40</v>
      </c>
      <c r="R39" s="15" t="str">
        <f>IF(INDEX(挂机升级突破!$X$35:$X$55,卡牌消耗!L39)&gt;0,INDEX($G$2:$I$2,INDEX(挂机升级突破!$X$35:$X$55,卡牌消耗!L39))&amp;M39,"")</f>
        <v/>
      </c>
      <c r="S39" s="15" t="str">
        <f>IF(R39="","",INDEX(挂机升级突破!$AE$35:$AG$55,卡牌消耗!L39,INDEX(挂机升级突破!$X$35:$X$55,卡牌消耗!L39)))</f>
        <v/>
      </c>
      <c r="T39" s="15" t="str">
        <f>IF(INDEX(挂机升级突破!$Y$35:$Y$55,卡牌消耗!L39)&gt;0,"灵玉","")</f>
        <v/>
      </c>
      <c r="U39" s="15" t="str">
        <f>IF(INDEX(挂机升级突破!$Y$35:$Y$55,卡牌消耗!L39)&gt;0,INDEX(挂机升级突破!$AH$35:$AH$55,卡牌消耗!L39),"")</f>
        <v/>
      </c>
    </row>
    <row r="40" spans="1:24" ht="16.5" x14ac:dyDescent="0.2">
      <c r="I40" s="35">
        <v>4</v>
      </c>
      <c r="J40" s="15">
        <f t="shared" si="1"/>
        <v>1102001</v>
      </c>
      <c r="K40" s="15">
        <f t="shared" si="2"/>
        <v>4</v>
      </c>
      <c r="L40" s="15">
        <f t="shared" si="4"/>
        <v>4</v>
      </c>
      <c r="M40" s="15" t="str">
        <f t="shared" si="3"/>
        <v>红</v>
      </c>
      <c r="N40" s="15" t="str">
        <f t="shared" si="5"/>
        <v>金币</v>
      </c>
      <c r="O40" s="15">
        <f>IF(L40&gt;1,INDEX(挂机升级突破!$AI$35:$AI$55,卡牌消耗!L40),"")</f>
        <v>16500</v>
      </c>
      <c r="P40" s="15" t="str">
        <f>IF(L40&gt;1,INDEX(价值概述!$A$4:$A$8,INDEX(挂机升级突破!$W$35:$W$55,卡牌消耗!L40)),"")</f>
        <v>绿色基础材料</v>
      </c>
      <c r="Q40" s="15">
        <f>IF(L40&gt;1,INDEX(挂机升级突破!$Z$35:$AD$55,卡牌消耗!L40,INDEX(挂机升级突破!$W$35:$W$55,卡牌消耗!L40)),"")</f>
        <v>80</v>
      </c>
      <c r="R40" s="15" t="str">
        <f>IF(INDEX(挂机升级突破!$X$35:$X$55,卡牌消耗!L40)&gt;0,INDEX($G$2:$I$2,INDEX(挂机升级突破!$X$35:$X$55,卡牌消耗!L40))&amp;M40,"")</f>
        <v>初级红</v>
      </c>
      <c r="S40" s="15">
        <f>IF(R40="","",INDEX(挂机升级突破!$AE$35:$AG$55,卡牌消耗!L40,INDEX(挂机升级突破!$X$35:$X$55,卡牌消耗!L40)))</f>
        <v>40</v>
      </c>
      <c r="T40" s="15" t="str">
        <f>IF(INDEX(挂机升级突破!$Y$35:$Y$55,卡牌消耗!L40)&gt;0,"灵玉","")</f>
        <v/>
      </c>
      <c r="U40" s="15" t="str">
        <f>IF(INDEX(挂机升级突破!$Y$35:$Y$55,卡牌消耗!L40)&gt;0,INDEX(挂机升级突破!$AH$35:$AH$55,卡牌消耗!L40),"")</f>
        <v/>
      </c>
    </row>
    <row r="41" spans="1:24" ht="16.5" x14ac:dyDescent="0.2">
      <c r="I41" s="35">
        <v>5</v>
      </c>
      <c r="J41" s="15">
        <f t="shared" si="1"/>
        <v>1102001</v>
      </c>
      <c r="K41" s="15">
        <f t="shared" si="2"/>
        <v>4</v>
      </c>
      <c r="L41" s="15">
        <f t="shared" si="4"/>
        <v>5</v>
      </c>
      <c r="M41" s="15" t="str">
        <f t="shared" si="3"/>
        <v>红</v>
      </c>
      <c r="N41" s="15" t="str">
        <f t="shared" si="5"/>
        <v>金币</v>
      </c>
      <c r="O41" s="15">
        <f>IF(L41&gt;1,INDEX(挂机升级突破!$AI$35:$AI$55,卡牌消耗!L41),"")</f>
        <v>22500</v>
      </c>
      <c r="P41" s="15" t="str">
        <f>IF(L41&gt;1,INDEX(价值概述!$A$4:$A$8,INDEX(挂机升级突破!$W$35:$W$55,卡牌消耗!L41)),"")</f>
        <v>蓝色基础材料</v>
      </c>
      <c r="Q41" s="15">
        <f>IF(L41&gt;1,INDEX(挂机升级突破!$Z$35:$AD$55,卡牌消耗!L41,INDEX(挂机升级突破!$W$35:$W$55,卡牌消耗!L41)),"")</f>
        <v>35</v>
      </c>
      <c r="R41" s="15" t="str">
        <f>IF(INDEX(挂机升级突破!$X$35:$X$55,卡牌消耗!L41)&gt;0,INDEX($G$2:$I$2,INDEX(挂机升级突破!$X$35:$X$55,卡牌消耗!L41))&amp;M41,"")</f>
        <v>初级红</v>
      </c>
      <c r="S41" s="15">
        <f>IF(R41="","",INDEX(挂机升级突破!$AE$35:$AG$55,卡牌消耗!L41,INDEX(挂机升级突破!$X$35:$X$55,卡牌消耗!L41)))</f>
        <v>65</v>
      </c>
      <c r="T41" s="15" t="str">
        <f>IF(INDEX(挂机升级突破!$Y$35:$Y$55,卡牌消耗!L41)&gt;0,"灵玉","")</f>
        <v/>
      </c>
      <c r="U41" s="15" t="str">
        <f>IF(INDEX(挂机升级突破!$Y$35:$Y$55,卡牌消耗!L41)&gt;0,INDEX(挂机升级突破!$AH$35:$AH$55,卡牌消耗!L41),"")</f>
        <v/>
      </c>
    </row>
    <row r="42" spans="1:24" ht="16.5" x14ac:dyDescent="0.2">
      <c r="I42" s="35">
        <v>6</v>
      </c>
      <c r="J42" s="15">
        <f t="shared" si="1"/>
        <v>1102001</v>
      </c>
      <c r="K42" s="15">
        <f t="shared" si="2"/>
        <v>4</v>
      </c>
      <c r="L42" s="15">
        <f t="shared" si="4"/>
        <v>6</v>
      </c>
      <c r="M42" s="15" t="str">
        <f t="shared" si="3"/>
        <v>红</v>
      </c>
      <c r="N42" s="15" t="str">
        <f t="shared" si="5"/>
        <v>金币</v>
      </c>
      <c r="O42" s="15">
        <f>IF(L42&gt;1,INDEX(挂机升级突破!$AI$35:$AI$55,卡牌消耗!L42),"")</f>
        <v>53000</v>
      </c>
      <c r="P42" s="15" t="str">
        <f>IF(L42&gt;1,INDEX(价值概述!$A$4:$A$8,INDEX(挂机升级突破!$W$35:$W$55,卡牌消耗!L42)),"")</f>
        <v>蓝色基础材料</v>
      </c>
      <c r="Q42" s="15">
        <f>IF(L42&gt;1,INDEX(挂机升级突破!$Z$35:$AD$55,卡牌消耗!L42,INDEX(挂机升级突破!$W$35:$W$55,卡牌消耗!L42)),"")</f>
        <v>70</v>
      </c>
      <c r="R42" s="15" t="str">
        <f>IF(INDEX(挂机升级突破!$X$35:$X$55,卡牌消耗!L42)&gt;0,INDEX($G$2:$I$2,INDEX(挂机升级突破!$X$35:$X$55,卡牌消耗!L42))&amp;M42,"")</f>
        <v>初级红</v>
      </c>
      <c r="S42" s="15">
        <f>IF(R42="","",INDEX(挂机升级突破!$AE$35:$AG$55,卡牌消耗!L42,INDEX(挂机升级突破!$X$35:$X$55,卡牌消耗!L42)))</f>
        <v>85</v>
      </c>
      <c r="T42" s="15" t="str">
        <f>IF(INDEX(挂机升级突破!$Y$35:$Y$55,卡牌消耗!L42)&gt;0,"灵玉","")</f>
        <v/>
      </c>
      <c r="U42" s="15" t="str">
        <f>IF(INDEX(挂机升级突破!$Y$35:$Y$55,卡牌消耗!L42)&gt;0,INDEX(挂机升级突破!$AH$35:$AH$55,卡牌消耗!L42),"")</f>
        <v/>
      </c>
    </row>
    <row r="43" spans="1:24" ht="16.5" x14ac:dyDescent="0.2">
      <c r="I43" s="35">
        <v>7</v>
      </c>
      <c r="J43" s="15">
        <f t="shared" si="1"/>
        <v>1102001</v>
      </c>
      <c r="K43" s="15">
        <f t="shared" si="2"/>
        <v>4</v>
      </c>
      <c r="L43" s="15">
        <f t="shared" si="4"/>
        <v>7</v>
      </c>
      <c r="M43" s="15" t="str">
        <f t="shared" si="3"/>
        <v>红</v>
      </c>
      <c r="N43" s="15" t="str">
        <f t="shared" si="5"/>
        <v>金币</v>
      </c>
      <c r="O43" s="15">
        <f>IF(L43&gt;1,INDEX(挂机升级突破!$AI$35:$AI$55,卡牌消耗!L43),"")</f>
        <v>59500</v>
      </c>
      <c r="P43" s="15" t="str">
        <f>IF(L43&gt;1,INDEX(价值概述!$A$4:$A$8,INDEX(挂机升级突破!$W$35:$W$55,卡牌消耗!L43)),"")</f>
        <v>蓝色基础材料</v>
      </c>
      <c r="Q43" s="15">
        <f>IF(L43&gt;1,INDEX(挂机升级突破!$Z$35:$AD$55,卡牌消耗!L43,INDEX(挂机升级突破!$W$35:$W$55,卡牌消耗!L43)),"")</f>
        <v>110</v>
      </c>
      <c r="R43" s="15" t="str">
        <f>IF(INDEX(挂机升级突破!$X$35:$X$55,卡牌消耗!L43)&gt;0,INDEX($G$2:$I$2,INDEX(挂机升级突破!$X$35:$X$55,卡牌消耗!L43))&amp;M43,"")</f>
        <v>初级红</v>
      </c>
      <c r="S43" s="15">
        <f>IF(R43="","",INDEX(挂机升级突破!$AE$35:$AG$55,卡牌消耗!L43,INDEX(挂机升级突破!$X$35:$X$55,卡牌消耗!L43)))</f>
        <v>110</v>
      </c>
      <c r="T43" s="15" t="str">
        <f>IF(INDEX(挂机升级突破!$Y$35:$Y$55,卡牌消耗!L43)&gt;0,"灵玉","")</f>
        <v/>
      </c>
      <c r="U43" s="15" t="str">
        <f>IF(INDEX(挂机升级突破!$Y$35:$Y$55,卡牌消耗!L43)&gt;0,INDEX(挂机升级突破!$AH$35:$AH$55,卡牌消耗!L43),"")</f>
        <v/>
      </c>
    </row>
    <row r="44" spans="1:24" ht="16.5" x14ac:dyDescent="0.2">
      <c r="I44" s="35">
        <v>8</v>
      </c>
      <c r="J44" s="15">
        <f t="shared" si="1"/>
        <v>1102001</v>
      </c>
      <c r="K44" s="15">
        <f t="shared" si="2"/>
        <v>4</v>
      </c>
      <c r="L44" s="15">
        <f t="shared" si="4"/>
        <v>8</v>
      </c>
      <c r="M44" s="15" t="str">
        <f t="shared" si="3"/>
        <v>红</v>
      </c>
      <c r="N44" s="15" t="str">
        <f t="shared" si="5"/>
        <v>金币</v>
      </c>
      <c r="O44" s="15">
        <f>IF(L44&gt;1,INDEX(挂机升级突破!$AI$35:$AI$55,卡牌消耗!L44),"")</f>
        <v>65500</v>
      </c>
      <c r="P44" s="15" t="str">
        <f>IF(L44&gt;1,INDEX(价值概述!$A$4:$A$8,INDEX(挂机升级突破!$W$35:$W$55,卡牌消耗!L44)),"")</f>
        <v>蓝色基础材料</v>
      </c>
      <c r="Q44" s="15">
        <f>IF(L44&gt;1,INDEX(挂机升级突破!$Z$35:$AD$55,卡牌消耗!L44,INDEX(挂机升级突破!$W$35:$W$55,卡牌消耗!L44)),"")</f>
        <v>145</v>
      </c>
      <c r="R44" s="15" t="str">
        <f>IF(INDEX(挂机升级突破!$X$35:$X$55,卡牌消耗!L44)&gt;0,INDEX($G$2:$I$2,INDEX(挂机升级突破!$X$35:$X$55,卡牌消耗!L44))&amp;M44,"")</f>
        <v>初级红</v>
      </c>
      <c r="S44" s="15">
        <f>IF(R44="","",INDEX(挂机升级突破!$AE$35:$AG$55,卡牌消耗!L44,INDEX(挂机升级突破!$X$35:$X$55,卡牌消耗!L44)))</f>
        <v>130</v>
      </c>
      <c r="T44" s="15" t="str">
        <f>IF(INDEX(挂机升级突破!$Y$35:$Y$55,卡牌消耗!L44)&gt;0,"灵玉","")</f>
        <v/>
      </c>
      <c r="U44" s="15" t="str">
        <f>IF(INDEX(挂机升级突破!$Y$35:$Y$55,卡牌消耗!L44)&gt;0,INDEX(挂机升级突破!$AH$35:$AH$55,卡牌消耗!L44),"")</f>
        <v/>
      </c>
    </row>
    <row r="45" spans="1:24" ht="16.5" x14ac:dyDescent="0.2">
      <c r="I45" s="35">
        <v>9</v>
      </c>
      <c r="J45" s="15">
        <f t="shared" si="1"/>
        <v>1102001</v>
      </c>
      <c r="K45" s="15">
        <f t="shared" si="2"/>
        <v>4</v>
      </c>
      <c r="L45" s="15">
        <f t="shared" si="4"/>
        <v>9</v>
      </c>
      <c r="M45" s="15" t="str">
        <f t="shared" si="3"/>
        <v>红</v>
      </c>
      <c r="N45" s="15" t="str">
        <f t="shared" si="5"/>
        <v>金币</v>
      </c>
      <c r="O45" s="15">
        <f>IF(L45&gt;1,INDEX(挂机升级突破!$AI$35:$AI$55,卡牌消耗!L45),"")</f>
        <v>76000</v>
      </c>
      <c r="P45" s="15" t="str">
        <f>IF(L45&gt;1,INDEX(价值概述!$A$4:$A$8,INDEX(挂机升级突破!$W$35:$W$55,卡牌消耗!L45)),"")</f>
        <v>紫色基础材料</v>
      </c>
      <c r="Q45" s="15">
        <f>IF(L45&gt;1,INDEX(挂机升级突破!$Z$35:$AD$55,卡牌消耗!L45,INDEX(挂机升级突破!$W$35:$W$55,卡牌消耗!L45)),"")</f>
        <v>70</v>
      </c>
      <c r="R45" s="15" t="str">
        <f>IF(INDEX(挂机升级突破!$X$35:$X$55,卡牌消耗!L45)&gt;0,INDEX($G$2:$I$2,INDEX(挂机升级突破!$X$35:$X$55,卡牌消耗!L45))&amp;M45,"")</f>
        <v>中级红</v>
      </c>
      <c r="S45" s="15">
        <f>IF(R45="","",INDEX(挂机升级突破!$AE$35:$AG$55,卡牌消耗!L45,INDEX(挂机升级突破!$X$35:$X$55,卡牌消耗!L45)))</f>
        <v>55</v>
      </c>
      <c r="T45" s="15" t="str">
        <f>IF(INDEX(挂机升级突破!$Y$35:$Y$55,卡牌消耗!L45)&gt;0,"灵玉","")</f>
        <v/>
      </c>
      <c r="U45" s="15" t="str">
        <f>IF(INDEX(挂机升级突破!$Y$35:$Y$55,卡牌消耗!L45)&gt;0,INDEX(挂机升级突破!$AH$35:$AH$55,卡牌消耗!L45),"")</f>
        <v/>
      </c>
    </row>
    <row r="46" spans="1:24" ht="16.5" x14ac:dyDescent="0.2">
      <c r="I46" s="35">
        <v>10</v>
      </c>
      <c r="J46" s="15">
        <f t="shared" si="1"/>
        <v>1102001</v>
      </c>
      <c r="K46" s="15">
        <f t="shared" si="2"/>
        <v>4</v>
      </c>
      <c r="L46" s="15">
        <f t="shared" si="4"/>
        <v>10</v>
      </c>
      <c r="M46" s="15" t="str">
        <f t="shared" si="3"/>
        <v>红</v>
      </c>
      <c r="N46" s="15" t="str">
        <f t="shared" si="5"/>
        <v>金币</v>
      </c>
      <c r="O46" s="15">
        <f>IF(L46&gt;1,INDEX(挂机升级突破!$AI$35:$AI$55,卡牌消耗!L46),"")</f>
        <v>83000</v>
      </c>
      <c r="P46" s="15" t="str">
        <f>IF(L46&gt;1,INDEX(价值概述!$A$4:$A$8,INDEX(挂机升级突破!$W$35:$W$55,卡牌消耗!L46)),"")</f>
        <v>紫色基础材料</v>
      </c>
      <c r="Q46" s="15">
        <f>IF(L46&gt;1,INDEX(挂机升级突破!$Z$35:$AD$55,卡牌消耗!L46,INDEX(挂机升级突破!$W$35:$W$55,卡牌消耗!L46)),"")</f>
        <v>140</v>
      </c>
      <c r="R46" s="15" t="str">
        <f>IF(INDEX(挂机升级突破!$X$35:$X$55,卡牌消耗!L46)&gt;0,INDEX($G$2:$I$2,INDEX(挂机升级突破!$X$35:$X$55,卡牌消耗!L46))&amp;M46,"")</f>
        <v>中级红</v>
      </c>
      <c r="S46" s="15">
        <f>IF(R46="","",INDEX(挂机升级突破!$AE$35:$AG$55,卡牌消耗!L46,INDEX(挂机升级突破!$X$35:$X$55,卡牌消耗!L46)))</f>
        <v>95</v>
      </c>
      <c r="T46" s="15" t="str">
        <f>IF(INDEX(挂机升级突破!$Y$35:$Y$55,卡牌消耗!L46)&gt;0,"灵玉","")</f>
        <v/>
      </c>
      <c r="U46" s="15" t="str">
        <f>IF(INDEX(挂机升级突破!$Y$35:$Y$55,卡牌消耗!L46)&gt;0,INDEX(挂机升级突破!$AH$35:$AH$55,卡牌消耗!L46),"")</f>
        <v/>
      </c>
    </row>
    <row r="47" spans="1:24" ht="16.5" x14ac:dyDescent="0.2">
      <c r="I47" s="35">
        <v>11</v>
      </c>
      <c r="J47" s="15">
        <f t="shared" si="1"/>
        <v>1102001</v>
      </c>
      <c r="K47" s="15">
        <f t="shared" si="2"/>
        <v>4</v>
      </c>
      <c r="L47" s="15">
        <f t="shared" si="4"/>
        <v>11</v>
      </c>
      <c r="M47" s="15" t="str">
        <f t="shared" si="3"/>
        <v>红</v>
      </c>
      <c r="N47" s="15" t="str">
        <f t="shared" si="5"/>
        <v>金币</v>
      </c>
      <c r="O47" s="15">
        <f>IF(L47&gt;1,INDEX(挂机升级突破!$AI$35:$AI$55,卡牌消耗!L47),"")</f>
        <v>90000</v>
      </c>
      <c r="P47" s="15" t="str">
        <f>IF(L47&gt;1,INDEX(价值概述!$A$4:$A$8,INDEX(挂机升级突破!$W$35:$W$55,卡牌消耗!L47)),"")</f>
        <v>紫色基础材料</v>
      </c>
      <c r="Q47" s="15">
        <f>IF(L47&gt;1,INDEX(挂机升级突破!$Z$35:$AD$55,卡牌消耗!L47,INDEX(挂机升级突破!$W$35:$W$55,卡牌消耗!L47)),"")</f>
        <v>215</v>
      </c>
      <c r="R47" s="15" t="str">
        <f>IF(INDEX(挂机升级突破!$X$35:$X$55,卡牌消耗!L47)&gt;0,INDEX($G$2:$I$2,INDEX(挂机升级突破!$X$35:$X$55,卡牌消耗!L47))&amp;M47,"")</f>
        <v>中级红</v>
      </c>
      <c r="S47" s="15">
        <f>IF(R47="","",INDEX(挂机升级突破!$AE$35:$AG$55,卡牌消耗!L47,INDEX(挂机升级突破!$X$35:$X$55,卡牌消耗!L47)))</f>
        <v>145</v>
      </c>
      <c r="T47" s="15" t="str">
        <f>IF(INDEX(挂机升级突破!$Y$35:$Y$55,卡牌消耗!L47)&gt;0,"灵玉","")</f>
        <v/>
      </c>
      <c r="U47" s="15" t="str">
        <f>IF(INDEX(挂机升级突破!$Y$35:$Y$55,卡牌消耗!L47)&gt;0,INDEX(挂机升级突破!$AH$35:$AH$55,卡牌消耗!L47),"")</f>
        <v/>
      </c>
    </row>
    <row r="48" spans="1:24" ht="16.5" x14ac:dyDescent="0.2">
      <c r="I48" s="35">
        <v>12</v>
      </c>
      <c r="J48" s="15">
        <f t="shared" si="1"/>
        <v>1102001</v>
      </c>
      <c r="K48" s="15">
        <f t="shared" si="2"/>
        <v>4</v>
      </c>
      <c r="L48" s="15">
        <f t="shared" si="4"/>
        <v>12</v>
      </c>
      <c r="M48" s="15" t="str">
        <f t="shared" si="3"/>
        <v>红</v>
      </c>
      <c r="N48" s="15" t="str">
        <f t="shared" si="5"/>
        <v>金币</v>
      </c>
      <c r="O48" s="15">
        <f>IF(L48&gt;1,INDEX(挂机升级突破!$AI$35:$AI$55,卡牌消耗!L48),"")</f>
        <v>97000</v>
      </c>
      <c r="P48" s="15" t="str">
        <f>IF(L48&gt;1,INDEX(价值概述!$A$4:$A$8,INDEX(挂机升级突破!$W$35:$W$55,卡牌消耗!L48)),"")</f>
        <v>紫色基础材料</v>
      </c>
      <c r="Q48" s="15">
        <f>IF(L48&gt;1,INDEX(挂机升级突破!$Z$35:$AD$55,卡牌消耗!L48,INDEX(挂机升级突破!$W$35:$W$55,卡牌消耗!L48)),"")</f>
        <v>285</v>
      </c>
      <c r="R48" s="15" t="str">
        <f>IF(INDEX(挂机升级突破!$X$35:$X$55,卡牌消耗!L48)&gt;0,INDEX($G$2:$I$2,INDEX(挂机升级突破!$X$35:$X$55,卡牌消耗!L48))&amp;M48,"")</f>
        <v>中级红</v>
      </c>
      <c r="S48" s="15">
        <f>IF(R48="","",INDEX(挂机升级突破!$AE$35:$AG$55,卡牌消耗!L48,INDEX(挂机升级突破!$X$35:$X$55,卡牌消耗!L48)))</f>
        <v>185</v>
      </c>
      <c r="T48" s="15" t="str">
        <f>IF(INDEX(挂机升级突破!$Y$35:$Y$55,卡牌消耗!L48)&gt;0,"灵玉","")</f>
        <v/>
      </c>
      <c r="U48" s="15" t="str">
        <f>IF(INDEX(挂机升级突破!$Y$35:$Y$55,卡牌消耗!L48)&gt;0,INDEX(挂机升级突破!$AH$35:$AH$55,卡牌消耗!L48),"")</f>
        <v/>
      </c>
    </row>
    <row r="49" spans="9:21" ht="16.5" x14ac:dyDescent="0.2">
      <c r="I49" s="35">
        <v>13</v>
      </c>
      <c r="J49" s="15">
        <f t="shared" si="1"/>
        <v>1102001</v>
      </c>
      <c r="K49" s="15">
        <f t="shared" si="2"/>
        <v>4</v>
      </c>
      <c r="L49" s="15">
        <f t="shared" si="4"/>
        <v>13</v>
      </c>
      <c r="M49" s="15" t="str">
        <f t="shared" si="3"/>
        <v>红</v>
      </c>
      <c r="N49" s="15" t="str">
        <f t="shared" si="5"/>
        <v>金币</v>
      </c>
      <c r="O49" s="15">
        <f>IF(L49&gt;1,INDEX(挂机升级突破!$AI$35:$AI$55,卡牌消耗!L49),"")</f>
        <v>122000</v>
      </c>
      <c r="P49" s="15" t="str">
        <f>IF(L49&gt;1,INDEX(价值概述!$A$4:$A$8,INDEX(挂机升级突破!$W$35:$W$55,卡牌消耗!L49)),"")</f>
        <v>橙色基础材料</v>
      </c>
      <c r="Q49" s="15">
        <f>IF(L49&gt;1,INDEX(挂机升级突破!$Z$35:$AD$55,卡牌消耗!L49,INDEX(挂机升级突破!$W$35:$W$55,卡牌消耗!L49)),"")</f>
        <v>115</v>
      </c>
      <c r="R49" s="15" t="str">
        <f>IF(INDEX(挂机升级突破!$X$35:$X$55,卡牌消耗!L49)&gt;0,INDEX($G$2:$I$2,INDEX(挂机升级突破!$X$35:$X$55,卡牌消耗!L49))&amp;M49,"")</f>
        <v>中级红</v>
      </c>
      <c r="S49" s="15">
        <f>IF(R49="","",INDEX(挂机升级突破!$AE$35:$AG$55,卡牌消耗!L49,INDEX(挂机升级突破!$X$35:$X$55,卡牌消耗!L49)))</f>
        <v>225</v>
      </c>
      <c r="T49" s="15" t="str">
        <f>IF(INDEX(挂机升级突破!$Y$35:$Y$55,卡牌消耗!L49)&gt;0,"灵玉","")</f>
        <v/>
      </c>
      <c r="U49" s="15" t="str">
        <f>IF(INDEX(挂机升级突破!$Y$35:$Y$55,卡牌消耗!L49)&gt;0,INDEX(挂机升级突破!$AH$35:$AH$55,卡牌消耗!L49),"")</f>
        <v/>
      </c>
    </row>
    <row r="50" spans="9:21" ht="16.5" x14ac:dyDescent="0.2">
      <c r="I50" s="35">
        <v>14</v>
      </c>
      <c r="J50" s="15">
        <f t="shared" si="1"/>
        <v>1102001</v>
      </c>
      <c r="K50" s="15">
        <f t="shared" si="2"/>
        <v>4</v>
      </c>
      <c r="L50" s="15">
        <f t="shared" si="4"/>
        <v>14</v>
      </c>
      <c r="M50" s="15" t="str">
        <f t="shared" si="3"/>
        <v>红</v>
      </c>
      <c r="N50" s="15" t="str">
        <f t="shared" si="5"/>
        <v>金币</v>
      </c>
      <c r="O50" s="15">
        <f>IF(L50&gt;1,INDEX(挂机升级突破!$AI$35:$AI$55,卡牌消耗!L50),"")</f>
        <v>162500</v>
      </c>
      <c r="P50" s="15" t="str">
        <f>IF(L50&gt;1,INDEX(价值概述!$A$4:$A$8,INDEX(挂机升级突破!$W$35:$W$55,卡牌消耗!L50)),"")</f>
        <v>橙色基础材料</v>
      </c>
      <c r="Q50" s="15">
        <f>IF(L50&gt;1,INDEX(挂机升级突破!$Z$35:$AD$55,卡牌消耗!L50,INDEX(挂机升级突破!$W$35:$W$55,卡牌消耗!L50)),"")</f>
        <v>235</v>
      </c>
      <c r="R50" s="15" t="str">
        <f>IF(INDEX(挂机升级突破!$X$35:$X$55,卡牌消耗!L50)&gt;0,INDEX($G$2:$I$2,INDEX(挂机升级突破!$X$35:$X$55,卡牌消耗!L50))&amp;M50,"")</f>
        <v>中级红</v>
      </c>
      <c r="S50" s="15">
        <f>IF(R50="","",INDEX(挂机升级突破!$AE$35:$AG$55,卡牌消耗!L50,INDEX(挂机升级突破!$X$35:$X$55,卡牌消耗!L50)))</f>
        <v>265</v>
      </c>
      <c r="T50" s="15" t="str">
        <f>IF(INDEX(挂机升级突破!$Y$35:$Y$55,卡牌消耗!L50)&gt;0,"灵玉","")</f>
        <v/>
      </c>
      <c r="U50" s="15" t="str">
        <f>IF(INDEX(挂机升级突破!$Y$35:$Y$55,卡牌消耗!L50)&gt;0,INDEX(挂机升级突破!$AH$35:$AH$55,卡牌消耗!L50),"")</f>
        <v/>
      </c>
    </row>
    <row r="51" spans="9:21" ht="16.5" x14ac:dyDescent="0.2">
      <c r="I51" s="35">
        <v>15</v>
      </c>
      <c r="J51" s="15">
        <f t="shared" si="1"/>
        <v>1102001</v>
      </c>
      <c r="K51" s="15">
        <f t="shared" si="2"/>
        <v>4</v>
      </c>
      <c r="L51" s="15">
        <f t="shared" si="4"/>
        <v>15</v>
      </c>
      <c r="M51" s="15" t="str">
        <f t="shared" si="3"/>
        <v>红</v>
      </c>
      <c r="N51" s="15" t="str">
        <f t="shared" si="5"/>
        <v>金币</v>
      </c>
      <c r="O51" s="15">
        <f>IF(L51&gt;1,INDEX(挂机升级突破!$AI$35:$AI$55,卡牌消耗!L51),"")</f>
        <v>190000</v>
      </c>
      <c r="P51" s="15" t="str">
        <f>IF(L51&gt;1,INDEX(价值概述!$A$4:$A$8,INDEX(挂机升级突破!$W$35:$W$55,卡牌消耗!L51)),"")</f>
        <v>橙色基础材料</v>
      </c>
      <c r="Q51" s="15">
        <f>IF(L51&gt;1,INDEX(挂机升级突破!$Z$35:$AD$55,卡牌消耗!L51,INDEX(挂机升级突破!$W$35:$W$55,卡牌消耗!L51)),"")</f>
        <v>355</v>
      </c>
      <c r="R51" s="15" t="str">
        <f>IF(INDEX(挂机升级突破!$X$35:$X$55,卡牌消耗!L51)&gt;0,INDEX($G$2:$I$2,INDEX(挂机升级突破!$X$35:$X$55,卡牌消耗!L51))&amp;M51,"")</f>
        <v>高级红</v>
      </c>
      <c r="S51" s="15">
        <f>IF(R51="","",INDEX(挂机升级突破!$AE$35:$AG$55,卡牌消耗!L51,INDEX(挂机升级突破!$X$35:$X$55,卡牌消耗!L51)))</f>
        <v>45</v>
      </c>
      <c r="T51" s="15" t="str">
        <f>IF(INDEX(挂机升级突破!$Y$35:$Y$55,卡牌消耗!L51)&gt;0,"灵玉","")</f>
        <v/>
      </c>
      <c r="U51" s="15" t="str">
        <f>IF(INDEX(挂机升级突破!$Y$35:$Y$55,卡牌消耗!L51)&gt;0,INDEX(挂机升级突破!$AH$35:$AH$55,卡牌消耗!L51),"")</f>
        <v/>
      </c>
    </row>
    <row r="52" spans="9:21" ht="16.5" x14ac:dyDescent="0.2">
      <c r="I52" s="35">
        <v>16</v>
      </c>
      <c r="J52" s="15">
        <f t="shared" si="1"/>
        <v>1102001</v>
      </c>
      <c r="K52" s="15">
        <f t="shared" si="2"/>
        <v>4</v>
      </c>
      <c r="L52" s="15">
        <f t="shared" si="4"/>
        <v>16</v>
      </c>
      <c r="M52" s="15" t="str">
        <f t="shared" si="3"/>
        <v>红</v>
      </c>
      <c r="N52" s="15" t="str">
        <f t="shared" si="5"/>
        <v>金币</v>
      </c>
      <c r="O52" s="15">
        <f>IF(L52&gt;1,INDEX(挂机升级突破!$AI$35:$AI$55,卡牌消耗!L52),"")</f>
        <v>219000</v>
      </c>
      <c r="P52" s="15" t="str">
        <f>IF(L52&gt;1,INDEX(价值概述!$A$4:$A$8,INDEX(挂机升级突破!$W$35:$W$55,卡牌消耗!L52)),"")</f>
        <v>橙色基础材料</v>
      </c>
      <c r="Q52" s="15">
        <f>IF(L52&gt;1,INDEX(挂机升级突破!$Z$35:$AD$55,卡牌消耗!L52,INDEX(挂机升级突破!$W$35:$W$55,卡牌消耗!L52)),"")</f>
        <v>475</v>
      </c>
      <c r="R52" s="15" t="str">
        <f>IF(INDEX(挂机升级突破!$X$35:$X$55,卡牌消耗!L52)&gt;0,INDEX($G$2:$I$2,INDEX(挂机升级突破!$X$35:$X$55,卡牌消耗!L52))&amp;M52,"")</f>
        <v>高级红</v>
      </c>
      <c r="S52" s="15">
        <f>IF(R52="","",INDEX(挂机升级突破!$AE$35:$AG$55,卡牌消耗!L52,INDEX(挂机升级突破!$X$35:$X$55,卡牌消耗!L52)))</f>
        <v>70</v>
      </c>
      <c r="T52" s="15" t="str">
        <f>IF(INDEX(挂机升级突破!$Y$35:$Y$55,卡牌消耗!L52)&gt;0,"灵玉","")</f>
        <v/>
      </c>
      <c r="U52" s="15" t="str">
        <f>IF(INDEX(挂机升级突破!$Y$35:$Y$55,卡牌消耗!L52)&gt;0,INDEX(挂机升级突破!$AH$35:$AH$55,卡牌消耗!L52),"")</f>
        <v/>
      </c>
    </row>
    <row r="53" spans="9:21" ht="16.5" x14ac:dyDescent="0.2">
      <c r="I53" s="35">
        <v>17</v>
      </c>
      <c r="J53" s="15">
        <f t="shared" si="1"/>
        <v>1102001</v>
      </c>
      <c r="K53" s="15">
        <f t="shared" si="2"/>
        <v>4</v>
      </c>
      <c r="L53" s="15">
        <f t="shared" si="4"/>
        <v>17</v>
      </c>
      <c r="M53" s="15" t="str">
        <f t="shared" si="3"/>
        <v>红</v>
      </c>
      <c r="N53" s="15" t="str">
        <f t="shared" si="5"/>
        <v>金币</v>
      </c>
      <c r="O53" s="15">
        <f>IF(L53&gt;1,INDEX(挂机升级突破!$AI$35:$AI$55,卡牌消耗!L53),"")</f>
        <v>228000</v>
      </c>
      <c r="P53" s="15" t="str">
        <f>IF(L53&gt;1,INDEX(价值概述!$A$4:$A$8,INDEX(挂机升级突破!$W$35:$W$55,卡牌消耗!L53)),"")</f>
        <v>红色基础材料</v>
      </c>
      <c r="Q53" s="15">
        <f>IF(L53&gt;1,INDEX(挂机升级突破!$Z$35:$AD$55,卡牌消耗!L53,INDEX(挂机升级突破!$W$35:$W$55,卡牌消耗!L53)),"")</f>
        <v>45</v>
      </c>
      <c r="R53" s="15" t="str">
        <f>IF(INDEX(挂机升级突破!$X$35:$X$55,卡牌消耗!L53)&gt;0,INDEX($G$2:$I$2,INDEX(挂机升级突破!$X$35:$X$55,卡牌消耗!L53))&amp;M53,"")</f>
        <v>高级红</v>
      </c>
      <c r="S53" s="15">
        <f>IF(R53="","",INDEX(挂机升级突破!$AE$35:$AG$55,卡牌消耗!L53,INDEX(挂机升级突破!$X$35:$X$55,卡牌消耗!L53)))</f>
        <v>100</v>
      </c>
      <c r="T53" s="15" t="str">
        <f>IF(INDEX(挂机升级突破!$Y$35:$Y$55,卡牌消耗!L53)&gt;0,"灵玉","")</f>
        <v>灵玉</v>
      </c>
      <c r="U53" s="15">
        <f>IF(INDEX(挂机升级突破!$Y$35:$Y$55,卡牌消耗!L53)&gt;0,INDEX(挂机升级突破!$AH$35:$AH$55,卡牌消耗!L53),"")</f>
        <v>25</v>
      </c>
    </row>
    <row r="54" spans="9:21" ht="16.5" x14ac:dyDescent="0.2">
      <c r="I54" s="35">
        <v>18</v>
      </c>
      <c r="J54" s="15">
        <f t="shared" si="1"/>
        <v>1102001</v>
      </c>
      <c r="K54" s="15">
        <f t="shared" si="2"/>
        <v>4</v>
      </c>
      <c r="L54" s="15">
        <f t="shared" si="4"/>
        <v>18</v>
      </c>
      <c r="M54" s="15" t="str">
        <f t="shared" si="3"/>
        <v>红</v>
      </c>
      <c r="N54" s="15" t="str">
        <f t="shared" si="5"/>
        <v>金币</v>
      </c>
      <c r="O54" s="15">
        <f>IF(L54&gt;1,INDEX(挂机升级突破!$AI$35:$AI$55,卡牌消耗!L54),"")</f>
        <v>319500</v>
      </c>
      <c r="P54" s="15" t="str">
        <f>IF(L54&gt;1,INDEX(价值概述!$A$4:$A$8,INDEX(挂机升级突破!$W$35:$W$55,卡牌消耗!L54)),"")</f>
        <v>红色基础材料</v>
      </c>
      <c r="Q54" s="15">
        <f>IF(L54&gt;1,INDEX(挂机升级突破!$Z$35:$AD$55,卡牌消耗!L54,INDEX(挂机升级突破!$W$35:$W$55,卡牌消耗!L54)),"")</f>
        <v>65</v>
      </c>
      <c r="R54" s="15" t="str">
        <f>IF(INDEX(挂机升级突破!$X$35:$X$55,卡牌消耗!L54)&gt;0,INDEX($G$2:$I$2,INDEX(挂机升级突破!$X$35:$X$55,卡牌消耗!L54))&amp;M54,"")</f>
        <v>高级红</v>
      </c>
      <c r="S54" s="15">
        <f>IF(R54="","",INDEX(挂机升级突破!$AE$35:$AG$55,卡牌消耗!L54,INDEX(挂机升级突破!$X$35:$X$55,卡牌消耗!L54)))</f>
        <v>125</v>
      </c>
      <c r="T54" s="15" t="str">
        <f>IF(INDEX(挂机升级突破!$Y$35:$Y$55,卡牌消耗!L54)&gt;0,"灵玉","")</f>
        <v>灵玉</v>
      </c>
      <c r="U54" s="15">
        <f>IF(INDEX(挂机升级突破!$Y$35:$Y$55,卡牌消耗!L54)&gt;0,INDEX(挂机升级突破!$AH$35:$AH$55,卡牌消耗!L54),"")</f>
        <v>35</v>
      </c>
    </row>
    <row r="55" spans="9:21" ht="16.5" x14ac:dyDescent="0.2">
      <c r="I55" s="35">
        <v>19</v>
      </c>
      <c r="J55" s="15">
        <f t="shared" si="1"/>
        <v>1102001</v>
      </c>
      <c r="K55" s="15">
        <f t="shared" si="2"/>
        <v>4</v>
      </c>
      <c r="L55" s="15">
        <f t="shared" si="4"/>
        <v>19</v>
      </c>
      <c r="M55" s="15" t="str">
        <f t="shared" si="3"/>
        <v>红</v>
      </c>
      <c r="N55" s="15" t="str">
        <f t="shared" si="5"/>
        <v>金币</v>
      </c>
      <c r="O55" s="15">
        <f>IF(L55&gt;1,INDEX(挂机升级突破!$AI$35:$AI$55,卡牌消耗!L55),"")</f>
        <v>426000</v>
      </c>
      <c r="P55" s="15" t="str">
        <f>IF(L55&gt;1,INDEX(价值概述!$A$4:$A$8,INDEX(挂机升级突破!$W$35:$W$55,卡牌消耗!L55)),"")</f>
        <v>红色基础材料</v>
      </c>
      <c r="Q55" s="15">
        <f>IF(L55&gt;1,INDEX(挂机升级突破!$Z$35:$AD$55,卡牌消耗!L55,INDEX(挂机升级突破!$W$35:$W$55,卡牌消耗!L55)),"")</f>
        <v>90</v>
      </c>
      <c r="R55" s="15" t="str">
        <f>IF(INDEX(挂机升级突破!$X$35:$X$55,卡牌消耗!L55)&gt;0,INDEX($G$2:$I$2,INDEX(挂机升级突破!$X$35:$X$55,卡牌消耗!L55))&amp;M55,"")</f>
        <v>高级红</v>
      </c>
      <c r="S55" s="15">
        <f>IF(R55="","",INDEX(挂机升级突破!$AE$35:$AG$55,卡牌消耗!L55,INDEX(挂机升级突破!$X$35:$X$55,卡牌消耗!L55)))</f>
        <v>155</v>
      </c>
      <c r="T55" s="15" t="str">
        <f>IF(INDEX(挂机升级突破!$Y$35:$Y$55,卡牌消耗!L55)&gt;0,"灵玉","")</f>
        <v>灵玉</v>
      </c>
      <c r="U55" s="15">
        <f>IF(INDEX(挂机升级突破!$Y$35:$Y$55,卡牌消耗!L55)&gt;0,INDEX(挂机升级突破!$AH$35:$AH$55,卡牌消耗!L55),"")</f>
        <v>50</v>
      </c>
    </row>
    <row r="56" spans="9:21" ht="16.5" x14ac:dyDescent="0.2">
      <c r="I56" s="35">
        <v>20</v>
      </c>
      <c r="J56" s="15">
        <f t="shared" si="1"/>
        <v>1102001</v>
      </c>
      <c r="K56" s="15">
        <f t="shared" si="2"/>
        <v>4</v>
      </c>
      <c r="L56" s="15">
        <f t="shared" si="4"/>
        <v>20</v>
      </c>
      <c r="M56" s="15" t="str">
        <f t="shared" si="3"/>
        <v>红</v>
      </c>
      <c r="N56" s="15" t="str">
        <f t="shared" si="5"/>
        <v>金币</v>
      </c>
      <c r="O56" s="15">
        <f>IF(L56&gt;1,INDEX(挂机升级突破!$AI$35:$AI$55,卡牌消耗!L56),"")</f>
        <v>532500</v>
      </c>
      <c r="P56" s="15" t="str">
        <f>IF(L56&gt;1,INDEX(价值概述!$A$4:$A$8,INDEX(挂机升级突破!$W$35:$W$55,卡牌消耗!L56)),"")</f>
        <v>红色基础材料</v>
      </c>
      <c r="Q56" s="15">
        <f>IF(L56&gt;1,INDEX(挂机升级突破!$Z$35:$AD$55,卡牌消耗!L56,INDEX(挂机升级突破!$W$35:$W$55,卡牌消耗!L56)),"")</f>
        <v>110</v>
      </c>
      <c r="R56" s="15" t="str">
        <f>IF(INDEX(挂机升级突破!$X$35:$X$55,卡牌消耗!L56)&gt;0,INDEX($G$2:$I$2,INDEX(挂机升级突破!$X$35:$X$55,卡牌消耗!L56))&amp;M56,"")</f>
        <v>高级红</v>
      </c>
      <c r="S56" s="15">
        <f>IF(R56="","",INDEX(挂机升级突破!$AE$35:$AG$55,卡牌消耗!L56,INDEX(挂机升级突破!$X$35:$X$55,卡牌消耗!L56)))</f>
        <v>180</v>
      </c>
      <c r="T56" s="15" t="str">
        <f>IF(INDEX(挂机升级突破!$Y$35:$Y$55,卡牌消耗!L56)&gt;0,"灵玉","")</f>
        <v>灵玉</v>
      </c>
      <c r="U56" s="15">
        <f>IF(INDEX(挂机升级突破!$Y$35:$Y$55,卡牌消耗!L56)&gt;0,INDEX(挂机升级突破!$AH$35:$AH$55,卡牌消耗!L56),"")</f>
        <v>65</v>
      </c>
    </row>
    <row r="57" spans="9:21" ht="16.5" x14ac:dyDescent="0.2">
      <c r="I57" s="35">
        <v>21</v>
      </c>
      <c r="J57" s="15">
        <f t="shared" si="1"/>
        <v>1102001</v>
      </c>
      <c r="K57" s="15">
        <f t="shared" si="2"/>
        <v>4</v>
      </c>
      <c r="L57" s="15">
        <f t="shared" si="4"/>
        <v>21</v>
      </c>
      <c r="M57" s="15" t="str">
        <f t="shared" si="3"/>
        <v>红</v>
      </c>
      <c r="N57" s="15" t="str">
        <f t="shared" si="5"/>
        <v>金币</v>
      </c>
      <c r="O57" s="15">
        <f>IF(L57&gt;1,INDEX(挂机升级突破!$AI$35:$AI$55,卡牌消耗!L57),"")</f>
        <v>639000</v>
      </c>
      <c r="P57" s="15" t="str">
        <f>IF(L57&gt;1,INDEX(价值概述!$A$4:$A$8,INDEX(挂机升级突破!$W$35:$W$55,卡牌消耗!L57)),"")</f>
        <v>红色基础材料</v>
      </c>
      <c r="Q57" s="15">
        <f>IF(L57&gt;1,INDEX(挂机升级突破!$Z$35:$AD$55,卡牌消耗!L57,INDEX(挂机升级突破!$W$35:$W$55,卡牌消耗!L57)),"")</f>
        <v>135</v>
      </c>
      <c r="R57" s="15" t="str">
        <f>IF(INDEX(挂机升级突破!$X$35:$X$55,卡牌消耗!L57)&gt;0,INDEX($G$2:$I$2,INDEX(挂机升级突破!$X$35:$X$55,卡牌消耗!L57))&amp;M57,"")</f>
        <v>高级红</v>
      </c>
      <c r="S57" s="15">
        <f>IF(R57="","",INDEX(挂机升级突破!$AE$35:$AG$55,卡牌消耗!L57,INDEX(挂机升级突破!$X$35:$X$55,卡牌消耗!L57)))</f>
        <v>225</v>
      </c>
      <c r="T57" s="15" t="str">
        <f>IF(INDEX(挂机升级突破!$Y$35:$Y$55,卡牌消耗!L57)&gt;0,"灵玉","")</f>
        <v>灵玉</v>
      </c>
      <c r="U57" s="15">
        <f>IF(INDEX(挂机升级突破!$Y$35:$Y$55,卡牌消耗!L57)&gt;0,INDEX(挂机升级突破!$AH$35:$AH$55,卡牌消耗!L57),"")</f>
        <v>75</v>
      </c>
    </row>
    <row r="58" spans="9:21" ht="16.5" x14ac:dyDescent="0.2">
      <c r="I58" s="35">
        <v>22</v>
      </c>
      <c r="J58" s="15">
        <f t="shared" si="1"/>
        <v>1102002</v>
      </c>
      <c r="K58" s="15">
        <f t="shared" si="2"/>
        <v>3</v>
      </c>
      <c r="L58" s="15">
        <f t="shared" si="4"/>
        <v>1</v>
      </c>
      <c r="M58" s="15" t="str">
        <f t="shared" si="3"/>
        <v>红</v>
      </c>
      <c r="N58" s="15" t="str">
        <f t="shared" si="5"/>
        <v/>
      </c>
      <c r="O58" s="15" t="str">
        <f>IF(L58&gt;1,INDEX(挂机升级突破!$AI$35:$AI$55,卡牌消耗!L58),"")</f>
        <v/>
      </c>
      <c r="P58" s="15" t="str">
        <f>IF(L58&gt;1,INDEX(价值概述!$A$4:$A$8,INDEX(挂机升级突破!$W$35:$W$55,卡牌消耗!L58)),"")</f>
        <v/>
      </c>
      <c r="Q58" s="15" t="str">
        <f>IF(L58&gt;1,INDEX(挂机升级突破!$Z$35:$AD$55,卡牌消耗!L58,INDEX(挂机升级突破!$W$35:$W$55,卡牌消耗!L58)),"")</f>
        <v/>
      </c>
      <c r="R58" s="15" t="str">
        <f>IF(INDEX(挂机升级突破!$X$35:$X$55,卡牌消耗!L58)&gt;0,INDEX($G$2:$I$2,INDEX(挂机升级突破!$X$35:$X$55,卡牌消耗!L58))&amp;M58,"")</f>
        <v/>
      </c>
      <c r="S58" s="15" t="str">
        <f>IF(R58="","",INDEX(挂机升级突破!$AE$35:$AG$55,卡牌消耗!L58,INDEX(挂机升级突破!$X$35:$X$55,卡牌消耗!L58)))</f>
        <v/>
      </c>
      <c r="T58" s="15" t="str">
        <f>IF(INDEX(挂机升级突破!$Y$35:$Y$55,卡牌消耗!L58)&gt;0,"灵玉","")</f>
        <v/>
      </c>
      <c r="U58" s="15" t="str">
        <f>IF(INDEX(挂机升级突破!$Y$35:$Y$55,卡牌消耗!L58)&gt;0,INDEX(挂机升级突破!$AH$35:$AH$55,卡牌消耗!L58),"")</f>
        <v/>
      </c>
    </row>
    <row r="59" spans="9:21" ht="16.5" x14ac:dyDescent="0.2">
      <c r="I59" s="35">
        <v>23</v>
      </c>
      <c r="J59" s="15">
        <f t="shared" si="1"/>
        <v>1102002</v>
      </c>
      <c r="K59" s="15">
        <f t="shared" si="2"/>
        <v>3</v>
      </c>
      <c r="L59" s="15">
        <f t="shared" si="4"/>
        <v>2</v>
      </c>
      <c r="M59" s="15" t="str">
        <f t="shared" si="3"/>
        <v>红</v>
      </c>
      <c r="N59" s="15" t="str">
        <f t="shared" si="5"/>
        <v>金币</v>
      </c>
      <c r="O59" s="15">
        <f>IF(L59&gt;1,INDEX(挂机升级突破!$AI$35:$AI$55,卡牌消耗!L59),"")</f>
        <v>2500</v>
      </c>
      <c r="P59" s="15" t="str">
        <f>IF(L59&gt;1,INDEX(价值概述!$A$4:$A$8,INDEX(挂机升级突破!$W$35:$W$55,卡牌消耗!L59)),"")</f>
        <v>绿色基础材料</v>
      </c>
      <c r="Q59" s="15">
        <f>IF(L59&gt;1,INDEX(挂机升级突破!$Z$35:$AD$55,卡牌消耗!L59,INDEX(挂机升级突破!$W$35:$W$55,卡牌消耗!L59)),"")</f>
        <v>10</v>
      </c>
      <c r="R59" s="15" t="str">
        <f>IF(INDEX(挂机升级突破!$X$35:$X$55,卡牌消耗!L59)&gt;0,INDEX($G$2:$I$2,INDEX(挂机升级突破!$X$35:$X$55,卡牌消耗!L59))&amp;M59,"")</f>
        <v/>
      </c>
      <c r="S59" s="15" t="str">
        <f>IF(R59="","",INDEX(挂机升级突破!$AE$35:$AG$55,卡牌消耗!L59,INDEX(挂机升级突破!$X$35:$X$55,卡牌消耗!L59)))</f>
        <v/>
      </c>
      <c r="T59" s="15" t="str">
        <f>IF(INDEX(挂机升级突破!$Y$35:$Y$55,卡牌消耗!L59)&gt;0,"灵玉","")</f>
        <v/>
      </c>
      <c r="U59" s="15" t="str">
        <f>IF(INDEX(挂机升级突破!$Y$35:$Y$55,卡牌消耗!L59)&gt;0,INDEX(挂机升级突破!$AH$35:$AH$55,卡牌消耗!L59),"")</f>
        <v/>
      </c>
    </row>
    <row r="60" spans="9:21" ht="16.5" x14ac:dyDescent="0.2">
      <c r="I60" s="35">
        <v>24</v>
      </c>
      <c r="J60" s="15">
        <f t="shared" si="1"/>
        <v>1102002</v>
      </c>
      <c r="K60" s="15">
        <f t="shared" si="2"/>
        <v>3</v>
      </c>
      <c r="L60" s="15">
        <f t="shared" si="4"/>
        <v>3</v>
      </c>
      <c r="M60" s="15" t="str">
        <f t="shared" si="3"/>
        <v>红</v>
      </c>
      <c r="N60" s="15" t="str">
        <f t="shared" si="5"/>
        <v>金币</v>
      </c>
      <c r="O60" s="15">
        <f>IF(L60&gt;1,INDEX(挂机升级突破!$AI$35:$AI$55,卡牌消耗!L60),"")</f>
        <v>8000</v>
      </c>
      <c r="P60" s="15" t="str">
        <f>IF(L60&gt;1,INDEX(价值概述!$A$4:$A$8,INDEX(挂机升级突破!$W$35:$W$55,卡牌消耗!L60)),"")</f>
        <v>绿色基础材料</v>
      </c>
      <c r="Q60" s="15">
        <f>IF(L60&gt;1,INDEX(挂机升级突破!$Z$35:$AD$55,卡牌消耗!L60,INDEX(挂机升级突破!$W$35:$W$55,卡牌消耗!L60)),"")</f>
        <v>40</v>
      </c>
      <c r="R60" s="15" t="str">
        <f>IF(INDEX(挂机升级突破!$X$35:$X$55,卡牌消耗!L60)&gt;0,INDEX($G$2:$I$2,INDEX(挂机升级突破!$X$35:$X$55,卡牌消耗!L60))&amp;M60,"")</f>
        <v/>
      </c>
      <c r="S60" s="15" t="str">
        <f>IF(R60="","",INDEX(挂机升级突破!$AE$35:$AG$55,卡牌消耗!L60,INDEX(挂机升级突破!$X$35:$X$55,卡牌消耗!L60)))</f>
        <v/>
      </c>
      <c r="T60" s="15" t="str">
        <f>IF(INDEX(挂机升级突破!$Y$35:$Y$55,卡牌消耗!L60)&gt;0,"灵玉","")</f>
        <v/>
      </c>
      <c r="U60" s="15" t="str">
        <f>IF(INDEX(挂机升级突破!$Y$35:$Y$55,卡牌消耗!L60)&gt;0,INDEX(挂机升级突破!$AH$35:$AH$55,卡牌消耗!L60),"")</f>
        <v/>
      </c>
    </row>
    <row r="61" spans="9:21" ht="16.5" x14ac:dyDescent="0.2">
      <c r="I61" s="35">
        <v>25</v>
      </c>
      <c r="J61" s="15">
        <f t="shared" si="1"/>
        <v>1102002</v>
      </c>
      <c r="K61" s="15">
        <f t="shared" si="2"/>
        <v>3</v>
      </c>
      <c r="L61" s="15">
        <f t="shared" si="4"/>
        <v>4</v>
      </c>
      <c r="M61" s="15" t="str">
        <f t="shared" si="3"/>
        <v>红</v>
      </c>
      <c r="N61" s="15" t="str">
        <f t="shared" si="5"/>
        <v>金币</v>
      </c>
      <c r="O61" s="15">
        <f>IF(L61&gt;1,INDEX(挂机升级突破!$AI$35:$AI$55,卡牌消耗!L61),"")</f>
        <v>16500</v>
      </c>
      <c r="P61" s="15" t="str">
        <f>IF(L61&gt;1,INDEX(价值概述!$A$4:$A$8,INDEX(挂机升级突破!$W$35:$W$55,卡牌消耗!L61)),"")</f>
        <v>绿色基础材料</v>
      </c>
      <c r="Q61" s="15">
        <f>IF(L61&gt;1,INDEX(挂机升级突破!$Z$35:$AD$55,卡牌消耗!L61,INDEX(挂机升级突破!$W$35:$W$55,卡牌消耗!L61)),"")</f>
        <v>80</v>
      </c>
      <c r="R61" s="15" t="str">
        <f>IF(INDEX(挂机升级突破!$X$35:$X$55,卡牌消耗!L61)&gt;0,INDEX($G$2:$I$2,INDEX(挂机升级突破!$X$35:$X$55,卡牌消耗!L61))&amp;M61,"")</f>
        <v>初级红</v>
      </c>
      <c r="S61" s="15">
        <f>IF(R61="","",INDEX(挂机升级突破!$AE$35:$AG$55,卡牌消耗!L61,INDEX(挂机升级突破!$X$35:$X$55,卡牌消耗!L61)))</f>
        <v>40</v>
      </c>
      <c r="T61" s="15" t="str">
        <f>IF(INDEX(挂机升级突破!$Y$35:$Y$55,卡牌消耗!L61)&gt;0,"灵玉","")</f>
        <v/>
      </c>
      <c r="U61" s="15" t="str">
        <f>IF(INDEX(挂机升级突破!$Y$35:$Y$55,卡牌消耗!L61)&gt;0,INDEX(挂机升级突破!$AH$35:$AH$55,卡牌消耗!L61),"")</f>
        <v/>
      </c>
    </row>
    <row r="62" spans="9:21" ht="16.5" x14ac:dyDescent="0.2">
      <c r="I62" s="35">
        <v>26</v>
      </c>
      <c r="J62" s="15">
        <f t="shared" si="1"/>
        <v>1102002</v>
      </c>
      <c r="K62" s="15">
        <f t="shared" si="2"/>
        <v>3</v>
      </c>
      <c r="L62" s="15">
        <f t="shared" si="4"/>
        <v>5</v>
      </c>
      <c r="M62" s="15" t="str">
        <f t="shared" si="3"/>
        <v>红</v>
      </c>
      <c r="N62" s="15" t="str">
        <f t="shared" si="5"/>
        <v>金币</v>
      </c>
      <c r="O62" s="15">
        <f>IF(L62&gt;1,INDEX(挂机升级突破!$AI$35:$AI$55,卡牌消耗!L62),"")</f>
        <v>22500</v>
      </c>
      <c r="P62" s="15" t="str">
        <f>IF(L62&gt;1,INDEX(价值概述!$A$4:$A$8,INDEX(挂机升级突破!$W$35:$W$55,卡牌消耗!L62)),"")</f>
        <v>蓝色基础材料</v>
      </c>
      <c r="Q62" s="15">
        <f>IF(L62&gt;1,INDEX(挂机升级突破!$Z$35:$AD$55,卡牌消耗!L62,INDEX(挂机升级突破!$W$35:$W$55,卡牌消耗!L62)),"")</f>
        <v>35</v>
      </c>
      <c r="R62" s="15" t="str">
        <f>IF(INDEX(挂机升级突破!$X$35:$X$55,卡牌消耗!L62)&gt;0,INDEX($G$2:$I$2,INDEX(挂机升级突破!$X$35:$X$55,卡牌消耗!L62))&amp;M62,"")</f>
        <v>初级红</v>
      </c>
      <c r="S62" s="15">
        <f>IF(R62="","",INDEX(挂机升级突破!$AE$35:$AG$55,卡牌消耗!L62,INDEX(挂机升级突破!$X$35:$X$55,卡牌消耗!L62)))</f>
        <v>65</v>
      </c>
      <c r="T62" s="15" t="str">
        <f>IF(INDEX(挂机升级突破!$Y$35:$Y$55,卡牌消耗!L62)&gt;0,"灵玉","")</f>
        <v/>
      </c>
      <c r="U62" s="15" t="str">
        <f>IF(INDEX(挂机升级突破!$Y$35:$Y$55,卡牌消耗!L62)&gt;0,INDEX(挂机升级突破!$AH$35:$AH$55,卡牌消耗!L62),"")</f>
        <v/>
      </c>
    </row>
    <row r="63" spans="9:21" ht="16.5" x14ac:dyDescent="0.2">
      <c r="I63" s="35">
        <v>27</v>
      </c>
      <c r="J63" s="15">
        <f t="shared" si="1"/>
        <v>1102002</v>
      </c>
      <c r="K63" s="15">
        <f t="shared" si="2"/>
        <v>3</v>
      </c>
      <c r="L63" s="15">
        <f t="shared" si="4"/>
        <v>6</v>
      </c>
      <c r="M63" s="15" t="str">
        <f t="shared" si="3"/>
        <v>红</v>
      </c>
      <c r="N63" s="15" t="str">
        <f t="shared" si="5"/>
        <v>金币</v>
      </c>
      <c r="O63" s="15">
        <f>IF(L63&gt;1,INDEX(挂机升级突破!$AI$35:$AI$55,卡牌消耗!L63),"")</f>
        <v>53000</v>
      </c>
      <c r="P63" s="15" t="str">
        <f>IF(L63&gt;1,INDEX(价值概述!$A$4:$A$8,INDEX(挂机升级突破!$W$35:$W$55,卡牌消耗!L63)),"")</f>
        <v>蓝色基础材料</v>
      </c>
      <c r="Q63" s="15">
        <f>IF(L63&gt;1,INDEX(挂机升级突破!$Z$35:$AD$55,卡牌消耗!L63,INDEX(挂机升级突破!$W$35:$W$55,卡牌消耗!L63)),"")</f>
        <v>70</v>
      </c>
      <c r="R63" s="15" t="str">
        <f>IF(INDEX(挂机升级突破!$X$35:$X$55,卡牌消耗!L63)&gt;0,INDEX($G$2:$I$2,INDEX(挂机升级突破!$X$35:$X$55,卡牌消耗!L63))&amp;M63,"")</f>
        <v>初级红</v>
      </c>
      <c r="S63" s="15">
        <f>IF(R63="","",INDEX(挂机升级突破!$AE$35:$AG$55,卡牌消耗!L63,INDEX(挂机升级突破!$X$35:$X$55,卡牌消耗!L63)))</f>
        <v>85</v>
      </c>
      <c r="T63" s="15" t="str">
        <f>IF(INDEX(挂机升级突破!$Y$35:$Y$55,卡牌消耗!L63)&gt;0,"灵玉","")</f>
        <v/>
      </c>
      <c r="U63" s="15" t="str">
        <f>IF(INDEX(挂机升级突破!$Y$35:$Y$55,卡牌消耗!L63)&gt;0,INDEX(挂机升级突破!$AH$35:$AH$55,卡牌消耗!L63),"")</f>
        <v/>
      </c>
    </row>
    <row r="64" spans="9:21" ht="16.5" x14ac:dyDescent="0.2">
      <c r="I64" s="35">
        <v>28</v>
      </c>
      <c r="J64" s="15">
        <f t="shared" si="1"/>
        <v>1102002</v>
      </c>
      <c r="K64" s="15">
        <f t="shared" si="2"/>
        <v>3</v>
      </c>
      <c r="L64" s="15">
        <f t="shared" si="4"/>
        <v>7</v>
      </c>
      <c r="M64" s="15" t="str">
        <f t="shared" si="3"/>
        <v>红</v>
      </c>
      <c r="N64" s="15" t="str">
        <f t="shared" si="5"/>
        <v>金币</v>
      </c>
      <c r="O64" s="15">
        <f>IF(L64&gt;1,INDEX(挂机升级突破!$AI$35:$AI$55,卡牌消耗!L64),"")</f>
        <v>59500</v>
      </c>
      <c r="P64" s="15" t="str">
        <f>IF(L64&gt;1,INDEX(价值概述!$A$4:$A$8,INDEX(挂机升级突破!$W$35:$W$55,卡牌消耗!L64)),"")</f>
        <v>蓝色基础材料</v>
      </c>
      <c r="Q64" s="15">
        <f>IF(L64&gt;1,INDEX(挂机升级突破!$Z$35:$AD$55,卡牌消耗!L64,INDEX(挂机升级突破!$W$35:$W$55,卡牌消耗!L64)),"")</f>
        <v>110</v>
      </c>
      <c r="R64" s="15" t="str">
        <f>IF(INDEX(挂机升级突破!$X$35:$X$55,卡牌消耗!L64)&gt;0,INDEX($G$2:$I$2,INDEX(挂机升级突破!$X$35:$X$55,卡牌消耗!L64))&amp;M64,"")</f>
        <v>初级红</v>
      </c>
      <c r="S64" s="15">
        <f>IF(R64="","",INDEX(挂机升级突破!$AE$35:$AG$55,卡牌消耗!L64,INDEX(挂机升级突破!$X$35:$X$55,卡牌消耗!L64)))</f>
        <v>110</v>
      </c>
      <c r="T64" s="15" t="str">
        <f>IF(INDEX(挂机升级突破!$Y$35:$Y$55,卡牌消耗!L64)&gt;0,"灵玉","")</f>
        <v/>
      </c>
      <c r="U64" s="15" t="str">
        <f>IF(INDEX(挂机升级突破!$Y$35:$Y$55,卡牌消耗!L64)&gt;0,INDEX(挂机升级突破!$AH$35:$AH$55,卡牌消耗!L64),"")</f>
        <v/>
      </c>
    </row>
    <row r="65" spans="9:21" ht="16.5" x14ac:dyDescent="0.2">
      <c r="I65" s="35">
        <v>29</v>
      </c>
      <c r="J65" s="15">
        <f t="shared" si="1"/>
        <v>1102002</v>
      </c>
      <c r="K65" s="15">
        <f t="shared" si="2"/>
        <v>3</v>
      </c>
      <c r="L65" s="15">
        <f t="shared" si="4"/>
        <v>8</v>
      </c>
      <c r="M65" s="15" t="str">
        <f t="shared" si="3"/>
        <v>红</v>
      </c>
      <c r="N65" s="15" t="str">
        <f t="shared" si="5"/>
        <v>金币</v>
      </c>
      <c r="O65" s="15">
        <f>IF(L65&gt;1,INDEX(挂机升级突破!$AI$35:$AI$55,卡牌消耗!L65),"")</f>
        <v>65500</v>
      </c>
      <c r="P65" s="15" t="str">
        <f>IF(L65&gt;1,INDEX(价值概述!$A$4:$A$8,INDEX(挂机升级突破!$W$35:$W$55,卡牌消耗!L65)),"")</f>
        <v>蓝色基础材料</v>
      </c>
      <c r="Q65" s="15">
        <f>IF(L65&gt;1,INDEX(挂机升级突破!$Z$35:$AD$55,卡牌消耗!L65,INDEX(挂机升级突破!$W$35:$W$55,卡牌消耗!L65)),"")</f>
        <v>145</v>
      </c>
      <c r="R65" s="15" t="str">
        <f>IF(INDEX(挂机升级突破!$X$35:$X$55,卡牌消耗!L65)&gt;0,INDEX($G$2:$I$2,INDEX(挂机升级突破!$X$35:$X$55,卡牌消耗!L65))&amp;M65,"")</f>
        <v>初级红</v>
      </c>
      <c r="S65" s="15">
        <f>IF(R65="","",INDEX(挂机升级突破!$AE$35:$AG$55,卡牌消耗!L65,INDEX(挂机升级突破!$X$35:$X$55,卡牌消耗!L65)))</f>
        <v>130</v>
      </c>
      <c r="T65" s="15" t="str">
        <f>IF(INDEX(挂机升级突破!$Y$35:$Y$55,卡牌消耗!L65)&gt;0,"灵玉","")</f>
        <v/>
      </c>
      <c r="U65" s="15" t="str">
        <f>IF(INDEX(挂机升级突破!$Y$35:$Y$55,卡牌消耗!L65)&gt;0,INDEX(挂机升级突破!$AH$35:$AH$55,卡牌消耗!L65),"")</f>
        <v/>
      </c>
    </row>
    <row r="66" spans="9:21" ht="16.5" x14ac:dyDescent="0.2">
      <c r="I66" s="35">
        <v>30</v>
      </c>
      <c r="J66" s="15">
        <f t="shared" si="1"/>
        <v>1102002</v>
      </c>
      <c r="K66" s="15">
        <f t="shared" si="2"/>
        <v>3</v>
      </c>
      <c r="L66" s="15">
        <f t="shared" si="4"/>
        <v>9</v>
      </c>
      <c r="M66" s="15" t="str">
        <f t="shared" si="3"/>
        <v>红</v>
      </c>
      <c r="N66" s="15" t="str">
        <f t="shared" si="5"/>
        <v>金币</v>
      </c>
      <c r="O66" s="15">
        <f>IF(L66&gt;1,INDEX(挂机升级突破!$AI$35:$AI$55,卡牌消耗!L66),"")</f>
        <v>76000</v>
      </c>
      <c r="P66" s="15" t="str">
        <f>IF(L66&gt;1,INDEX(价值概述!$A$4:$A$8,INDEX(挂机升级突破!$W$35:$W$55,卡牌消耗!L66)),"")</f>
        <v>紫色基础材料</v>
      </c>
      <c r="Q66" s="15">
        <f>IF(L66&gt;1,INDEX(挂机升级突破!$Z$35:$AD$55,卡牌消耗!L66,INDEX(挂机升级突破!$W$35:$W$55,卡牌消耗!L66)),"")</f>
        <v>70</v>
      </c>
      <c r="R66" s="15" t="str">
        <f>IF(INDEX(挂机升级突破!$X$35:$X$55,卡牌消耗!L66)&gt;0,INDEX($G$2:$I$2,INDEX(挂机升级突破!$X$35:$X$55,卡牌消耗!L66))&amp;M66,"")</f>
        <v>中级红</v>
      </c>
      <c r="S66" s="15">
        <f>IF(R66="","",INDEX(挂机升级突破!$AE$35:$AG$55,卡牌消耗!L66,INDEX(挂机升级突破!$X$35:$X$55,卡牌消耗!L66)))</f>
        <v>55</v>
      </c>
      <c r="T66" s="15" t="str">
        <f>IF(INDEX(挂机升级突破!$Y$35:$Y$55,卡牌消耗!L66)&gt;0,"灵玉","")</f>
        <v/>
      </c>
      <c r="U66" s="15" t="str">
        <f>IF(INDEX(挂机升级突破!$Y$35:$Y$55,卡牌消耗!L66)&gt;0,INDEX(挂机升级突破!$AH$35:$AH$55,卡牌消耗!L66),"")</f>
        <v/>
      </c>
    </row>
    <row r="67" spans="9:21" ht="16.5" x14ac:dyDescent="0.2">
      <c r="I67" s="35">
        <v>31</v>
      </c>
      <c r="J67" s="15">
        <f t="shared" si="1"/>
        <v>1102002</v>
      </c>
      <c r="K67" s="15">
        <f t="shared" si="2"/>
        <v>3</v>
      </c>
      <c r="L67" s="15">
        <f t="shared" si="4"/>
        <v>10</v>
      </c>
      <c r="M67" s="15" t="str">
        <f t="shared" si="3"/>
        <v>红</v>
      </c>
      <c r="N67" s="15" t="str">
        <f t="shared" si="5"/>
        <v>金币</v>
      </c>
      <c r="O67" s="15">
        <f>IF(L67&gt;1,INDEX(挂机升级突破!$AI$35:$AI$55,卡牌消耗!L67),"")</f>
        <v>83000</v>
      </c>
      <c r="P67" s="15" t="str">
        <f>IF(L67&gt;1,INDEX(价值概述!$A$4:$A$8,INDEX(挂机升级突破!$W$35:$W$55,卡牌消耗!L67)),"")</f>
        <v>紫色基础材料</v>
      </c>
      <c r="Q67" s="15">
        <f>IF(L67&gt;1,INDEX(挂机升级突破!$Z$35:$AD$55,卡牌消耗!L67,INDEX(挂机升级突破!$W$35:$W$55,卡牌消耗!L67)),"")</f>
        <v>140</v>
      </c>
      <c r="R67" s="15" t="str">
        <f>IF(INDEX(挂机升级突破!$X$35:$X$55,卡牌消耗!L67)&gt;0,INDEX($G$2:$I$2,INDEX(挂机升级突破!$X$35:$X$55,卡牌消耗!L67))&amp;M67,"")</f>
        <v>中级红</v>
      </c>
      <c r="S67" s="15">
        <f>IF(R67="","",INDEX(挂机升级突破!$AE$35:$AG$55,卡牌消耗!L67,INDEX(挂机升级突破!$X$35:$X$55,卡牌消耗!L67)))</f>
        <v>95</v>
      </c>
      <c r="T67" s="15" t="str">
        <f>IF(INDEX(挂机升级突破!$Y$35:$Y$55,卡牌消耗!L67)&gt;0,"灵玉","")</f>
        <v/>
      </c>
      <c r="U67" s="15" t="str">
        <f>IF(INDEX(挂机升级突破!$Y$35:$Y$55,卡牌消耗!L67)&gt;0,INDEX(挂机升级突破!$AH$35:$AH$55,卡牌消耗!L67),"")</f>
        <v/>
      </c>
    </row>
    <row r="68" spans="9:21" ht="16.5" x14ac:dyDescent="0.2">
      <c r="I68" s="35">
        <v>32</v>
      </c>
      <c r="J68" s="15">
        <f t="shared" si="1"/>
        <v>1102002</v>
      </c>
      <c r="K68" s="15">
        <f t="shared" si="2"/>
        <v>3</v>
      </c>
      <c r="L68" s="15">
        <f t="shared" si="4"/>
        <v>11</v>
      </c>
      <c r="M68" s="15" t="str">
        <f t="shared" si="3"/>
        <v>红</v>
      </c>
      <c r="N68" s="15" t="str">
        <f t="shared" si="5"/>
        <v>金币</v>
      </c>
      <c r="O68" s="15">
        <f>IF(L68&gt;1,INDEX(挂机升级突破!$AI$35:$AI$55,卡牌消耗!L68),"")</f>
        <v>90000</v>
      </c>
      <c r="P68" s="15" t="str">
        <f>IF(L68&gt;1,INDEX(价值概述!$A$4:$A$8,INDEX(挂机升级突破!$W$35:$W$55,卡牌消耗!L68)),"")</f>
        <v>紫色基础材料</v>
      </c>
      <c r="Q68" s="15">
        <f>IF(L68&gt;1,INDEX(挂机升级突破!$Z$35:$AD$55,卡牌消耗!L68,INDEX(挂机升级突破!$W$35:$W$55,卡牌消耗!L68)),"")</f>
        <v>215</v>
      </c>
      <c r="R68" s="15" t="str">
        <f>IF(INDEX(挂机升级突破!$X$35:$X$55,卡牌消耗!L68)&gt;0,INDEX($G$2:$I$2,INDEX(挂机升级突破!$X$35:$X$55,卡牌消耗!L68))&amp;M68,"")</f>
        <v>中级红</v>
      </c>
      <c r="S68" s="15">
        <f>IF(R68="","",INDEX(挂机升级突破!$AE$35:$AG$55,卡牌消耗!L68,INDEX(挂机升级突破!$X$35:$X$55,卡牌消耗!L68)))</f>
        <v>145</v>
      </c>
      <c r="T68" s="15" t="str">
        <f>IF(INDEX(挂机升级突破!$Y$35:$Y$55,卡牌消耗!L68)&gt;0,"灵玉","")</f>
        <v/>
      </c>
      <c r="U68" s="15" t="str">
        <f>IF(INDEX(挂机升级突破!$Y$35:$Y$55,卡牌消耗!L68)&gt;0,INDEX(挂机升级突破!$AH$35:$AH$55,卡牌消耗!L68),"")</f>
        <v/>
      </c>
    </row>
    <row r="69" spans="9:21" ht="16.5" x14ac:dyDescent="0.2">
      <c r="I69" s="35">
        <v>33</v>
      </c>
      <c r="J69" s="15">
        <f t="shared" si="1"/>
        <v>1102002</v>
      </c>
      <c r="K69" s="15">
        <f t="shared" si="2"/>
        <v>3</v>
      </c>
      <c r="L69" s="15">
        <f t="shared" si="4"/>
        <v>12</v>
      </c>
      <c r="M69" s="15" t="str">
        <f t="shared" si="3"/>
        <v>红</v>
      </c>
      <c r="N69" s="15" t="str">
        <f t="shared" si="5"/>
        <v>金币</v>
      </c>
      <c r="O69" s="15">
        <f>IF(L69&gt;1,INDEX(挂机升级突破!$AI$35:$AI$55,卡牌消耗!L69),"")</f>
        <v>97000</v>
      </c>
      <c r="P69" s="15" t="str">
        <f>IF(L69&gt;1,INDEX(价值概述!$A$4:$A$8,INDEX(挂机升级突破!$W$35:$W$55,卡牌消耗!L69)),"")</f>
        <v>紫色基础材料</v>
      </c>
      <c r="Q69" s="15">
        <f>IF(L69&gt;1,INDEX(挂机升级突破!$Z$35:$AD$55,卡牌消耗!L69,INDEX(挂机升级突破!$W$35:$W$55,卡牌消耗!L69)),"")</f>
        <v>285</v>
      </c>
      <c r="R69" s="15" t="str">
        <f>IF(INDEX(挂机升级突破!$X$35:$X$55,卡牌消耗!L69)&gt;0,INDEX($G$2:$I$2,INDEX(挂机升级突破!$X$35:$X$55,卡牌消耗!L69))&amp;M69,"")</f>
        <v>中级红</v>
      </c>
      <c r="S69" s="15">
        <f>IF(R69="","",INDEX(挂机升级突破!$AE$35:$AG$55,卡牌消耗!L69,INDEX(挂机升级突破!$X$35:$X$55,卡牌消耗!L69)))</f>
        <v>185</v>
      </c>
      <c r="T69" s="15" t="str">
        <f>IF(INDEX(挂机升级突破!$Y$35:$Y$55,卡牌消耗!L69)&gt;0,"灵玉","")</f>
        <v/>
      </c>
      <c r="U69" s="15" t="str">
        <f>IF(INDEX(挂机升级突破!$Y$35:$Y$55,卡牌消耗!L69)&gt;0,INDEX(挂机升级突破!$AH$35:$AH$55,卡牌消耗!L69),"")</f>
        <v/>
      </c>
    </row>
    <row r="70" spans="9:21" ht="16.5" x14ac:dyDescent="0.2">
      <c r="I70" s="35">
        <v>34</v>
      </c>
      <c r="J70" s="15">
        <f t="shared" si="1"/>
        <v>1102002</v>
      </c>
      <c r="K70" s="15">
        <f t="shared" si="2"/>
        <v>3</v>
      </c>
      <c r="L70" s="15">
        <f t="shared" si="4"/>
        <v>13</v>
      </c>
      <c r="M70" s="15" t="str">
        <f t="shared" si="3"/>
        <v>红</v>
      </c>
      <c r="N70" s="15" t="str">
        <f t="shared" si="5"/>
        <v>金币</v>
      </c>
      <c r="O70" s="15">
        <f>IF(L70&gt;1,INDEX(挂机升级突破!$AI$35:$AI$55,卡牌消耗!L70),"")</f>
        <v>122000</v>
      </c>
      <c r="P70" s="15" t="str">
        <f>IF(L70&gt;1,INDEX(价值概述!$A$4:$A$8,INDEX(挂机升级突破!$W$35:$W$55,卡牌消耗!L70)),"")</f>
        <v>橙色基础材料</v>
      </c>
      <c r="Q70" s="15">
        <f>IF(L70&gt;1,INDEX(挂机升级突破!$Z$35:$AD$55,卡牌消耗!L70,INDEX(挂机升级突破!$W$35:$W$55,卡牌消耗!L70)),"")</f>
        <v>115</v>
      </c>
      <c r="R70" s="15" t="str">
        <f>IF(INDEX(挂机升级突破!$X$35:$X$55,卡牌消耗!L70)&gt;0,INDEX($G$2:$I$2,INDEX(挂机升级突破!$X$35:$X$55,卡牌消耗!L70))&amp;M70,"")</f>
        <v>中级红</v>
      </c>
      <c r="S70" s="15">
        <f>IF(R70="","",INDEX(挂机升级突破!$AE$35:$AG$55,卡牌消耗!L70,INDEX(挂机升级突破!$X$35:$X$55,卡牌消耗!L70)))</f>
        <v>225</v>
      </c>
      <c r="T70" s="15" t="str">
        <f>IF(INDEX(挂机升级突破!$Y$35:$Y$55,卡牌消耗!L70)&gt;0,"灵玉","")</f>
        <v/>
      </c>
      <c r="U70" s="15" t="str">
        <f>IF(INDEX(挂机升级突破!$Y$35:$Y$55,卡牌消耗!L70)&gt;0,INDEX(挂机升级突破!$AH$35:$AH$55,卡牌消耗!L70),"")</f>
        <v/>
      </c>
    </row>
    <row r="71" spans="9:21" ht="16.5" x14ac:dyDescent="0.2">
      <c r="I71" s="35">
        <v>35</v>
      </c>
      <c r="J71" s="15">
        <f t="shared" si="1"/>
        <v>1102002</v>
      </c>
      <c r="K71" s="15">
        <f t="shared" si="2"/>
        <v>3</v>
      </c>
      <c r="L71" s="15">
        <f t="shared" si="4"/>
        <v>14</v>
      </c>
      <c r="M71" s="15" t="str">
        <f t="shared" si="3"/>
        <v>红</v>
      </c>
      <c r="N71" s="15" t="str">
        <f t="shared" si="5"/>
        <v>金币</v>
      </c>
      <c r="O71" s="15">
        <f>IF(L71&gt;1,INDEX(挂机升级突破!$AI$35:$AI$55,卡牌消耗!L71),"")</f>
        <v>162500</v>
      </c>
      <c r="P71" s="15" t="str">
        <f>IF(L71&gt;1,INDEX(价值概述!$A$4:$A$8,INDEX(挂机升级突破!$W$35:$W$55,卡牌消耗!L71)),"")</f>
        <v>橙色基础材料</v>
      </c>
      <c r="Q71" s="15">
        <f>IF(L71&gt;1,INDEX(挂机升级突破!$Z$35:$AD$55,卡牌消耗!L71,INDEX(挂机升级突破!$W$35:$W$55,卡牌消耗!L71)),"")</f>
        <v>235</v>
      </c>
      <c r="R71" s="15" t="str">
        <f>IF(INDEX(挂机升级突破!$X$35:$X$55,卡牌消耗!L71)&gt;0,INDEX($G$2:$I$2,INDEX(挂机升级突破!$X$35:$X$55,卡牌消耗!L71))&amp;M71,"")</f>
        <v>中级红</v>
      </c>
      <c r="S71" s="15">
        <f>IF(R71="","",INDEX(挂机升级突破!$AE$35:$AG$55,卡牌消耗!L71,INDEX(挂机升级突破!$X$35:$X$55,卡牌消耗!L71)))</f>
        <v>265</v>
      </c>
      <c r="T71" s="15" t="str">
        <f>IF(INDEX(挂机升级突破!$Y$35:$Y$55,卡牌消耗!L71)&gt;0,"灵玉","")</f>
        <v/>
      </c>
      <c r="U71" s="15" t="str">
        <f>IF(INDEX(挂机升级突破!$Y$35:$Y$55,卡牌消耗!L71)&gt;0,INDEX(挂机升级突破!$AH$35:$AH$55,卡牌消耗!L71),"")</f>
        <v/>
      </c>
    </row>
    <row r="72" spans="9:21" ht="16.5" x14ac:dyDescent="0.2">
      <c r="I72" s="35">
        <v>36</v>
      </c>
      <c r="J72" s="15">
        <f t="shared" si="1"/>
        <v>1102002</v>
      </c>
      <c r="K72" s="15">
        <f t="shared" si="2"/>
        <v>3</v>
      </c>
      <c r="L72" s="15">
        <f t="shared" si="4"/>
        <v>15</v>
      </c>
      <c r="M72" s="15" t="str">
        <f t="shared" si="3"/>
        <v>红</v>
      </c>
      <c r="N72" s="15" t="str">
        <f t="shared" si="5"/>
        <v>金币</v>
      </c>
      <c r="O72" s="15">
        <f>IF(L72&gt;1,INDEX(挂机升级突破!$AI$35:$AI$55,卡牌消耗!L72),"")</f>
        <v>190000</v>
      </c>
      <c r="P72" s="15" t="str">
        <f>IF(L72&gt;1,INDEX(价值概述!$A$4:$A$8,INDEX(挂机升级突破!$W$35:$W$55,卡牌消耗!L72)),"")</f>
        <v>橙色基础材料</v>
      </c>
      <c r="Q72" s="15">
        <f>IF(L72&gt;1,INDEX(挂机升级突破!$Z$35:$AD$55,卡牌消耗!L72,INDEX(挂机升级突破!$W$35:$W$55,卡牌消耗!L72)),"")</f>
        <v>355</v>
      </c>
      <c r="R72" s="15" t="str">
        <f>IF(INDEX(挂机升级突破!$X$35:$X$55,卡牌消耗!L72)&gt;0,INDEX($G$2:$I$2,INDEX(挂机升级突破!$X$35:$X$55,卡牌消耗!L72))&amp;M72,"")</f>
        <v>高级红</v>
      </c>
      <c r="S72" s="15">
        <f>IF(R72="","",INDEX(挂机升级突破!$AE$35:$AG$55,卡牌消耗!L72,INDEX(挂机升级突破!$X$35:$X$55,卡牌消耗!L72)))</f>
        <v>45</v>
      </c>
      <c r="T72" s="15" t="str">
        <f>IF(INDEX(挂机升级突破!$Y$35:$Y$55,卡牌消耗!L72)&gt;0,"灵玉","")</f>
        <v/>
      </c>
      <c r="U72" s="15" t="str">
        <f>IF(INDEX(挂机升级突破!$Y$35:$Y$55,卡牌消耗!L72)&gt;0,INDEX(挂机升级突破!$AH$35:$AH$55,卡牌消耗!L72),"")</f>
        <v/>
      </c>
    </row>
    <row r="73" spans="9:21" ht="16.5" x14ac:dyDescent="0.2">
      <c r="I73" s="35">
        <v>37</v>
      </c>
      <c r="J73" s="15">
        <f t="shared" si="1"/>
        <v>1102002</v>
      </c>
      <c r="K73" s="15">
        <f t="shared" si="2"/>
        <v>3</v>
      </c>
      <c r="L73" s="15">
        <f t="shared" si="4"/>
        <v>16</v>
      </c>
      <c r="M73" s="15" t="str">
        <f t="shared" si="3"/>
        <v>红</v>
      </c>
      <c r="N73" s="15" t="str">
        <f t="shared" si="5"/>
        <v>金币</v>
      </c>
      <c r="O73" s="15">
        <f>IF(L73&gt;1,INDEX(挂机升级突破!$AI$35:$AI$55,卡牌消耗!L73),"")</f>
        <v>219000</v>
      </c>
      <c r="P73" s="15" t="str">
        <f>IF(L73&gt;1,INDEX(价值概述!$A$4:$A$8,INDEX(挂机升级突破!$W$35:$W$55,卡牌消耗!L73)),"")</f>
        <v>橙色基础材料</v>
      </c>
      <c r="Q73" s="15">
        <f>IF(L73&gt;1,INDEX(挂机升级突破!$Z$35:$AD$55,卡牌消耗!L73,INDEX(挂机升级突破!$W$35:$W$55,卡牌消耗!L73)),"")</f>
        <v>475</v>
      </c>
      <c r="R73" s="15" t="str">
        <f>IF(INDEX(挂机升级突破!$X$35:$X$55,卡牌消耗!L73)&gt;0,INDEX($G$2:$I$2,INDEX(挂机升级突破!$X$35:$X$55,卡牌消耗!L73))&amp;M73,"")</f>
        <v>高级红</v>
      </c>
      <c r="S73" s="15">
        <f>IF(R73="","",INDEX(挂机升级突破!$AE$35:$AG$55,卡牌消耗!L73,INDEX(挂机升级突破!$X$35:$X$55,卡牌消耗!L73)))</f>
        <v>70</v>
      </c>
      <c r="T73" s="15" t="str">
        <f>IF(INDEX(挂机升级突破!$Y$35:$Y$55,卡牌消耗!L73)&gt;0,"灵玉","")</f>
        <v/>
      </c>
      <c r="U73" s="15" t="str">
        <f>IF(INDEX(挂机升级突破!$Y$35:$Y$55,卡牌消耗!L73)&gt;0,INDEX(挂机升级突破!$AH$35:$AH$55,卡牌消耗!L73),"")</f>
        <v/>
      </c>
    </row>
    <row r="74" spans="9:21" ht="16.5" x14ac:dyDescent="0.2">
      <c r="I74" s="35">
        <v>38</v>
      </c>
      <c r="J74" s="15">
        <f t="shared" si="1"/>
        <v>1102002</v>
      </c>
      <c r="K74" s="15">
        <f t="shared" si="2"/>
        <v>3</v>
      </c>
      <c r="L74" s="15">
        <f t="shared" si="4"/>
        <v>17</v>
      </c>
      <c r="M74" s="15" t="str">
        <f t="shared" si="3"/>
        <v>红</v>
      </c>
      <c r="N74" s="15" t="str">
        <f t="shared" si="5"/>
        <v>金币</v>
      </c>
      <c r="O74" s="15">
        <f>IF(L74&gt;1,INDEX(挂机升级突破!$AI$35:$AI$55,卡牌消耗!L74),"")</f>
        <v>228000</v>
      </c>
      <c r="P74" s="15" t="str">
        <f>IF(L74&gt;1,INDEX(价值概述!$A$4:$A$8,INDEX(挂机升级突破!$W$35:$W$55,卡牌消耗!L74)),"")</f>
        <v>红色基础材料</v>
      </c>
      <c r="Q74" s="15">
        <f>IF(L74&gt;1,INDEX(挂机升级突破!$Z$35:$AD$55,卡牌消耗!L74,INDEX(挂机升级突破!$W$35:$W$55,卡牌消耗!L74)),"")</f>
        <v>45</v>
      </c>
      <c r="R74" s="15" t="str">
        <f>IF(INDEX(挂机升级突破!$X$35:$X$55,卡牌消耗!L74)&gt;0,INDEX($G$2:$I$2,INDEX(挂机升级突破!$X$35:$X$55,卡牌消耗!L74))&amp;M74,"")</f>
        <v>高级红</v>
      </c>
      <c r="S74" s="15">
        <f>IF(R74="","",INDEX(挂机升级突破!$AE$35:$AG$55,卡牌消耗!L74,INDEX(挂机升级突破!$X$35:$X$55,卡牌消耗!L74)))</f>
        <v>100</v>
      </c>
      <c r="T74" s="15" t="str">
        <f>IF(INDEX(挂机升级突破!$Y$35:$Y$55,卡牌消耗!L74)&gt;0,"灵玉","")</f>
        <v>灵玉</v>
      </c>
      <c r="U74" s="15">
        <f>IF(INDEX(挂机升级突破!$Y$35:$Y$55,卡牌消耗!L74)&gt;0,INDEX(挂机升级突破!$AH$35:$AH$55,卡牌消耗!L74),"")</f>
        <v>25</v>
      </c>
    </row>
    <row r="75" spans="9:21" ht="16.5" x14ac:dyDescent="0.2">
      <c r="I75" s="35">
        <v>39</v>
      </c>
      <c r="J75" s="15">
        <f t="shared" si="1"/>
        <v>1102002</v>
      </c>
      <c r="K75" s="15">
        <f t="shared" si="2"/>
        <v>3</v>
      </c>
      <c r="L75" s="15">
        <f t="shared" si="4"/>
        <v>18</v>
      </c>
      <c r="M75" s="15" t="str">
        <f t="shared" si="3"/>
        <v>红</v>
      </c>
      <c r="N75" s="15" t="str">
        <f t="shared" si="5"/>
        <v>金币</v>
      </c>
      <c r="O75" s="15">
        <f>IF(L75&gt;1,INDEX(挂机升级突破!$AI$35:$AI$55,卡牌消耗!L75),"")</f>
        <v>319500</v>
      </c>
      <c r="P75" s="15" t="str">
        <f>IF(L75&gt;1,INDEX(价值概述!$A$4:$A$8,INDEX(挂机升级突破!$W$35:$W$55,卡牌消耗!L75)),"")</f>
        <v>红色基础材料</v>
      </c>
      <c r="Q75" s="15">
        <f>IF(L75&gt;1,INDEX(挂机升级突破!$Z$35:$AD$55,卡牌消耗!L75,INDEX(挂机升级突破!$W$35:$W$55,卡牌消耗!L75)),"")</f>
        <v>65</v>
      </c>
      <c r="R75" s="15" t="str">
        <f>IF(INDEX(挂机升级突破!$X$35:$X$55,卡牌消耗!L75)&gt;0,INDEX($G$2:$I$2,INDEX(挂机升级突破!$X$35:$X$55,卡牌消耗!L75))&amp;M75,"")</f>
        <v>高级红</v>
      </c>
      <c r="S75" s="15">
        <f>IF(R75="","",INDEX(挂机升级突破!$AE$35:$AG$55,卡牌消耗!L75,INDEX(挂机升级突破!$X$35:$X$55,卡牌消耗!L75)))</f>
        <v>125</v>
      </c>
      <c r="T75" s="15" t="str">
        <f>IF(INDEX(挂机升级突破!$Y$35:$Y$55,卡牌消耗!L75)&gt;0,"灵玉","")</f>
        <v>灵玉</v>
      </c>
      <c r="U75" s="15">
        <f>IF(INDEX(挂机升级突破!$Y$35:$Y$55,卡牌消耗!L75)&gt;0,INDEX(挂机升级突破!$AH$35:$AH$55,卡牌消耗!L75),"")</f>
        <v>35</v>
      </c>
    </row>
    <row r="76" spans="9:21" ht="16.5" x14ac:dyDescent="0.2">
      <c r="I76" s="35">
        <v>40</v>
      </c>
      <c r="J76" s="15">
        <f t="shared" si="1"/>
        <v>1102002</v>
      </c>
      <c r="K76" s="15">
        <f t="shared" si="2"/>
        <v>3</v>
      </c>
      <c r="L76" s="15">
        <f t="shared" si="4"/>
        <v>19</v>
      </c>
      <c r="M76" s="15" t="str">
        <f t="shared" si="3"/>
        <v>红</v>
      </c>
      <c r="N76" s="15" t="str">
        <f t="shared" si="5"/>
        <v>金币</v>
      </c>
      <c r="O76" s="15">
        <f>IF(L76&gt;1,INDEX(挂机升级突破!$AI$35:$AI$55,卡牌消耗!L76),"")</f>
        <v>426000</v>
      </c>
      <c r="P76" s="15" t="str">
        <f>IF(L76&gt;1,INDEX(价值概述!$A$4:$A$8,INDEX(挂机升级突破!$W$35:$W$55,卡牌消耗!L76)),"")</f>
        <v>红色基础材料</v>
      </c>
      <c r="Q76" s="15">
        <f>IF(L76&gt;1,INDEX(挂机升级突破!$Z$35:$AD$55,卡牌消耗!L76,INDEX(挂机升级突破!$W$35:$W$55,卡牌消耗!L76)),"")</f>
        <v>90</v>
      </c>
      <c r="R76" s="15" t="str">
        <f>IF(INDEX(挂机升级突破!$X$35:$X$55,卡牌消耗!L76)&gt;0,INDEX($G$2:$I$2,INDEX(挂机升级突破!$X$35:$X$55,卡牌消耗!L76))&amp;M76,"")</f>
        <v>高级红</v>
      </c>
      <c r="S76" s="15">
        <f>IF(R76="","",INDEX(挂机升级突破!$AE$35:$AG$55,卡牌消耗!L76,INDEX(挂机升级突破!$X$35:$X$55,卡牌消耗!L76)))</f>
        <v>155</v>
      </c>
      <c r="T76" s="15" t="str">
        <f>IF(INDEX(挂机升级突破!$Y$35:$Y$55,卡牌消耗!L76)&gt;0,"灵玉","")</f>
        <v>灵玉</v>
      </c>
      <c r="U76" s="15">
        <f>IF(INDEX(挂机升级突破!$Y$35:$Y$55,卡牌消耗!L76)&gt;0,INDEX(挂机升级突破!$AH$35:$AH$55,卡牌消耗!L76),"")</f>
        <v>50</v>
      </c>
    </row>
    <row r="77" spans="9:21" ht="16.5" x14ac:dyDescent="0.2">
      <c r="I77" s="35">
        <v>41</v>
      </c>
      <c r="J77" s="15">
        <f t="shared" si="1"/>
        <v>1102002</v>
      </c>
      <c r="K77" s="15">
        <f t="shared" si="2"/>
        <v>3</v>
      </c>
      <c r="L77" s="15">
        <f t="shared" si="4"/>
        <v>20</v>
      </c>
      <c r="M77" s="15" t="str">
        <f t="shared" si="3"/>
        <v>红</v>
      </c>
      <c r="N77" s="15" t="str">
        <f t="shared" si="5"/>
        <v>金币</v>
      </c>
      <c r="O77" s="15">
        <f>IF(L77&gt;1,INDEX(挂机升级突破!$AI$35:$AI$55,卡牌消耗!L77),"")</f>
        <v>532500</v>
      </c>
      <c r="P77" s="15" t="str">
        <f>IF(L77&gt;1,INDEX(价值概述!$A$4:$A$8,INDEX(挂机升级突破!$W$35:$W$55,卡牌消耗!L77)),"")</f>
        <v>红色基础材料</v>
      </c>
      <c r="Q77" s="15">
        <f>IF(L77&gt;1,INDEX(挂机升级突破!$Z$35:$AD$55,卡牌消耗!L77,INDEX(挂机升级突破!$W$35:$W$55,卡牌消耗!L77)),"")</f>
        <v>110</v>
      </c>
      <c r="R77" s="15" t="str">
        <f>IF(INDEX(挂机升级突破!$X$35:$X$55,卡牌消耗!L77)&gt;0,INDEX($G$2:$I$2,INDEX(挂机升级突破!$X$35:$X$55,卡牌消耗!L77))&amp;M77,"")</f>
        <v>高级红</v>
      </c>
      <c r="S77" s="15">
        <f>IF(R77="","",INDEX(挂机升级突破!$AE$35:$AG$55,卡牌消耗!L77,INDEX(挂机升级突破!$X$35:$X$55,卡牌消耗!L77)))</f>
        <v>180</v>
      </c>
      <c r="T77" s="15" t="str">
        <f>IF(INDEX(挂机升级突破!$Y$35:$Y$55,卡牌消耗!L77)&gt;0,"灵玉","")</f>
        <v>灵玉</v>
      </c>
      <c r="U77" s="15">
        <f>IF(INDEX(挂机升级突破!$Y$35:$Y$55,卡牌消耗!L77)&gt;0,INDEX(挂机升级突破!$AH$35:$AH$55,卡牌消耗!L77),"")</f>
        <v>65</v>
      </c>
    </row>
    <row r="78" spans="9:21" ht="16.5" x14ac:dyDescent="0.2">
      <c r="I78" s="35">
        <v>42</v>
      </c>
      <c r="J78" s="15">
        <f t="shared" si="1"/>
        <v>1102002</v>
      </c>
      <c r="K78" s="15">
        <f t="shared" si="2"/>
        <v>3</v>
      </c>
      <c r="L78" s="15">
        <f t="shared" si="4"/>
        <v>21</v>
      </c>
      <c r="M78" s="15" t="str">
        <f t="shared" si="3"/>
        <v>红</v>
      </c>
      <c r="N78" s="15" t="str">
        <f t="shared" si="5"/>
        <v>金币</v>
      </c>
      <c r="O78" s="15">
        <f>IF(L78&gt;1,INDEX(挂机升级突破!$AI$35:$AI$55,卡牌消耗!L78),"")</f>
        <v>639000</v>
      </c>
      <c r="P78" s="15" t="str">
        <f>IF(L78&gt;1,INDEX(价值概述!$A$4:$A$8,INDEX(挂机升级突破!$W$35:$W$55,卡牌消耗!L78)),"")</f>
        <v>红色基础材料</v>
      </c>
      <c r="Q78" s="15">
        <f>IF(L78&gt;1,INDEX(挂机升级突破!$Z$35:$AD$55,卡牌消耗!L78,INDEX(挂机升级突破!$W$35:$W$55,卡牌消耗!L78)),"")</f>
        <v>135</v>
      </c>
      <c r="R78" s="15" t="str">
        <f>IF(INDEX(挂机升级突破!$X$35:$X$55,卡牌消耗!L78)&gt;0,INDEX($G$2:$I$2,INDEX(挂机升级突破!$X$35:$X$55,卡牌消耗!L78))&amp;M78,"")</f>
        <v>高级红</v>
      </c>
      <c r="S78" s="15">
        <f>IF(R78="","",INDEX(挂机升级突破!$AE$35:$AG$55,卡牌消耗!L78,INDEX(挂机升级突破!$X$35:$X$55,卡牌消耗!L78)))</f>
        <v>225</v>
      </c>
      <c r="T78" s="15" t="str">
        <f>IF(INDEX(挂机升级突破!$Y$35:$Y$55,卡牌消耗!L78)&gt;0,"灵玉","")</f>
        <v>灵玉</v>
      </c>
      <c r="U78" s="15">
        <f>IF(INDEX(挂机升级突破!$Y$35:$Y$55,卡牌消耗!L78)&gt;0,INDEX(挂机升级突破!$AH$35:$AH$55,卡牌消耗!L78),"")</f>
        <v>75</v>
      </c>
    </row>
    <row r="79" spans="9:21" ht="16.5" x14ac:dyDescent="0.2">
      <c r="I79" s="35">
        <v>43</v>
      </c>
      <c r="J79" s="15">
        <f t="shared" si="1"/>
        <v>1102003</v>
      </c>
      <c r="K79" s="15">
        <f t="shared" si="2"/>
        <v>3</v>
      </c>
      <c r="L79" s="15">
        <f t="shared" si="4"/>
        <v>1</v>
      </c>
      <c r="M79" s="15" t="str">
        <f t="shared" si="3"/>
        <v>黄</v>
      </c>
      <c r="N79" s="15" t="str">
        <f t="shared" si="5"/>
        <v/>
      </c>
      <c r="O79" s="15" t="str">
        <f>IF(L79&gt;1,INDEX(挂机升级突破!$AI$35:$AI$55,卡牌消耗!L79),"")</f>
        <v/>
      </c>
      <c r="P79" s="15" t="str">
        <f>IF(L79&gt;1,INDEX(价值概述!$A$4:$A$8,INDEX(挂机升级突破!$W$35:$W$55,卡牌消耗!L79)),"")</f>
        <v/>
      </c>
      <c r="Q79" s="15" t="str">
        <f>IF(L79&gt;1,INDEX(挂机升级突破!$Z$35:$AD$55,卡牌消耗!L79,INDEX(挂机升级突破!$W$35:$W$55,卡牌消耗!L79)),"")</f>
        <v/>
      </c>
      <c r="R79" s="15" t="str">
        <f>IF(INDEX(挂机升级突破!$X$35:$X$55,卡牌消耗!L79)&gt;0,INDEX($G$2:$I$2,INDEX(挂机升级突破!$X$35:$X$55,卡牌消耗!L79))&amp;M79,"")</f>
        <v/>
      </c>
      <c r="S79" s="15" t="str">
        <f>IF(R79="","",INDEX(挂机升级突破!$AE$35:$AG$55,卡牌消耗!L79,INDEX(挂机升级突破!$X$35:$X$55,卡牌消耗!L79)))</f>
        <v/>
      </c>
      <c r="T79" s="15" t="str">
        <f>IF(INDEX(挂机升级突破!$Y$35:$Y$55,卡牌消耗!L79)&gt;0,"灵玉","")</f>
        <v/>
      </c>
      <c r="U79" s="15" t="str">
        <f>IF(INDEX(挂机升级突破!$Y$35:$Y$55,卡牌消耗!L79)&gt;0,INDEX(挂机升级突破!$AH$35:$AH$55,卡牌消耗!L79),"")</f>
        <v/>
      </c>
    </row>
    <row r="80" spans="9:21" ht="16.5" x14ac:dyDescent="0.2">
      <c r="I80" s="35">
        <v>44</v>
      </c>
      <c r="J80" s="15">
        <f t="shared" si="1"/>
        <v>1102003</v>
      </c>
      <c r="K80" s="15">
        <f t="shared" si="2"/>
        <v>3</v>
      </c>
      <c r="L80" s="15">
        <f t="shared" si="4"/>
        <v>2</v>
      </c>
      <c r="M80" s="15" t="str">
        <f t="shared" si="3"/>
        <v>黄</v>
      </c>
      <c r="N80" s="15" t="str">
        <f t="shared" si="5"/>
        <v>金币</v>
      </c>
      <c r="O80" s="15">
        <f>IF(L80&gt;1,INDEX(挂机升级突破!$AI$35:$AI$55,卡牌消耗!L80),"")</f>
        <v>2500</v>
      </c>
      <c r="P80" s="15" t="str">
        <f>IF(L80&gt;1,INDEX(价值概述!$A$4:$A$8,INDEX(挂机升级突破!$W$35:$W$55,卡牌消耗!L80)),"")</f>
        <v>绿色基础材料</v>
      </c>
      <c r="Q80" s="15">
        <f>IF(L80&gt;1,INDEX(挂机升级突破!$Z$35:$AD$55,卡牌消耗!L80,INDEX(挂机升级突破!$W$35:$W$55,卡牌消耗!L80)),"")</f>
        <v>10</v>
      </c>
      <c r="R80" s="15" t="str">
        <f>IF(INDEX(挂机升级突破!$X$35:$X$55,卡牌消耗!L80)&gt;0,INDEX($G$2:$I$2,INDEX(挂机升级突破!$X$35:$X$55,卡牌消耗!L80))&amp;M80,"")</f>
        <v/>
      </c>
      <c r="S80" s="15" t="str">
        <f>IF(R80="","",INDEX(挂机升级突破!$AE$35:$AG$55,卡牌消耗!L80,INDEX(挂机升级突破!$X$35:$X$55,卡牌消耗!L80)))</f>
        <v/>
      </c>
      <c r="T80" s="15" t="str">
        <f>IF(INDEX(挂机升级突破!$Y$35:$Y$55,卡牌消耗!L80)&gt;0,"灵玉","")</f>
        <v/>
      </c>
      <c r="U80" s="15" t="str">
        <f>IF(INDEX(挂机升级突破!$Y$35:$Y$55,卡牌消耗!L80)&gt;0,INDEX(挂机升级突破!$AH$35:$AH$55,卡牌消耗!L80),"")</f>
        <v/>
      </c>
    </row>
    <row r="81" spans="9:21" ht="16.5" x14ac:dyDescent="0.2">
      <c r="I81" s="35">
        <v>45</v>
      </c>
      <c r="J81" s="15">
        <f t="shared" si="1"/>
        <v>1102003</v>
      </c>
      <c r="K81" s="15">
        <f t="shared" si="2"/>
        <v>3</v>
      </c>
      <c r="L81" s="15">
        <f t="shared" si="4"/>
        <v>3</v>
      </c>
      <c r="M81" s="15" t="str">
        <f t="shared" si="3"/>
        <v>黄</v>
      </c>
      <c r="N81" s="15" t="str">
        <f t="shared" si="5"/>
        <v>金币</v>
      </c>
      <c r="O81" s="15">
        <f>IF(L81&gt;1,INDEX(挂机升级突破!$AI$35:$AI$55,卡牌消耗!L81),"")</f>
        <v>8000</v>
      </c>
      <c r="P81" s="15" t="str">
        <f>IF(L81&gt;1,INDEX(价值概述!$A$4:$A$8,INDEX(挂机升级突破!$W$35:$W$55,卡牌消耗!L81)),"")</f>
        <v>绿色基础材料</v>
      </c>
      <c r="Q81" s="15">
        <f>IF(L81&gt;1,INDEX(挂机升级突破!$Z$35:$AD$55,卡牌消耗!L81,INDEX(挂机升级突破!$W$35:$W$55,卡牌消耗!L81)),"")</f>
        <v>40</v>
      </c>
      <c r="R81" s="15" t="str">
        <f>IF(INDEX(挂机升级突破!$X$35:$X$55,卡牌消耗!L81)&gt;0,INDEX($G$2:$I$2,INDEX(挂机升级突破!$X$35:$X$55,卡牌消耗!L81))&amp;M81,"")</f>
        <v/>
      </c>
      <c r="S81" s="15" t="str">
        <f>IF(R81="","",INDEX(挂机升级突破!$AE$35:$AG$55,卡牌消耗!L81,INDEX(挂机升级突破!$X$35:$X$55,卡牌消耗!L81)))</f>
        <v/>
      </c>
      <c r="T81" s="15" t="str">
        <f>IF(INDEX(挂机升级突破!$Y$35:$Y$55,卡牌消耗!L81)&gt;0,"灵玉","")</f>
        <v/>
      </c>
      <c r="U81" s="15" t="str">
        <f>IF(INDEX(挂机升级突破!$Y$35:$Y$55,卡牌消耗!L81)&gt;0,INDEX(挂机升级突破!$AH$35:$AH$55,卡牌消耗!L81),"")</f>
        <v/>
      </c>
    </row>
    <row r="82" spans="9:21" ht="16.5" x14ac:dyDescent="0.2">
      <c r="I82" s="35">
        <v>46</v>
      </c>
      <c r="J82" s="15">
        <f t="shared" si="1"/>
        <v>1102003</v>
      </c>
      <c r="K82" s="15">
        <f t="shared" si="2"/>
        <v>3</v>
      </c>
      <c r="L82" s="15">
        <f t="shared" si="4"/>
        <v>4</v>
      </c>
      <c r="M82" s="15" t="str">
        <f t="shared" si="3"/>
        <v>黄</v>
      </c>
      <c r="N82" s="15" t="str">
        <f t="shared" si="5"/>
        <v>金币</v>
      </c>
      <c r="O82" s="15">
        <f>IF(L82&gt;1,INDEX(挂机升级突破!$AI$35:$AI$55,卡牌消耗!L82),"")</f>
        <v>16500</v>
      </c>
      <c r="P82" s="15" t="str">
        <f>IF(L82&gt;1,INDEX(价值概述!$A$4:$A$8,INDEX(挂机升级突破!$W$35:$W$55,卡牌消耗!L82)),"")</f>
        <v>绿色基础材料</v>
      </c>
      <c r="Q82" s="15">
        <f>IF(L82&gt;1,INDEX(挂机升级突破!$Z$35:$AD$55,卡牌消耗!L82,INDEX(挂机升级突破!$W$35:$W$55,卡牌消耗!L82)),"")</f>
        <v>80</v>
      </c>
      <c r="R82" s="15" t="str">
        <f>IF(INDEX(挂机升级突破!$X$35:$X$55,卡牌消耗!L82)&gt;0,INDEX($G$2:$I$2,INDEX(挂机升级突破!$X$35:$X$55,卡牌消耗!L82))&amp;M82,"")</f>
        <v>初级黄</v>
      </c>
      <c r="S82" s="15">
        <f>IF(R82="","",INDEX(挂机升级突破!$AE$35:$AG$55,卡牌消耗!L82,INDEX(挂机升级突破!$X$35:$X$55,卡牌消耗!L82)))</f>
        <v>40</v>
      </c>
      <c r="T82" s="15" t="str">
        <f>IF(INDEX(挂机升级突破!$Y$35:$Y$55,卡牌消耗!L82)&gt;0,"灵玉","")</f>
        <v/>
      </c>
      <c r="U82" s="15" t="str">
        <f>IF(INDEX(挂机升级突破!$Y$35:$Y$55,卡牌消耗!L82)&gt;0,INDEX(挂机升级突破!$AH$35:$AH$55,卡牌消耗!L82),"")</f>
        <v/>
      </c>
    </row>
    <row r="83" spans="9:21" ht="16.5" x14ac:dyDescent="0.2">
      <c r="I83" s="35">
        <v>47</v>
      </c>
      <c r="J83" s="15">
        <f t="shared" si="1"/>
        <v>1102003</v>
      </c>
      <c r="K83" s="15">
        <f t="shared" si="2"/>
        <v>3</v>
      </c>
      <c r="L83" s="15">
        <f t="shared" si="4"/>
        <v>5</v>
      </c>
      <c r="M83" s="15" t="str">
        <f t="shared" si="3"/>
        <v>黄</v>
      </c>
      <c r="N83" s="15" t="str">
        <f t="shared" si="5"/>
        <v>金币</v>
      </c>
      <c r="O83" s="15">
        <f>IF(L83&gt;1,INDEX(挂机升级突破!$AI$35:$AI$55,卡牌消耗!L83),"")</f>
        <v>22500</v>
      </c>
      <c r="P83" s="15" t="str">
        <f>IF(L83&gt;1,INDEX(价值概述!$A$4:$A$8,INDEX(挂机升级突破!$W$35:$W$55,卡牌消耗!L83)),"")</f>
        <v>蓝色基础材料</v>
      </c>
      <c r="Q83" s="15">
        <f>IF(L83&gt;1,INDEX(挂机升级突破!$Z$35:$AD$55,卡牌消耗!L83,INDEX(挂机升级突破!$W$35:$W$55,卡牌消耗!L83)),"")</f>
        <v>35</v>
      </c>
      <c r="R83" s="15" t="str">
        <f>IF(INDEX(挂机升级突破!$X$35:$X$55,卡牌消耗!L83)&gt;0,INDEX($G$2:$I$2,INDEX(挂机升级突破!$X$35:$X$55,卡牌消耗!L83))&amp;M83,"")</f>
        <v>初级黄</v>
      </c>
      <c r="S83" s="15">
        <f>IF(R83="","",INDEX(挂机升级突破!$AE$35:$AG$55,卡牌消耗!L83,INDEX(挂机升级突破!$X$35:$X$55,卡牌消耗!L83)))</f>
        <v>65</v>
      </c>
      <c r="T83" s="15" t="str">
        <f>IF(INDEX(挂机升级突破!$Y$35:$Y$55,卡牌消耗!L83)&gt;0,"灵玉","")</f>
        <v/>
      </c>
      <c r="U83" s="15" t="str">
        <f>IF(INDEX(挂机升级突破!$Y$35:$Y$55,卡牌消耗!L83)&gt;0,INDEX(挂机升级突破!$AH$35:$AH$55,卡牌消耗!L83),"")</f>
        <v/>
      </c>
    </row>
    <row r="84" spans="9:21" ht="16.5" x14ac:dyDescent="0.2">
      <c r="I84" s="35">
        <v>48</v>
      </c>
      <c r="J84" s="15">
        <f t="shared" si="1"/>
        <v>1102003</v>
      </c>
      <c r="K84" s="15">
        <f t="shared" si="2"/>
        <v>3</v>
      </c>
      <c r="L84" s="15">
        <f t="shared" si="4"/>
        <v>6</v>
      </c>
      <c r="M84" s="15" t="str">
        <f t="shared" si="3"/>
        <v>黄</v>
      </c>
      <c r="N84" s="15" t="str">
        <f t="shared" si="5"/>
        <v>金币</v>
      </c>
      <c r="O84" s="15">
        <f>IF(L84&gt;1,INDEX(挂机升级突破!$AI$35:$AI$55,卡牌消耗!L84),"")</f>
        <v>53000</v>
      </c>
      <c r="P84" s="15" t="str">
        <f>IF(L84&gt;1,INDEX(价值概述!$A$4:$A$8,INDEX(挂机升级突破!$W$35:$W$55,卡牌消耗!L84)),"")</f>
        <v>蓝色基础材料</v>
      </c>
      <c r="Q84" s="15">
        <f>IF(L84&gt;1,INDEX(挂机升级突破!$Z$35:$AD$55,卡牌消耗!L84,INDEX(挂机升级突破!$W$35:$W$55,卡牌消耗!L84)),"")</f>
        <v>70</v>
      </c>
      <c r="R84" s="15" t="str">
        <f>IF(INDEX(挂机升级突破!$X$35:$X$55,卡牌消耗!L84)&gt;0,INDEX($G$2:$I$2,INDEX(挂机升级突破!$X$35:$X$55,卡牌消耗!L84))&amp;M84,"")</f>
        <v>初级黄</v>
      </c>
      <c r="S84" s="15">
        <f>IF(R84="","",INDEX(挂机升级突破!$AE$35:$AG$55,卡牌消耗!L84,INDEX(挂机升级突破!$X$35:$X$55,卡牌消耗!L84)))</f>
        <v>85</v>
      </c>
      <c r="T84" s="15" t="str">
        <f>IF(INDEX(挂机升级突破!$Y$35:$Y$55,卡牌消耗!L84)&gt;0,"灵玉","")</f>
        <v/>
      </c>
      <c r="U84" s="15" t="str">
        <f>IF(INDEX(挂机升级突破!$Y$35:$Y$55,卡牌消耗!L84)&gt;0,INDEX(挂机升级突破!$AH$35:$AH$55,卡牌消耗!L84),"")</f>
        <v/>
      </c>
    </row>
    <row r="85" spans="9:21" ht="16.5" x14ac:dyDescent="0.2">
      <c r="I85" s="35">
        <v>49</v>
      </c>
      <c r="J85" s="15">
        <f t="shared" si="1"/>
        <v>1102003</v>
      </c>
      <c r="K85" s="15">
        <f t="shared" si="2"/>
        <v>3</v>
      </c>
      <c r="L85" s="15">
        <f t="shared" si="4"/>
        <v>7</v>
      </c>
      <c r="M85" s="15" t="str">
        <f t="shared" si="3"/>
        <v>黄</v>
      </c>
      <c r="N85" s="15" t="str">
        <f t="shared" si="5"/>
        <v>金币</v>
      </c>
      <c r="O85" s="15">
        <f>IF(L85&gt;1,INDEX(挂机升级突破!$AI$35:$AI$55,卡牌消耗!L85),"")</f>
        <v>59500</v>
      </c>
      <c r="P85" s="15" t="str">
        <f>IF(L85&gt;1,INDEX(价值概述!$A$4:$A$8,INDEX(挂机升级突破!$W$35:$W$55,卡牌消耗!L85)),"")</f>
        <v>蓝色基础材料</v>
      </c>
      <c r="Q85" s="15">
        <f>IF(L85&gt;1,INDEX(挂机升级突破!$Z$35:$AD$55,卡牌消耗!L85,INDEX(挂机升级突破!$W$35:$W$55,卡牌消耗!L85)),"")</f>
        <v>110</v>
      </c>
      <c r="R85" s="15" t="str">
        <f>IF(INDEX(挂机升级突破!$X$35:$X$55,卡牌消耗!L85)&gt;0,INDEX($G$2:$I$2,INDEX(挂机升级突破!$X$35:$X$55,卡牌消耗!L85))&amp;M85,"")</f>
        <v>初级黄</v>
      </c>
      <c r="S85" s="15">
        <f>IF(R85="","",INDEX(挂机升级突破!$AE$35:$AG$55,卡牌消耗!L85,INDEX(挂机升级突破!$X$35:$X$55,卡牌消耗!L85)))</f>
        <v>110</v>
      </c>
      <c r="T85" s="15" t="str">
        <f>IF(INDEX(挂机升级突破!$Y$35:$Y$55,卡牌消耗!L85)&gt;0,"灵玉","")</f>
        <v/>
      </c>
      <c r="U85" s="15" t="str">
        <f>IF(INDEX(挂机升级突破!$Y$35:$Y$55,卡牌消耗!L85)&gt;0,INDEX(挂机升级突破!$AH$35:$AH$55,卡牌消耗!L85),"")</f>
        <v/>
      </c>
    </row>
    <row r="86" spans="9:21" ht="16.5" x14ac:dyDescent="0.2">
      <c r="I86" s="35">
        <v>50</v>
      </c>
      <c r="J86" s="15">
        <f t="shared" si="1"/>
        <v>1102003</v>
      </c>
      <c r="K86" s="15">
        <f t="shared" si="2"/>
        <v>3</v>
      </c>
      <c r="L86" s="15">
        <f t="shared" si="4"/>
        <v>8</v>
      </c>
      <c r="M86" s="15" t="str">
        <f t="shared" si="3"/>
        <v>黄</v>
      </c>
      <c r="N86" s="15" t="str">
        <f t="shared" si="5"/>
        <v>金币</v>
      </c>
      <c r="O86" s="15">
        <f>IF(L86&gt;1,INDEX(挂机升级突破!$AI$35:$AI$55,卡牌消耗!L86),"")</f>
        <v>65500</v>
      </c>
      <c r="P86" s="15" t="str">
        <f>IF(L86&gt;1,INDEX(价值概述!$A$4:$A$8,INDEX(挂机升级突破!$W$35:$W$55,卡牌消耗!L86)),"")</f>
        <v>蓝色基础材料</v>
      </c>
      <c r="Q86" s="15">
        <f>IF(L86&gt;1,INDEX(挂机升级突破!$Z$35:$AD$55,卡牌消耗!L86,INDEX(挂机升级突破!$W$35:$W$55,卡牌消耗!L86)),"")</f>
        <v>145</v>
      </c>
      <c r="R86" s="15" t="str">
        <f>IF(INDEX(挂机升级突破!$X$35:$X$55,卡牌消耗!L86)&gt;0,INDEX($G$2:$I$2,INDEX(挂机升级突破!$X$35:$X$55,卡牌消耗!L86))&amp;M86,"")</f>
        <v>初级黄</v>
      </c>
      <c r="S86" s="15">
        <f>IF(R86="","",INDEX(挂机升级突破!$AE$35:$AG$55,卡牌消耗!L86,INDEX(挂机升级突破!$X$35:$X$55,卡牌消耗!L86)))</f>
        <v>130</v>
      </c>
      <c r="T86" s="15" t="str">
        <f>IF(INDEX(挂机升级突破!$Y$35:$Y$55,卡牌消耗!L86)&gt;0,"灵玉","")</f>
        <v/>
      </c>
      <c r="U86" s="15" t="str">
        <f>IF(INDEX(挂机升级突破!$Y$35:$Y$55,卡牌消耗!L86)&gt;0,INDEX(挂机升级突破!$AH$35:$AH$55,卡牌消耗!L86),"")</f>
        <v/>
      </c>
    </row>
    <row r="87" spans="9:21" ht="16.5" x14ac:dyDescent="0.2">
      <c r="I87" s="35">
        <v>51</v>
      </c>
      <c r="J87" s="15">
        <f t="shared" si="1"/>
        <v>1102003</v>
      </c>
      <c r="K87" s="15">
        <f t="shared" si="2"/>
        <v>3</v>
      </c>
      <c r="L87" s="15">
        <f t="shared" si="4"/>
        <v>9</v>
      </c>
      <c r="M87" s="15" t="str">
        <f t="shared" si="3"/>
        <v>黄</v>
      </c>
      <c r="N87" s="15" t="str">
        <f t="shared" si="5"/>
        <v>金币</v>
      </c>
      <c r="O87" s="15">
        <f>IF(L87&gt;1,INDEX(挂机升级突破!$AI$35:$AI$55,卡牌消耗!L87),"")</f>
        <v>76000</v>
      </c>
      <c r="P87" s="15" t="str">
        <f>IF(L87&gt;1,INDEX(价值概述!$A$4:$A$8,INDEX(挂机升级突破!$W$35:$W$55,卡牌消耗!L87)),"")</f>
        <v>紫色基础材料</v>
      </c>
      <c r="Q87" s="15">
        <f>IF(L87&gt;1,INDEX(挂机升级突破!$Z$35:$AD$55,卡牌消耗!L87,INDEX(挂机升级突破!$W$35:$W$55,卡牌消耗!L87)),"")</f>
        <v>70</v>
      </c>
      <c r="R87" s="15" t="str">
        <f>IF(INDEX(挂机升级突破!$X$35:$X$55,卡牌消耗!L87)&gt;0,INDEX($G$2:$I$2,INDEX(挂机升级突破!$X$35:$X$55,卡牌消耗!L87))&amp;M87,"")</f>
        <v>中级黄</v>
      </c>
      <c r="S87" s="15">
        <f>IF(R87="","",INDEX(挂机升级突破!$AE$35:$AG$55,卡牌消耗!L87,INDEX(挂机升级突破!$X$35:$X$55,卡牌消耗!L87)))</f>
        <v>55</v>
      </c>
      <c r="T87" s="15" t="str">
        <f>IF(INDEX(挂机升级突破!$Y$35:$Y$55,卡牌消耗!L87)&gt;0,"灵玉","")</f>
        <v/>
      </c>
      <c r="U87" s="15" t="str">
        <f>IF(INDEX(挂机升级突破!$Y$35:$Y$55,卡牌消耗!L87)&gt;0,INDEX(挂机升级突破!$AH$35:$AH$55,卡牌消耗!L87),"")</f>
        <v/>
      </c>
    </row>
    <row r="88" spans="9:21" ht="16.5" x14ac:dyDescent="0.2">
      <c r="I88" s="35">
        <v>52</v>
      </c>
      <c r="J88" s="15">
        <f t="shared" si="1"/>
        <v>1102003</v>
      </c>
      <c r="K88" s="15">
        <f t="shared" si="2"/>
        <v>3</v>
      </c>
      <c r="L88" s="15">
        <f t="shared" si="4"/>
        <v>10</v>
      </c>
      <c r="M88" s="15" t="str">
        <f t="shared" si="3"/>
        <v>黄</v>
      </c>
      <c r="N88" s="15" t="str">
        <f t="shared" si="5"/>
        <v>金币</v>
      </c>
      <c r="O88" s="15">
        <f>IF(L88&gt;1,INDEX(挂机升级突破!$AI$35:$AI$55,卡牌消耗!L88),"")</f>
        <v>83000</v>
      </c>
      <c r="P88" s="15" t="str">
        <f>IF(L88&gt;1,INDEX(价值概述!$A$4:$A$8,INDEX(挂机升级突破!$W$35:$W$55,卡牌消耗!L88)),"")</f>
        <v>紫色基础材料</v>
      </c>
      <c r="Q88" s="15">
        <f>IF(L88&gt;1,INDEX(挂机升级突破!$Z$35:$AD$55,卡牌消耗!L88,INDEX(挂机升级突破!$W$35:$W$55,卡牌消耗!L88)),"")</f>
        <v>140</v>
      </c>
      <c r="R88" s="15" t="str">
        <f>IF(INDEX(挂机升级突破!$X$35:$X$55,卡牌消耗!L88)&gt;0,INDEX($G$2:$I$2,INDEX(挂机升级突破!$X$35:$X$55,卡牌消耗!L88))&amp;M88,"")</f>
        <v>中级黄</v>
      </c>
      <c r="S88" s="15">
        <f>IF(R88="","",INDEX(挂机升级突破!$AE$35:$AG$55,卡牌消耗!L88,INDEX(挂机升级突破!$X$35:$X$55,卡牌消耗!L88)))</f>
        <v>95</v>
      </c>
      <c r="T88" s="15" t="str">
        <f>IF(INDEX(挂机升级突破!$Y$35:$Y$55,卡牌消耗!L88)&gt;0,"灵玉","")</f>
        <v/>
      </c>
      <c r="U88" s="15" t="str">
        <f>IF(INDEX(挂机升级突破!$Y$35:$Y$55,卡牌消耗!L88)&gt;0,INDEX(挂机升级突破!$AH$35:$AH$55,卡牌消耗!L88),"")</f>
        <v/>
      </c>
    </row>
    <row r="89" spans="9:21" ht="16.5" x14ac:dyDescent="0.2">
      <c r="I89" s="35">
        <v>53</v>
      </c>
      <c r="J89" s="15">
        <f t="shared" si="1"/>
        <v>1102003</v>
      </c>
      <c r="K89" s="15">
        <f t="shared" si="2"/>
        <v>3</v>
      </c>
      <c r="L89" s="15">
        <f t="shared" si="4"/>
        <v>11</v>
      </c>
      <c r="M89" s="15" t="str">
        <f t="shared" si="3"/>
        <v>黄</v>
      </c>
      <c r="N89" s="15" t="str">
        <f t="shared" si="5"/>
        <v>金币</v>
      </c>
      <c r="O89" s="15">
        <f>IF(L89&gt;1,INDEX(挂机升级突破!$AI$35:$AI$55,卡牌消耗!L89),"")</f>
        <v>90000</v>
      </c>
      <c r="P89" s="15" t="str">
        <f>IF(L89&gt;1,INDEX(价值概述!$A$4:$A$8,INDEX(挂机升级突破!$W$35:$W$55,卡牌消耗!L89)),"")</f>
        <v>紫色基础材料</v>
      </c>
      <c r="Q89" s="15">
        <f>IF(L89&gt;1,INDEX(挂机升级突破!$Z$35:$AD$55,卡牌消耗!L89,INDEX(挂机升级突破!$W$35:$W$55,卡牌消耗!L89)),"")</f>
        <v>215</v>
      </c>
      <c r="R89" s="15" t="str">
        <f>IF(INDEX(挂机升级突破!$X$35:$X$55,卡牌消耗!L89)&gt;0,INDEX($G$2:$I$2,INDEX(挂机升级突破!$X$35:$X$55,卡牌消耗!L89))&amp;M89,"")</f>
        <v>中级黄</v>
      </c>
      <c r="S89" s="15">
        <f>IF(R89="","",INDEX(挂机升级突破!$AE$35:$AG$55,卡牌消耗!L89,INDEX(挂机升级突破!$X$35:$X$55,卡牌消耗!L89)))</f>
        <v>145</v>
      </c>
      <c r="T89" s="15" t="str">
        <f>IF(INDEX(挂机升级突破!$Y$35:$Y$55,卡牌消耗!L89)&gt;0,"灵玉","")</f>
        <v/>
      </c>
      <c r="U89" s="15" t="str">
        <f>IF(INDEX(挂机升级突破!$Y$35:$Y$55,卡牌消耗!L89)&gt;0,INDEX(挂机升级突破!$AH$35:$AH$55,卡牌消耗!L89),"")</f>
        <v/>
      </c>
    </row>
    <row r="90" spans="9:21" ht="16.5" x14ac:dyDescent="0.2">
      <c r="I90" s="35">
        <v>54</v>
      </c>
      <c r="J90" s="15">
        <f t="shared" si="1"/>
        <v>1102003</v>
      </c>
      <c r="K90" s="15">
        <f t="shared" si="2"/>
        <v>3</v>
      </c>
      <c r="L90" s="15">
        <f t="shared" si="4"/>
        <v>12</v>
      </c>
      <c r="M90" s="15" t="str">
        <f t="shared" si="3"/>
        <v>黄</v>
      </c>
      <c r="N90" s="15" t="str">
        <f t="shared" si="5"/>
        <v>金币</v>
      </c>
      <c r="O90" s="15">
        <f>IF(L90&gt;1,INDEX(挂机升级突破!$AI$35:$AI$55,卡牌消耗!L90),"")</f>
        <v>97000</v>
      </c>
      <c r="P90" s="15" t="str">
        <f>IF(L90&gt;1,INDEX(价值概述!$A$4:$A$8,INDEX(挂机升级突破!$W$35:$W$55,卡牌消耗!L90)),"")</f>
        <v>紫色基础材料</v>
      </c>
      <c r="Q90" s="15">
        <f>IF(L90&gt;1,INDEX(挂机升级突破!$Z$35:$AD$55,卡牌消耗!L90,INDEX(挂机升级突破!$W$35:$W$55,卡牌消耗!L90)),"")</f>
        <v>285</v>
      </c>
      <c r="R90" s="15" t="str">
        <f>IF(INDEX(挂机升级突破!$X$35:$X$55,卡牌消耗!L90)&gt;0,INDEX($G$2:$I$2,INDEX(挂机升级突破!$X$35:$X$55,卡牌消耗!L90))&amp;M90,"")</f>
        <v>中级黄</v>
      </c>
      <c r="S90" s="15">
        <f>IF(R90="","",INDEX(挂机升级突破!$AE$35:$AG$55,卡牌消耗!L90,INDEX(挂机升级突破!$X$35:$X$55,卡牌消耗!L90)))</f>
        <v>185</v>
      </c>
      <c r="T90" s="15" t="str">
        <f>IF(INDEX(挂机升级突破!$Y$35:$Y$55,卡牌消耗!L90)&gt;0,"灵玉","")</f>
        <v/>
      </c>
      <c r="U90" s="15" t="str">
        <f>IF(INDEX(挂机升级突破!$Y$35:$Y$55,卡牌消耗!L90)&gt;0,INDEX(挂机升级突破!$AH$35:$AH$55,卡牌消耗!L90),"")</f>
        <v/>
      </c>
    </row>
    <row r="91" spans="9:21" ht="16.5" x14ac:dyDescent="0.2">
      <c r="I91" s="35">
        <v>55</v>
      </c>
      <c r="J91" s="15">
        <f t="shared" si="1"/>
        <v>1102003</v>
      </c>
      <c r="K91" s="15">
        <f t="shared" si="2"/>
        <v>3</v>
      </c>
      <c r="L91" s="15">
        <f t="shared" si="4"/>
        <v>13</v>
      </c>
      <c r="M91" s="15" t="str">
        <f t="shared" si="3"/>
        <v>黄</v>
      </c>
      <c r="N91" s="15" t="str">
        <f t="shared" si="5"/>
        <v>金币</v>
      </c>
      <c r="O91" s="15">
        <f>IF(L91&gt;1,INDEX(挂机升级突破!$AI$35:$AI$55,卡牌消耗!L91),"")</f>
        <v>122000</v>
      </c>
      <c r="P91" s="15" t="str">
        <f>IF(L91&gt;1,INDEX(价值概述!$A$4:$A$8,INDEX(挂机升级突破!$W$35:$W$55,卡牌消耗!L91)),"")</f>
        <v>橙色基础材料</v>
      </c>
      <c r="Q91" s="15">
        <f>IF(L91&gt;1,INDEX(挂机升级突破!$Z$35:$AD$55,卡牌消耗!L91,INDEX(挂机升级突破!$W$35:$W$55,卡牌消耗!L91)),"")</f>
        <v>115</v>
      </c>
      <c r="R91" s="15" t="str">
        <f>IF(INDEX(挂机升级突破!$X$35:$X$55,卡牌消耗!L91)&gt;0,INDEX($G$2:$I$2,INDEX(挂机升级突破!$X$35:$X$55,卡牌消耗!L91))&amp;M91,"")</f>
        <v>中级黄</v>
      </c>
      <c r="S91" s="15">
        <f>IF(R91="","",INDEX(挂机升级突破!$AE$35:$AG$55,卡牌消耗!L91,INDEX(挂机升级突破!$X$35:$X$55,卡牌消耗!L91)))</f>
        <v>225</v>
      </c>
      <c r="T91" s="15" t="str">
        <f>IF(INDEX(挂机升级突破!$Y$35:$Y$55,卡牌消耗!L91)&gt;0,"灵玉","")</f>
        <v/>
      </c>
      <c r="U91" s="15" t="str">
        <f>IF(INDEX(挂机升级突破!$Y$35:$Y$55,卡牌消耗!L91)&gt;0,INDEX(挂机升级突破!$AH$35:$AH$55,卡牌消耗!L91),"")</f>
        <v/>
      </c>
    </row>
    <row r="92" spans="9:21" ht="16.5" x14ac:dyDescent="0.2">
      <c r="I92" s="35">
        <v>56</v>
      </c>
      <c r="J92" s="15">
        <f t="shared" si="1"/>
        <v>1102003</v>
      </c>
      <c r="K92" s="15">
        <f t="shared" si="2"/>
        <v>3</v>
      </c>
      <c r="L92" s="15">
        <f t="shared" si="4"/>
        <v>14</v>
      </c>
      <c r="M92" s="15" t="str">
        <f t="shared" si="3"/>
        <v>黄</v>
      </c>
      <c r="N92" s="15" t="str">
        <f t="shared" si="5"/>
        <v>金币</v>
      </c>
      <c r="O92" s="15">
        <f>IF(L92&gt;1,INDEX(挂机升级突破!$AI$35:$AI$55,卡牌消耗!L92),"")</f>
        <v>162500</v>
      </c>
      <c r="P92" s="15" t="str">
        <f>IF(L92&gt;1,INDEX(价值概述!$A$4:$A$8,INDEX(挂机升级突破!$W$35:$W$55,卡牌消耗!L92)),"")</f>
        <v>橙色基础材料</v>
      </c>
      <c r="Q92" s="15">
        <f>IF(L92&gt;1,INDEX(挂机升级突破!$Z$35:$AD$55,卡牌消耗!L92,INDEX(挂机升级突破!$W$35:$W$55,卡牌消耗!L92)),"")</f>
        <v>235</v>
      </c>
      <c r="R92" s="15" t="str">
        <f>IF(INDEX(挂机升级突破!$X$35:$X$55,卡牌消耗!L92)&gt;0,INDEX($G$2:$I$2,INDEX(挂机升级突破!$X$35:$X$55,卡牌消耗!L92))&amp;M92,"")</f>
        <v>中级黄</v>
      </c>
      <c r="S92" s="15">
        <f>IF(R92="","",INDEX(挂机升级突破!$AE$35:$AG$55,卡牌消耗!L92,INDEX(挂机升级突破!$X$35:$X$55,卡牌消耗!L92)))</f>
        <v>265</v>
      </c>
      <c r="T92" s="15" t="str">
        <f>IF(INDEX(挂机升级突破!$Y$35:$Y$55,卡牌消耗!L92)&gt;0,"灵玉","")</f>
        <v/>
      </c>
      <c r="U92" s="15" t="str">
        <f>IF(INDEX(挂机升级突破!$Y$35:$Y$55,卡牌消耗!L92)&gt;0,INDEX(挂机升级突破!$AH$35:$AH$55,卡牌消耗!L92),"")</f>
        <v/>
      </c>
    </row>
    <row r="93" spans="9:21" ht="16.5" x14ac:dyDescent="0.2">
      <c r="I93" s="35">
        <v>57</v>
      </c>
      <c r="J93" s="15">
        <f t="shared" si="1"/>
        <v>1102003</v>
      </c>
      <c r="K93" s="15">
        <f t="shared" si="2"/>
        <v>3</v>
      </c>
      <c r="L93" s="15">
        <f t="shared" si="4"/>
        <v>15</v>
      </c>
      <c r="M93" s="15" t="str">
        <f t="shared" si="3"/>
        <v>黄</v>
      </c>
      <c r="N93" s="15" t="str">
        <f t="shared" si="5"/>
        <v>金币</v>
      </c>
      <c r="O93" s="15">
        <f>IF(L93&gt;1,INDEX(挂机升级突破!$AI$35:$AI$55,卡牌消耗!L93),"")</f>
        <v>190000</v>
      </c>
      <c r="P93" s="15" t="str">
        <f>IF(L93&gt;1,INDEX(价值概述!$A$4:$A$8,INDEX(挂机升级突破!$W$35:$W$55,卡牌消耗!L93)),"")</f>
        <v>橙色基础材料</v>
      </c>
      <c r="Q93" s="15">
        <f>IF(L93&gt;1,INDEX(挂机升级突破!$Z$35:$AD$55,卡牌消耗!L93,INDEX(挂机升级突破!$W$35:$W$55,卡牌消耗!L93)),"")</f>
        <v>355</v>
      </c>
      <c r="R93" s="15" t="str">
        <f>IF(INDEX(挂机升级突破!$X$35:$X$55,卡牌消耗!L93)&gt;0,INDEX($G$2:$I$2,INDEX(挂机升级突破!$X$35:$X$55,卡牌消耗!L93))&amp;M93,"")</f>
        <v>高级黄</v>
      </c>
      <c r="S93" s="15">
        <f>IF(R93="","",INDEX(挂机升级突破!$AE$35:$AG$55,卡牌消耗!L93,INDEX(挂机升级突破!$X$35:$X$55,卡牌消耗!L93)))</f>
        <v>45</v>
      </c>
      <c r="T93" s="15" t="str">
        <f>IF(INDEX(挂机升级突破!$Y$35:$Y$55,卡牌消耗!L93)&gt;0,"灵玉","")</f>
        <v/>
      </c>
      <c r="U93" s="15" t="str">
        <f>IF(INDEX(挂机升级突破!$Y$35:$Y$55,卡牌消耗!L93)&gt;0,INDEX(挂机升级突破!$AH$35:$AH$55,卡牌消耗!L93),"")</f>
        <v/>
      </c>
    </row>
    <row r="94" spans="9:21" ht="16.5" x14ac:dyDescent="0.2">
      <c r="I94" s="35">
        <v>58</v>
      </c>
      <c r="J94" s="15">
        <f t="shared" si="1"/>
        <v>1102003</v>
      </c>
      <c r="K94" s="15">
        <f t="shared" si="2"/>
        <v>3</v>
      </c>
      <c r="L94" s="15">
        <f t="shared" si="4"/>
        <v>16</v>
      </c>
      <c r="M94" s="15" t="str">
        <f t="shared" si="3"/>
        <v>黄</v>
      </c>
      <c r="N94" s="15" t="str">
        <f t="shared" si="5"/>
        <v>金币</v>
      </c>
      <c r="O94" s="15">
        <f>IF(L94&gt;1,INDEX(挂机升级突破!$AI$35:$AI$55,卡牌消耗!L94),"")</f>
        <v>219000</v>
      </c>
      <c r="P94" s="15" t="str">
        <f>IF(L94&gt;1,INDEX(价值概述!$A$4:$A$8,INDEX(挂机升级突破!$W$35:$W$55,卡牌消耗!L94)),"")</f>
        <v>橙色基础材料</v>
      </c>
      <c r="Q94" s="15">
        <f>IF(L94&gt;1,INDEX(挂机升级突破!$Z$35:$AD$55,卡牌消耗!L94,INDEX(挂机升级突破!$W$35:$W$55,卡牌消耗!L94)),"")</f>
        <v>475</v>
      </c>
      <c r="R94" s="15" t="str">
        <f>IF(INDEX(挂机升级突破!$X$35:$X$55,卡牌消耗!L94)&gt;0,INDEX($G$2:$I$2,INDEX(挂机升级突破!$X$35:$X$55,卡牌消耗!L94))&amp;M94,"")</f>
        <v>高级黄</v>
      </c>
      <c r="S94" s="15">
        <f>IF(R94="","",INDEX(挂机升级突破!$AE$35:$AG$55,卡牌消耗!L94,INDEX(挂机升级突破!$X$35:$X$55,卡牌消耗!L94)))</f>
        <v>70</v>
      </c>
      <c r="T94" s="15" t="str">
        <f>IF(INDEX(挂机升级突破!$Y$35:$Y$55,卡牌消耗!L94)&gt;0,"灵玉","")</f>
        <v/>
      </c>
      <c r="U94" s="15" t="str">
        <f>IF(INDEX(挂机升级突破!$Y$35:$Y$55,卡牌消耗!L94)&gt;0,INDEX(挂机升级突破!$AH$35:$AH$55,卡牌消耗!L94),"")</f>
        <v/>
      </c>
    </row>
    <row r="95" spans="9:21" ht="16.5" x14ac:dyDescent="0.2">
      <c r="I95" s="35">
        <v>59</v>
      </c>
      <c r="J95" s="15">
        <f t="shared" si="1"/>
        <v>1102003</v>
      </c>
      <c r="K95" s="15">
        <f t="shared" si="2"/>
        <v>3</v>
      </c>
      <c r="L95" s="15">
        <f t="shared" si="4"/>
        <v>17</v>
      </c>
      <c r="M95" s="15" t="str">
        <f t="shared" si="3"/>
        <v>黄</v>
      </c>
      <c r="N95" s="15" t="str">
        <f t="shared" si="5"/>
        <v>金币</v>
      </c>
      <c r="O95" s="15">
        <f>IF(L95&gt;1,INDEX(挂机升级突破!$AI$35:$AI$55,卡牌消耗!L95),"")</f>
        <v>228000</v>
      </c>
      <c r="P95" s="15" t="str">
        <f>IF(L95&gt;1,INDEX(价值概述!$A$4:$A$8,INDEX(挂机升级突破!$W$35:$W$55,卡牌消耗!L95)),"")</f>
        <v>红色基础材料</v>
      </c>
      <c r="Q95" s="15">
        <f>IF(L95&gt;1,INDEX(挂机升级突破!$Z$35:$AD$55,卡牌消耗!L95,INDEX(挂机升级突破!$W$35:$W$55,卡牌消耗!L95)),"")</f>
        <v>45</v>
      </c>
      <c r="R95" s="15" t="str">
        <f>IF(INDEX(挂机升级突破!$X$35:$X$55,卡牌消耗!L95)&gt;0,INDEX($G$2:$I$2,INDEX(挂机升级突破!$X$35:$X$55,卡牌消耗!L95))&amp;M95,"")</f>
        <v>高级黄</v>
      </c>
      <c r="S95" s="15">
        <f>IF(R95="","",INDEX(挂机升级突破!$AE$35:$AG$55,卡牌消耗!L95,INDEX(挂机升级突破!$X$35:$X$55,卡牌消耗!L95)))</f>
        <v>100</v>
      </c>
      <c r="T95" s="15" t="str">
        <f>IF(INDEX(挂机升级突破!$Y$35:$Y$55,卡牌消耗!L95)&gt;0,"灵玉","")</f>
        <v>灵玉</v>
      </c>
      <c r="U95" s="15">
        <f>IF(INDEX(挂机升级突破!$Y$35:$Y$55,卡牌消耗!L95)&gt;0,INDEX(挂机升级突破!$AH$35:$AH$55,卡牌消耗!L95),"")</f>
        <v>25</v>
      </c>
    </row>
    <row r="96" spans="9:21" ht="16.5" x14ac:dyDescent="0.2">
      <c r="I96" s="35">
        <v>60</v>
      </c>
      <c r="J96" s="15">
        <f t="shared" si="1"/>
        <v>1102003</v>
      </c>
      <c r="K96" s="15">
        <f t="shared" si="2"/>
        <v>3</v>
      </c>
      <c r="L96" s="15">
        <f t="shared" si="4"/>
        <v>18</v>
      </c>
      <c r="M96" s="15" t="str">
        <f t="shared" si="3"/>
        <v>黄</v>
      </c>
      <c r="N96" s="15" t="str">
        <f t="shared" si="5"/>
        <v>金币</v>
      </c>
      <c r="O96" s="15">
        <f>IF(L96&gt;1,INDEX(挂机升级突破!$AI$35:$AI$55,卡牌消耗!L96),"")</f>
        <v>319500</v>
      </c>
      <c r="P96" s="15" t="str">
        <f>IF(L96&gt;1,INDEX(价值概述!$A$4:$A$8,INDEX(挂机升级突破!$W$35:$W$55,卡牌消耗!L96)),"")</f>
        <v>红色基础材料</v>
      </c>
      <c r="Q96" s="15">
        <f>IF(L96&gt;1,INDEX(挂机升级突破!$Z$35:$AD$55,卡牌消耗!L96,INDEX(挂机升级突破!$W$35:$W$55,卡牌消耗!L96)),"")</f>
        <v>65</v>
      </c>
      <c r="R96" s="15" t="str">
        <f>IF(INDEX(挂机升级突破!$X$35:$X$55,卡牌消耗!L96)&gt;0,INDEX($G$2:$I$2,INDEX(挂机升级突破!$X$35:$X$55,卡牌消耗!L96))&amp;M96,"")</f>
        <v>高级黄</v>
      </c>
      <c r="S96" s="15">
        <f>IF(R96="","",INDEX(挂机升级突破!$AE$35:$AG$55,卡牌消耗!L96,INDEX(挂机升级突破!$X$35:$X$55,卡牌消耗!L96)))</f>
        <v>125</v>
      </c>
      <c r="T96" s="15" t="str">
        <f>IF(INDEX(挂机升级突破!$Y$35:$Y$55,卡牌消耗!L96)&gt;0,"灵玉","")</f>
        <v>灵玉</v>
      </c>
      <c r="U96" s="15">
        <f>IF(INDEX(挂机升级突破!$Y$35:$Y$55,卡牌消耗!L96)&gt;0,INDEX(挂机升级突破!$AH$35:$AH$55,卡牌消耗!L96),"")</f>
        <v>35</v>
      </c>
    </row>
    <row r="97" spans="9:21" ht="16.5" x14ac:dyDescent="0.2">
      <c r="I97" s="35">
        <v>61</v>
      </c>
      <c r="J97" s="15">
        <f t="shared" si="1"/>
        <v>1102003</v>
      </c>
      <c r="K97" s="15">
        <f t="shared" si="2"/>
        <v>3</v>
      </c>
      <c r="L97" s="15">
        <f t="shared" si="4"/>
        <v>19</v>
      </c>
      <c r="M97" s="15" t="str">
        <f t="shared" si="3"/>
        <v>黄</v>
      </c>
      <c r="N97" s="15" t="str">
        <f t="shared" si="5"/>
        <v>金币</v>
      </c>
      <c r="O97" s="15">
        <f>IF(L97&gt;1,INDEX(挂机升级突破!$AI$35:$AI$55,卡牌消耗!L97),"")</f>
        <v>426000</v>
      </c>
      <c r="P97" s="15" t="str">
        <f>IF(L97&gt;1,INDEX(价值概述!$A$4:$A$8,INDEX(挂机升级突破!$W$35:$W$55,卡牌消耗!L97)),"")</f>
        <v>红色基础材料</v>
      </c>
      <c r="Q97" s="15">
        <f>IF(L97&gt;1,INDEX(挂机升级突破!$Z$35:$AD$55,卡牌消耗!L97,INDEX(挂机升级突破!$W$35:$W$55,卡牌消耗!L97)),"")</f>
        <v>90</v>
      </c>
      <c r="R97" s="15" t="str">
        <f>IF(INDEX(挂机升级突破!$X$35:$X$55,卡牌消耗!L97)&gt;0,INDEX($G$2:$I$2,INDEX(挂机升级突破!$X$35:$X$55,卡牌消耗!L97))&amp;M97,"")</f>
        <v>高级黄</v>
      </c>
      <c r="S97" s="15">
        <f>IF(R97="","",INDEX(挂机升级突破!$AE$35:$AG$55,卡牌消耗!L97,INDEX(挂机升级突破!$X$35:$X$55,卡牌消耗!L97)))</f>
        <v>155</v>
      </c>
      <c r="T97" s="15" t="str">
        <f>IF(INDEX(挂机升级突破!$Y$35:$Y$55,卡牌消耗!L97)&gt;0,"灵玉","")</f>
        <v>灵玉</v>
      </c>
      <c r="U97" s="15">
        <f>IF(INDEX(挂机升级突破!$Y$35:$Y$55,卡牌消耗!L97)&gt;0,INDEX(挂机升级突破!$AH$35:$AH$55,卡牌消耗!L97),"")</f>
        <v>50</v>
      </c>
    </row>
    <row r="98" spans="9:21" ht="16.5" x14ac:dyDescent="0.2">
      <c r="I98" s="35">
        <v>62</v>
      </c>
      <c r="J98" s="15">
        <f t="shared" si="1"/>
        <v>1102003</v>
      </c>
      <c r="K98" s="15">
        <f t="shared" si="2"/>
        <v>3</v>
      </c>
      <c r="L98" s="15">
        <f t="shared" si="4"/>
        <v>20</v>
      </c>
      <c r="M98" s="15" t="str">
        <f t="shared" si="3"/>
        <v>黄</v>
      </c>
      <c r="N98" s="15" t="str">
        <f t="shared" si="5"/>
        <v>金币</v>
      </c>
      <c r="O98" s="15">
        <f>IF(L98&gt;1,INDEX(挂机升级突破!$AI$35:$AI$55,卡牌消耗!L98),"")</f>
        <v>532500</v>
      </c>
      <c r="P98" s="15" t="str">
        <f>IF(L98&gt;1,INDEX(价值概述!$A$4:$A$8,INDEX(挂机升级突破!$W$35:$W$55,卡牌消耗!L98)),"")</f>
        <v>红色基础材料</v>
      </c>
      <c r="Q98" s="15">
        <f>IF(L98&gt;1,INDEX(挂机升级突破!$Z$35:$AD$55,卡牌消耗!L98,INDEX(挂机升级突破!$W$35:$W$55,卡牌消耗!L98)),"")</f>
        <v>110</v>
      </c>
      <c r="R98" s="15" t="str">
        <f>IF(INDEX(挂机升级突破!$X$35:$X$55,卡牌消耗!L98)&gt;0,INDEX($G$2:$I$2,INDEX(挂机升级突破!$X$35:$X$55,卡牌消耗!L98))&amp;M98,"")</f>
        <v>高级黄</v>
      </c>
      <c r="S98" s="15">
        <f>IF(R98="","",INDEX(挂机升级突破!$AE$35:$AG$55,卡牌消耗!L98,INDEX(挂机升级突破!$X$35:$X$55,卡牌消耗!L98)))</f>
        <v>180</v>
      </c>
      <c r="T98" s="15" t="str">
        <f>IF(INDEX(挂机升级突破!$Y$35:$Y$55,卡牌消耗!L98)&gt;0,"灵玉","")</f>
        <v>灵玉</v>
      </c>
      <c r="U98" s="15">
        <f>IF(INDEX(挂机升级突破!$Y$35:$Y$55,卡牌消耗!L98)&gt;0,INDEX(挂机升级突破!$AH$35:$AH$55,卡牌消耗!L98),"")</f>
        <v>65</v>
      </c>
    </row>
    <row r="99" spans="9:21" ht="16.5" x14ac:dyDescent="0.2">
      <c r="I99" s="35">
        <v>63</v>
      </c>
      <c r="J99" s="15">
        <f t="shared" si="1"/>
        <v>1102003</v>
      </c>
      <c r="K99" s="15">
        <f t="shared" si="2"/>
        <v>3</v>
      </c>
      <c r="L99" s="15">
        <f t="shared" si="4"/>
        <v>21</v>
      </c>
      <c r="M99" s="15" t="str">
        <f t="shared" si="3"/>
        <v>黄</v>
      </c>
      <c r="N99" s="15" t="str">
        <f t="shared" si="5"/>
        <v>金币</v>
      </c>
      <c r="O99" s="15">
        <f>IF(L99&gt;1,INDEX(挂机升级突破!$AI$35:$AI$55,卡牌消耗!L99),"")</f>
        <v>639000</v>
      </c>
      <c r="P99" s="15" t="str">
        <f>IF(L99&gt;1,INDEX(价值概述!$A$4:$A$8,INDEX(挂机升级突破!$W$35:$W$55,卡牌消耗!L99)),"")</f>
        <v>红色基础材料</v>
      </c>
      <c r="Q99" s="15">
        <f>IF(L99&gt;1,INDEX(挂机升级突破!$Z$35:$AD$55,卡牌消耗!L99,INDEX(挂机升级突破!$W$35:$W$55,卡牌消耗!L99)),"")</f>
        <v>135</v>
      </c>
      <c r="R99" s="15" t="str">
        <f>IF(INDEX(挂机升级突破!$X$35:$X$55,卡牌消耗!L99)&gt;0,INDEX($G$2:$I$2,INDEX(挂机升级突破!$X$35:$X$55,卡牌消耗!L99))&amp;M99,"")</f>
        <v>高级黄</v>
      </c>
      <c r="S99" s="15">
        <f>IF(R99="","",INDEX(挂机升级突破!$AE$35:$AG$55,卡牌消耗!L99,INDEX(挂机升级突破!$X$35:$X$55,卡牌消耗!L99)))</f>
        <v>225</v>
      </c>
      <c r="T99" s="15" t="str">
        <f>IF(INDEX(挂机升级突破!$Y$35:$Y$55,卡牌消耗!L99)&gt;0,"灵玉","")</f>
        <v>灵玉</v>
      </c>
      <c r="U99" s="15">
        <f>IF(INDEX(挂机升级突破!$Y$35:$Y$55,卡牌消耗!L99)&gt;0,INDEX(挂机升级突破!$AH$35:$AH$55,卡牌消耗!L99),"")</f>
        <v>75</v>
      </c>
    </row>
    <row r="100" spans="9:21" ht="16.5" x14ac:dyDescent="0.2">
      <c r="I100" s="35">
        <v>64</v>
      </c>
      <c r="J100" s="15">
        <f t="shared" si="1"/>
        <v>1102004</v>
      </c>
      <c r="K100" s="15">
        <f t="shared" si="2"/>
        <v>2</v>
      </c>
      <c r="L100" s="15">
        <f t="shared" si="4"/>
        <v>1</v>
      </c>
      <c r="M100" s="15" t="str">
        <f t="shared" si="3"/>
        <v>黄</v>
      </c>
      <c r="N100" s="15" t="str">
        <f t="shared" si="5"/>
        <v/>
      </c>
      <c r="O100" s="15" t="str">
        <f>IF(L100&gt;1,INDEX(挂机升级突破!$AI$35:$AI$55,卡牌消耗!L100),"")</f>
        <v/>
      </c>
      <c r="P100" s="15" t="str">
        <f>IF(L100&gt;1,INDEX(价值概述!$A$4:$A$8,INDEX(挂机升级突破!$W$35:$W$55,卡牌消耗!L100)),"")</f>
        <v/>
      </c>
      <c r="Q100" s="15" t="str">
        <f>IF(L100&gt;1,INDEX(挂机升级突破!$Z$35:$AD$55,卡牌消耗!L100,INDEX(挂机升级突破!$W$35:$W$55,卡牌消耗!L100)),"")</f>
        <v/>
      </c>
      <c r="R100" s="15" t="str">
        <f>IF(INDEX(挂机升级突破!$X$35:$X$55,卡牌消耗!L100)&gt;0,INDEX($G$2:$I$2,INDEX(挂机升级突破!$X$35:$X$55,卡牌消耗!L100))&amp;M100,"")</f>
        <v/>
      </c>
      <c r="S100" s="15" t="str">
        <f>IF(R100="","",INDEX(挂机升级突破!$AE$35:$AG$55,卡牌消耗!L100,INDEX(挂机升级突破!$X$35:$X$55,卡牌消耗!L100)))</f>
        <v/>
      </c>
      <c r="T100" s="15" t="str">
        <f>IF(INDEX(挂机升级突破!$Y$35:$Y$55,卡牌消耗!L100)&gt;0,"灵玉","")</f>
        <v/>
      </c>
      <c r="U100" s="15" t="str">
        <f>IF(INDEX(挂机升级突破!$Y$35:$Y$55,卡牌消耗!L100)&gt;0,INDEX(挂机升级突破!$AH$35:$AH$55,卡牌消耗!L100),"")</f>
        <v/>
      </c>
    </row>
    <row r="101" spans="9:21" ht="16.5" x14ac:dyDescent="0.2">
      <c r="I101" s="35">
        <v>65</v>
      </c>
      <c r="J101" s="15">
        <f t="shared" ref="J101:J164" si="6">INDEX($A$13:$A$33,INT((I101-1)/21)+1)</f>
        <v>1102004</v>
      </c>
      <c r="K101" s="15">
        <f t="shared" ref="K101:K164" si="7">VLOOKUP(J101,$A$13:$D$33,3)</f>
        <v>2</v>
      </c>
      <c r="L101" s="15">
        <f t="shared" si="4"/>
        <v>2</v>
      </c>
      <c r="M101" s="15" t="str">
        <f t="shared" ref="M101:M164" si="8">INDEX($J$2:$L$2,INDEX($E$13:$E$33,INT((I101-1)/21)+1))</f>
        <v>黄</v>
      </c>
      <c r="N101" s="15" t="str">
        <f t="shared" si="5"/>
        <v>金币</v>
      </c>
      <c r="O101" s="15">
        <f>IF(L101&gt;1,INDEX(挂机升级突破!$AI$35:$AI$55,卡牌消耗!L101),"")</f>
        <v>2500</v>
      </c>
      <c r="P101" s="15" t="str">
        <f>IF(L101&gt;1,INDEX(价值概述!$A$4:$A$8,INDEX(挂机升级突破!$W$35:$W$55,卡牌消耗!L101)),"")</f>
        <v>绿色基础材料</v>
      </c>
      <c r="Q101" s="15">
        <f>IF(L101&gt;1,INDEX(挂机升级突破!$Z$35:$AD$55,卡牌消耗!L101,INDEX(挂机升级突破!$W$35:$W$55,卡牌消耗!L101)),"")</f>
        <v>10</v>
      </c>
      <c r="R101" s="15" t="str">
        <f>IF(INDEX(挂机升级突破!$X$35:$X$55,卡牌消耗!L101)&gt;0,INDEX($G$2:$I$2,INDEX(挂机升级突破!$X$35:$X$55,卡牌消耗!L101))&amp;M101,"")</f>
        <v/>
      </c>
      <c r="S101" s="15" t="str">
        <f>IF(R101="","",INDEX(挂机升级突破!$AE$35:$AG$55,卡牌消耗!L101,INDEX(挂机升级突破!$X$35:$X$55,卡牌消耗!L101)))</f>
        <v/>
      </c>
      <c r="T101" s="15" t="str">
        <f>IF(INDEX(挂机升级突破!$Y$35:$Y$55,卡牌消耗!L101)&gt;0,"灵玉","")</f>
        <v/>
      </c>
      <c r="U101" s="15" t="str">
        <f>IF(INDEX(挂机升级突破!$Y$35:$Y$55,卡牌消耗!L101)&gt;0,INDEX(挂机升级突破!$AH$35:$AH$55,卡牌消耗!L101),"")</f>
        <v/>
      </c>
    </row>
    <row r="102" spans="9:21" ht="16.5" x14ac:dyDescent="0.2">
      <c r="I102" s="35">
        <v>66</v>
      </c>
      <c r="J102" s="15">
        <f t="shared" si="6"/>
        <v>1102004</v>
      </c>
      <c r="K102" s="15">
        <f t="shared" si="7"/>
        <v>2</v>
      </c>
      <c r="L102" s="15">
        <f t="shared" ref="L102:L165" si="9">MOD((I102-1),21)+1</f>
        <v>3</v>
      </c>
      <c r="M102" s="15" t="str">
        <f t="shared" si="8"/>
        <v>黄</v>
      </c>
      <c r="N102" s="15" t="str">
        <f t="shared" ref="N102:N165" si="10">IF(L102&gt;1,"金币","")</f>
        <v>金币</v>
      </c>
      <c r="O102" s="15">
        <f>IF(L102&gt;1,INDEX(挂机升级突破!$AI$35:$AI$55,卡牌消耗!L102),"")</f>
        <v>8000</v>
      </c>
      <c r="P102" s="15" t="str">
        <f>IF(L102&gt;1,INDEX(价值概述!$A$4:$A$8,INDEX(挂机升级突破!$W$35:$W$55,卡牌消耗!L102)),"")</f>
        <v>绿色基础材料</v>
      </c>
      <c r="Q102" s="15">
        <f>IF(L102&gt;1,INDEX(挂机升级突破!$Z$35:$AD$55,卡牌消耗!L102,INDEX(挂机升级突破!$W$35:$W$55,卡牌消耗!L102)),"")</f>
        <v>40</v>
      </c>
      <c r="R102" s="15" t="str">
        <f>IF(INDEX(挂机升级突破!$X$35:$X$55,卡牌消耗!L102)&gt;0,INDEX($G$2:$I$2,INDEX(挂机升级突破!$X$35:$X$55,卡牌消耗!L102))&amp;M102,"")</f>
        <v/>
      </c>
      <c r="S102" s="15" t="str">
        <f>IF(R102="","",INDEX(挂机升级突破!$AE$35:$AG$55,卡牌消耗!L102,INDEX(挂机升级突破!$X$35:$X$55,卡牌消耗!L102)))</f>
        <v/>
      </c>
      <c r="T102" s="15" t="str">
        <f>IF(INDEX(挂机升级突破!$Y$35:$Y$55,卡牌消耗!L102)&gt;0,"灵玉","")</f>
        <v/>
      </c>
      <c r="U102" s="15" t="str">
        <f>IF(INDEX(挂机升级突破!$Y$35:$Y$55,卡牌消耗!L102)&gt;0,INDEX(挂机升级突破!$AH$35:$AH$55,卡牌消耗!L102),"")</f>
        <v/>
      </c>
    </row>
    <row r="103" spans="9:21" ht="16.5" x14ac:dyDescent="0.2">
      <c r="I103" s="35">
        <v>67</v>
      </c>
      <c r="J103" s="15">
        <f t="shared" si="6"/>
        <v>1102004</v>
      </c>
      <c r="K103" s="15">
        <f t="shared" si="7"/>
        <v>2</v>
      </c>
      <c r="L103" s="15">
        <f t="shared" si="9"/>
        <v>4</v>
      </c>
      <c r="M103" s="15" t="str">
        <f t="shared" si="8"/>
        <v>黄</v>
      </c>
      <c r="N103" s="15" t="str">
        <f t="shared" si="10"/>
        <v>金币</v>
      </c>
      <c r="O103" s="15">
        <f>IF(L103&gt;1,INDEX(挂机升级突破!$AI$35:$AI$55,卡牌消耗!L103),"")</f>
        <v>16500</v>
      </c>
      <c r="P103" s="15" t="str">
        <f>IF(L103&gt;1,INDEX(价值概述!$A$4:$A$8,INDEX(挂机升级突破!$W$35:$W$55,卡牌消耗!L103)),"")</f>
        <v>绿色基础材料</v>
      </c>
      <c r="Q103" s="15">
        <f>IF(L103&gt;1,INDEX(挂机升级突破!$Z$35:$AD$55,卡牌消耗!L103,INDEX(挂机升级突破!$W$35:$W$55,卡牌消耗!L103)),"")</f>
        <v>80</v>
      </c>
      <c r="R103" s="15" t="str">
        <f>IF(INDEX(挂机升级突破!$X$35:$X$55,卡牌消耗!L103)&gt;0,INDEX($G$2:$I$2,INDEX(挂机升级突破!$X$35:$X$55,卡牌消耗!L103))&amp;M103,"")</f>
        <v>初级黄</v>
      </c>
      <c r="S103" s="15">
        <f>IF(R103="","",INDEX(挂机升级突破!$AE$35:$AG$55,卡牌消耗!L103,INDEX(挂机升级突破!$X$35:$X$55,卡牌消耗!L103)))</f>
        <v>40</v>
      </c>
      <c r="T103" s="15" t="str">
        <f>IF(INDEX(挂机升级突破!$Y$35:$Y$55,卡牌消耗!L103)&gt;0,"灵玉","")</f>
        <v/>
      </c>
      <c r="U103" s="15" t="str">
        <f>IF(INDEX(挂机升级突破!$Y$35:$Y$55,卡牌消耗!L103)&gt;0,INDEX(挂机升级突破!$AH$35:$AH$55,卡牌消耗!L103),"")</f>
        <v/>
      </c>
    </row>
    <row r="104" spans="9:21" ht="16.5" x14ac:dyDescent="0.2">
      <c r="I104" s="35">
        <v>68</v>
      </c>
      <c r="J104" s="15">
        <f t="shared" si="6"/>
        <v>1102004</v>
      </c>
      <c r="K104" s="15">
        <f t="shared" si="7"/>
        <v>2</v>
      </c>
      <c r="L104" s="15">
        <f t="shared" si="9"/>
        <v>5</v>
      </c>
      <c r="M104" s="15" t="str">
        <f t="shared" si="8"/>
        <v>黄</v>
      </c>
      <c r="N104" s="15" t="str">
        <f t="shared" si="10"/>
        <v>金币</v>
      </c>
      <c r="O104" s="15">
        <f>IF(L104&gt;1,INDEX(挂机升级突破!$AI$35:$AI$55,卡牌消耗!L104),"")</f>
        <v>22500</v>
      </c>
      <c r="P104" s="15" t="str">
        <f>IF(L104&gt;1,INDEX(价值概述!$A$4:$A$8,INDEX(挂机升级突破!$W$35:$W$55,卡牌消耗!L104)),"")</f>
        <v>蓝色基础材料</v>
      </c>
      <c r="Q104" s="15">
        <f>IF(L104&gt;1,INDEX(挂机升级突破!$Z$35:$AD$55,卡牌消耗!L104,INDEX(挂机升级突破!$W$35:$W$55,卡牌消耗!L104)),"")</f>
        <v>35</v>
      </c>
      <c r="R104" s="15" t="str">
        <f>IF(INDEX(挂机升级突破!$X$35:$X$55,卡牌消耗!L104)&gt;0,INDEX($G$2:$I$2,INDEX(挂机升级突破!$X$35:$X$55,卡牌消耗!L104))&amp;M104,"")</f>
        <v>初级黄</v>
      </c>
      <c r="S104" s="15">
        <f>IF(R104="","",INDEX(挂机升级突破!$AE$35:$AG$55,卡牌消耗!L104,INDEX(挂机升级突破!$X$35:$X$55,卡牌消耗!L104)))</f>
        <v>65</v>
      </c>
      <c r="T104" s="15" t="str">
        <f>IF(INDEX(挂机升级突破!$Y$35:$Y$55,卡牌消耗!L104)&gt;0,"灵玉","")</f>
        <v/>
      </c>
      <c r="U104" s="15" t="str">
        <f>IF(INDEX(挂机升级突破!$Y$35:$Y$55,卡牌消耗!L104)&gt;0,INDEX(挂机升级突破!$AH$35:$AH$55,卡牌消耗!L104),"")</f>
        <v/>
      </c>
    </row>
    <row r="105" spans="9:21" ht="16.5" x14ac:dyDescent="0.2">
      <c r="I105" s="35">
        <v>69</v>
      </c>
      <c r="J105" s="15">
        <f t="shared" si="6"/>
        <v>1102004</v>
      </c>
      <c r="K105" s="15">
        <f t="shared" si="7"/>
        <v>2</v>
      </c>
      <c r="L105" s="15">
        <f t="shared" si="9"/>
        <v>6</v>
      </c>
      <c r="M105" s="15" t="str">
        <f t="shared" si="8"/>
        <v>黄</v>
      </c>
      <c r="N105" s="15" t="str">
        <f t="shared" si="10"/>
        <v>金币</v>
      </c>
      <c r="O105" s="15">
        <f>IF(L105&gt;1,INDEX(挂机升级突破!$AI$35:$AI$55,卡牌消耗!L105),"")</f>
        <v>53000</v>
      </c>
      <c r="P105" s="15" t="str">
        <f>IF(L105&gt;1,INDEX(价值概述!$A$4:$A$8,INDEX(挂机升级突破!$W$35:$W$55,卡牌消耗!L105)),"")</f>
        <v>蓝色基础材料</v>
      </c>
      <c r="Q105" s="15">
        <f>IF(L105&gt;1,INDEX(挂机升级突破!$Z$35:$AD$55,卡牌消耗!L105,INDEX(挂机升级突破!$W$35:$W$55,卡牌消耗!L105)),"")</f>
        <v>70</v>
      </c>
      <c r="R105" s="15" t="str">
        <f>IF(INDEX(挂机升级突破!$X$35:$X$55,卡牌消耗!L105)&gt;0,INDEX($G$2:$I$2,INDEX(挂机升级突破!$X$35:$X$55,卡牌消耗!L105))&amp;M105,"")</f>
        <v>初级黄</v>
      </c>
      <c r="S105" s="15">
        <f>IF(R105="","",INDEX(挂机升级突破!$AE$35:$AG$55,卡牌消耗!L105,INDEX(挂机升级突破!$X$35:$X$55,卡牌消耗!L105)))</f>
        <v>85</v>
      </c>
      <c r="T105" s="15" t="str">
        <f>IF(INDEX(挂机升级突破!$Y$35:$Y$55,卡牌消耗!L105)&gt;0,"灵玉","")</f>
        <v/>
      </c>
      <c r="U105" s="15" t="str">
        <f>IF(INDEX(挂机升级突破!$Y$35:$Y$55,卡牌消耗!L105)&gt;0,INDEX(挂机升级突破!$AH$35:$AH$55,卡牌消耗!L105),"")</f>
        <v/>
      </c>
    </row>
    <row r="106" spans="9:21" ht="16.5" x14ac:dyDescent="0.2">
      <c r="I106" s="35">
        <v>70</v>
      </c>
      <c r="J106" s="15">
        <f t="shared" si="6"/>
        <v>1102004</v>
      </c>
      <c r="K106" s="15">
        <f t="shared" si="7"/>
        <v>2</v>
      </c>
      <c r="L106" s="15">
        <f t="shared" si="9"/>
        <v>7</v>
      </c>
      <c r="M106" s="15" t="str">
        <f t="shared" si="8"/>
        <v>黄</v>
      </c>
      <c r="N106" s="15" t="str">
        <f t="shared" si="10"/>
        <v>金币</v>
      </c>
      <c r="O106" s="15">
        <f>IF(L106&gt;1,INDEX(挂机升级突破!$AI$35:$AI$55,卡牌消耗!L106),"")</f>
        <v>59500</v>
      </c>
      <c r="P106" s="15" t="str">
        <f>IF(L106&gt;1,INDEX(价值概述!$A$4:$A$8,INDEX(挂机升级突破!$W$35:$W$55,卡牌消耗!L106)),"")</f>
        <v>蓝色基础材料</v>
      </c>
      <c r="Q106" s="15">
        <f>IF(L106&gt;1,INDEX(挂机升级突破!$Z$35:$AD$55,卡牌消耗!L106,INDEX(挂机升级突破!$W$35:$W$55,卡牌消耗!L106)),"")</f>
        <v>110</v>
      </c>
      <c r="R106" s="15" t="str">
        <f>IF(INDEX(挂机升级突破!$X$35:$X$55,卡牌消耗!L106)&gt;0,INDEX($G$2:$I$2,INDEX(挂机升级突破!$X$35:$X$55,卡牌消耗!L106))&amp;M106,"")</f>
        <v>初级黄</v>
      </c>
      <c r="S106" s="15">
        <f>IF(R106="","",INDEX(挂机升级突破!$AE$35:$AG$55,卡牌消耗!L106,INDEX(挂机升级突破!$X$35:$X$55,卡牌消耗!L106)))</f>
        <v>110</v>
      </c>
      <c r="T106" s="15" t="str">
        <f>IF(INDEX(挂机升级突破!$Y$35:$Y$55,卡牌消耗!L106)&gt;0,"灵玉","")</f>
        <v/>
      </c>
      <c r="U106" s="15" t="str">
        <f>IF(INDEX(挂机升级突破!$Y$35:$Y$55,卡牌消耗!L106)&gt;0,INDEX(挂机升级突破!$AH$35:$AH$55,卡牌消耗!L106),"")</f>
        <v/>
      </c>
    </row>
    <row r="107" spans="9:21" ht="16.5" x14ac:dyDescent="0.2">
      <c r="I107" s="35">
        <v>71</v>
      </c>
      <c r="J107" s="15">
        <f t="shared" si="6"/>
        <v>1102004</v>
      </c>
      <c r="K107" s="15">
        <f t="shared" si="7"/>
        <v>2</v>
      </c>
      <c r="L107" s="15">
        <f t="shared" si="9"/>
        <v>8</v>
      </c>
      <c r="M107" s="15" t="str">
        <f t="shared" si="8"/>
        <v>黄</v>
      </c>
      <c r="N107" s="15" t="str">
        <f t="shared" si="10"/>
        <v>金币</v>
      </c>
      <c r="O107" s="15">
        <f>IF(L107&gt;1,INDEX(挂机升级突破!$AI$35:$AI$55,卡牌消耗!L107),"")</f>
        <v>65500</v>
      </c>
      <c r="P107" s="15" t="str">
        <f>IF(L107&gt;1,INDEX(价值概述!$A$4:$A$8,INDEX(挂机升级突破!$W$35:$W$55,卡牌消耗!L107)),"")</f>
        <v>蓝色基础材料</v>
      </c>
      <c r="Q107" s="15">
        <f>IF(L107&gt;1,INDEX(挂机升级突破!$Z$35:$AD$55,卡牌消耗!L107,INDEX(挂机升级突破!$W$35:$W$55,卡牌消耗!L107)),"")</f>
        <v>145</v>
      </c>
      <c r="R107" s="15" t="str">
        <f>IF(INDEX(挂机升级突破!$X$35:$X$55,卡牌消耗!L107)&gt;0,INDEX($G$2:$I$2,INDEX(挂机升级突破!$X$35:$X$55,卡牌消耗!L107))&amp;M107,"")</f>
        <v>初级黄</v>
      </c>
      <c r="S107" s="15">
        <f>IF(R107="","",INDEX(挂机升级突破!$AE$35:$AG$55,卡牌消耗!L107,INDEX(挂机升级突破!$X$35:$X$55,卡牌消耗!L107)))</f>
        <v>130</v>
      </c>
      <c r="T107" s="15" t="str">
        <f>IF(INDEX(挂机升级突破!$Y$35:$Y$55,卡牌消耗!L107)&gt;0,"灵玉","")</f>
        <v/>
      </c>
      <c r="U107" s="15" t="str">
        <f>IF(INDEX(挂机升级突破!$Y$35:$Y$55,卡牌消耗!L107)&gt;0,INDEX(挂机升级突破!$AH$35:$AH$55,卡牌消耗!L107),"")</f>
        <v/>
      </c>
    </row>
    <row r="108" spans="9:21" ht="16.5" x14ac:dyDescent="0.2">
      <c r="I108" s="35">
        <v>72</v>
      </c>
      <c r="J108" s="15">
        <f t="shared" si="6"/>
        <v>1102004</v>
      </c>
      <c r="K108" s="15">
        <f t="shared" si="7"/>
        <v>2</v>
      </c>
      <c r="L108" s="15">
        <f t="shared" si="9"/>
        <v>9</v>
      </c>
      <c r="M108" s="15" t="str">
        <f t="shared" si="8"/>
        <v>黄</v>
      </c>
      <c r="N108" s="15" t="str">
        <f t="shared" si="10"/>
        <v>金币</v>
      </c>
      <c r="O108" s="15">
        <f>IF(L108&gt;1,INDEX(挂机升级突破!$AI$35:$AI$55,卡牌消耗!L108),"")</f>
        <v>76000</v>
      </c>
      <c r="P108" s="15" t="str">
        <f>IF(L108&gt;1,INDEX(价值概述!$A$4:$A$8,INDEX(挂机升级突破!$W$35:$W$55,卡牌消耗!L108)),"")</f>
        <v>紫色基础材料</v>
      </c>
      <c r="Q108" s="15">
        <f>IF(L108&gt;1,INDEX(挂机升级突破!$Z$35:$AD$55,卡牌消耗!L108,INDEX(挂机升级突破!$W$35:$W$55,卡牌消耗!L108)),"")</f>
        <v>70</v>
      </c>
      <c r="R108" s="15" t="str">
        <f>IF(INDEX(挂机升级突破!$X$35:$X$55,卡牌消耗!L108)&gt;0,INDEX($G$2:$I$2,INDEX(挂机升级突破!$X$35:$X$55,卡牌消耗!L108))&amp;M108,"")</f>
        <v>中级黄</v>
      </c>
      <c r="S108" s="15">
        <f>IF(R108="","",INDEX(挂机升级突破!$AE$35:$AG$55,卡牌消耗!L108,INDEX(挂机升级突破!$X$35:$X$55,卡牌消耗!L108)))</f>
        <v>55</v>
      </c>
      <c r="T108" s="15" t="str">
        <f>IF(INDEX(挂机升级突破!$Y$35:$Y$55,卡牌消耗!L108)&gt;0,"灵玉","")</f>
        <v/>
      </c>
      <c r="U108" s="15" t="str">
        <f>IF(INDEX(挂机升级突破!$Y$35:$Y$55,卡牌消耗!L108)&gt;0,INDEX(挂机升级突破!$AH$35:$AH$55,卡牌消耗!L108),"")</f>
        <v/>
      </c>
    </row>
    <row r="109" spans="9:21" ht="16.5" x14ac:dyDescent="0.2">
      <c r="I109" s="35">
        <v>73</v>
      </c>
      <c r="J109" s="15">
        <f t="shared" si="6"/>
        <v>1102004</v>
      </c>
      <c r="K109" s="15">
        <f t="shared" si="7"/>
        <v>2</v>
      </c>
      <c r="L109" s="15">
        <f t="shared" si="9"/>
        <v>10</v>
      </c>
      <c r="M109" s="15" t="str">
        <f t="shared" si="8"/>
        <v>黄</v>
      </c>
      <c r="N109" s="15" t="str">
        <f t="shared" si="10"/>
        <v>金币</v>
      </c>
      <c r="O109" s="15">
        <f>IF(L109&gt;1,INDEX(挂机升级突破!$AI$35:$AI$55,卡牌消耗!L109),"")</f>
        <v>83000</v>
      </c>
      <c r="P109" s="15" t="str">
        <f>IF(L109&gt;1,INDEX(价值概述!$A$4:$A$8,INDEX(挂机升级突破!$W$35:$W$55,卡牌消耗!L109)),"")</f>
        <v>紫色基础材料</v>
      </c>
      <c r="Q109" s="15">
        <f>IF(L109&gt;1,INDEX(挂机升级突破!$Z$35:$AD$55,卡牌消耗!L109,INDEX(挂机升级突破!$W$35:$W$55,卡牌消耗!L109)),"")</f>
        <v>140</v>
      </c>
      <c r="R109" s="15" t="str">
        <f>IF(INDEX(挂机升级突破!$X$35:$X$55,卡牌消耗!L109)&gt;0,INDEX($G$2:$I$2,INDEX(挂机升级突破!$X$35:$X$55,卡牌消耗!L109))&amp;M109,"")</f>
        <v>中级黄</v>
      </c>
      <c r="S109" s="15">
        <f>IF(R109="","",INDEX(挂机升级突破!$AE$35:$AG$55,卡牌消耗!L109,INDEX(挂机升级突破!$X$35:$X$55,卡牌消耗!L109)))</f>
        <v>95</v>
      </c>
      <c r="T109" s="15" t="str">
        <f>IF(INDEX(挂机升级突破!$Y$35:$Y$55,卡牌消耗!L109)&gt;0,"灵玉","")</f>
        <v/>
      </c>
      <c r="U109" s="15" t="str">
        <f>IF(INDEX(挂机升级突破!$Y$35:$Y$55,卡牌消耗!L109)&gt;0,INDEX(挂机升级突破!$AH$35:$AH$55,卡牌消耗!L109),"")</f>
        <v/>
      </c>
    </row>
    <row r="110" spans="9:21" ht="16.5" x14ac:dyDescent="0.2">
      <c r="I110" s="35">
        <v>74</v>
      </c>
      <c r="J110" s="15">
        <f t="shared" si="6"/>
        <v>1102004</v>
      </c>
      <c r="K110" s="15">
        <f t="shared" si="7"/>
        <v>2</v>
      </c>
      <c r="L110" s="15">
        <f t="shared" si="9"/>
        <v>11</v>
      </c>
      <c r="M110" s="15" t="str">
        <f t="shared" si="8"/>
        <v>黄</v>
      </c>
      <c r="N110" s="15" t="str">
        <f t="shared" si="10"/>
        <v>金币</v>
      </c>
      <c r="O110" s="15">
        <f>IF(L110&gt;1,INDEX(挂机升级突破!$AI$35:$AI$55,卡牌消耗!L110),"")</f>
        <v>90000</v>
      </c>
      <c r="P110" s="15" t="str">
        <f>IF(L110&gt;1,INDEX(价值概述!$A$4:$A$8,INDEX(挂机升级突破!$W$35:$W$55,卡牌消耗!L110)),"")</f>
        <v>紫色基础材料</v>
      </c>
      <c r="Q110" s="15">
        <f>IF(L110&gt;1,INDEX(挂机升级突破!$Z$35:$AD$55,卡牌消耗!L110,INDEX(挂机升级突破!$W$35:$W$55,卡牌消耗!L110)),"")</f>
        <v>215</v>
      </c>
      <c r="R110" s="15" t="str">
        <f>IF(INDEX(挂机升级突破!$X$35:$X$55,卡牌消耗!L110)&gt;0,INDEX($G$2:$I$2,INDEX(挂机升级突破!$X$35:$X$55,卡牌消耗!L110))&amp;M110,"")</f>
        <v>中级黄</v>
      </c>
      <c r="S110" s="15">
        <f>IF(R110="","",INDEX(挂机升级突破!$AE$35:$AG$55,卡牌消耗!L110,INDEX(挂机升级突破!$X$35:$X$55,卡牌消耗!L110)))</f>
        <v>145</v>
      </c>
      <c r="T110" s="15" t="str">
        <f>IF(INDEX(挂机升级突破!$Y$35:$Y$55,卡牌消耗!L110)&gt;0,"灵玉","")</f>
        <v/>
      </c>
      <c r="U110" s="15" t="str">
        <f>IF(INDEX(挂机升级突破!$Y$35:$Y$55,卡牌消耗!L110)&gt;0,INDEX(挂机升级突破!$AH$35:$AH$55,卡牌消耗!L110),"")</f>
        <v/>
      </c>
    </row>
    <row r="111" spans="9:21" ht="16.5" x14ac:dyDescent="0.2">
      <c r="I111" s="35">
        <v>75</v>
      </c>
      <c r="J111" s="15">
        <f t="shared" si="6"/>
        <v>1102004</v>
      </c>
      <c r="K111" s="15">
        <f t="shared" si="7"/>
        <v>2</v>
      </c>
      <c r="L111" s="15">
        <f t="shared" si="9"/>
        <v>12</v>
      </c>
      <c r="M111" s="15" t="str">
        <f t="shared" si="8"/>
        <v>黄</v>
      </c>
      <c r="N111" s="15" t="str">
        <f t="shared" si="10"/>
        <v>金币</v>
      </c>
      <c r="O111" s="15">
        <f>IF(L111&gt;1,INDEX(挂机升级突破!$AI$35:$AI$55,卡牌消耗!L111),"")</f>
        <v>97000</v>
      </c>
      <c r="P111" s="15" t="str">
        <f>IF(L111&gt;1,INDEX(价值概述!$A$4:$A$8,INDEX(挂机升级突破!$W$35:$W$55,卡牌消耗!L111)),"")</f>
        <v>紫色基础材料</v>
      </c>
      <c r="Q111" s="15">
        <f>IF(L111&gt;1,INDEX(挂机升级突破!$Z$35:$AD$55,卡牌消耗!L111,INDEX(挂机升级突破!$W$35:$W$55,卡牌消耗!L111)),"")</f>
        <v>285</v>
      </c>
      <c r="R111" s="15" t="str">
        <f>IF(INDEX(挂机升级突破!$X$35:$X$55,卡牌消耗!L111)&gt;0,INDEX($G$2:$I$2,INDEX(挂机升级突破!$X$35:$X$55,卡牌消耗!L111))&amp;M111,"")</f>
        <v>中级黄</v>
      </c>
      <c r="S111" s="15">
        <f>IF(R111="","",INDEX(挂机升级突破!$AE$35:$AG$55,卡牌消耗!L111,INDEX(挂机升级突破!$X$35:$X$55,卡牌消耗!L111)))</f>
        <v>185</v>
      </c>
      <c r="T111" s="15" t="str">
        <f>IF(INDEX(挂机升级突破!$Y$35:$Y$55,卡牌消耗!L111)&gt;0,"灵玉","")</f>
        <v/>
      </c>
      <c r="U111" s="15" t="str">
        <f>IF(INDEX(挂机升级突破!$Y$35:$Y$55,卡牌消耗!L111)&gt;0,INDEX(挂机升级突破!$AH$35:$AH$55,卡牌消耗!L111),"")</f>
        <v/>
      </c>
    </row>
    <row r="112" spans="9:21" ht="16.5" x14ac:dyDescent="0.2">
      <c r="I112" s="35">
        <v>76</v>
      </c>
      <c r="J112" s="15">
        <f t="shared" si="6"/>
        <v>1102004</v>
      </c>
      <c r="K112" s="15">
        <f t="shared" si="7"/>
        <v>2</v>
      </c>
      <c r="L112" s="15">
        <f t="shared" si="9"/>
        <v>13</v>
      </c>
      <c r="M112" s="15" t="str">
        <f t="shared" si="8"/>
        <v>黄</v>
      </c>
      <c r="N112" s="15" t="str">
        <f t="shared" si="10"/>
        <v>金币</v>
      </c>
      <c r="O112" s="15">
        <f>IF(L112&gt;1,INDEX(挂机升级突破!$AI$35:$AI$55,卡牌消耗!L112),"")</f>
        <v>122000</v>
      </c>
      <c r="P112" s="15" t="str">
        <f>IF(L112&gt;1,INDEX(价值概述!$A$4:$A$8,INDEX(挂机升级突破!$W$35:$W$55,卡牌消耗!L112)),"")</f>
        <v>橙色基础材料</v>
      </c>
      <c r="Q112" s="15">
        <f>IF(L112&gt;1,INDEX(挂机升级突破!$Z$35:$AD$55,卡牌消耗!L112,INDEX(挂机升级突破!$W$35:$W$55,卡牌消耗!L112)),"")</f>
        <v>115</v>
      </c>
      <c r="R112" s="15" t="str">
        <f>IF(INDEX(挂机升级突破!$X$35:$X$55,卡牌消耗!L112)&gt;0,INDEX($G$2:$I$2,INDEX(挂机升级突破!$X$35:$X$55,卡牌消耗!L112))&amp;M112,"")</f>
        <v>中级黄</v>
      </c>
      <c r="S112" s="15">
        <f>IF(R112="","",INDEX(挂机升级突破!$AE$35:$AG$55,卡牌消耗!L112,INDEX(挂机升级突破!$X$35:$X$55,卡牌消耗!L112)))</f>
        <v>225</v>
      </c>
      <c r="T112" s="15" t="str">
        <f>IF(INDEX(挂机升级突破!$Y$35:$Y$55,卡牌消耗!L112)&gt;0,"灵玉","")</f>
        <v/>
      </c>
      <c r="U112" s="15" t="str">
        <f>IF(INDEX(挂机升级突破!$Y$35:$Y$55,卡牌消耗!L112)&gt;0,INDEX(挂机升级突破!$AH$35:$AH$55,卡牌消耗!L112),"")</f>
        <v/>
      </c>
    </row>
    <row r="113" spans="9:21" ht="16.5" x14ac:dyDescent="0.2">
      <c r="I113" s="35">
        <v>77</v>
      </c>
      <c r="J113" s="15">
        <f t="shared" si="6"/>
        <v>1102004</v>
      </c>
      <c r="K113" s="15">
        <f t="shared" si="7"/>
        <v>2</v>
      </c>
      <c r="L113" s="15">
        <f t="shared" si="9"/>
        <v>14</v>
      </c>
      <c r="M113" s="15" t="str">
        <f t="shared" si="8"/>
        <v>黄</v>
      </c>
      <c r="N113" s="15" t="str">
        <f t="shared" si="10"/>
        <v>金币</v>
      </c>
      <c r="O113" s="15">
        <f>IF(L113&gt;1,INDEX(挂机升级突破!$AI$35:$AI$55,卡牌消耗!L113),"")</f>
        <v>162500</v>
      </c>
      <c r="P113" s="15" t="str">
        <f>IF(L113&gt;1,INDEX(价值概述!$A$4:$A$8,INDEX(挂机升级突破!$W$35:$W$55,卡牌消耗!L113)),"")</f>
        <v>橙色基础材料</v>
      </c>
      <c r="Q113" s="15">
        <f>IF(L113&gt;1,INDEX(挂机升级突破!$Z$35:$AD$55,卡牌消耗!L113,INDEX(挂机升级突破!$W$35:$W$55,卡牌消耗!L113)),"")</f>
        <v>235</v>
      </c>
      <c r="R113" s="15" t="str">
        <f>IF(INDEX(挂机升级突破!$X$35:$X$55,卡牌消耗!L113)&gt;0,INDEX($G$2:$I$2,INDEX(挂机升级突破!$X$35:$X$55,卡牌消耗!L113))&amp;M113,"")</f>
        <v>中级黄</v>
      </c>
      <c r="S113" s="15">
        <f>IF(R113="","",INDEX(挂机升级突破!$AE$35:$AG$55,卡牌消耗!L113,INDEX(挂机升级突破!$X$35:$X$55,卡牌消耗!L113)))</f>
        <v>265</v>
      </c>
      <c r="T113" s="15" t="str">
        <f>IF(INDEX(挂机升级突破!$Y$35:$Y$55,卡牌消耗!L113)&gt;0,"灵玉","")</f>
        <v/>
      </c>
      <c r="U113" s="15" t="str">
        <f>IF(INDEX(挂机升级突破!$Y$35:$Y$55,卡牌消耗!L113)&gt;0,INDEX(挂机升级突破!$AH$35:$AH$55,卡牌消耗!L113),"")</f>
        <v/>
      </c>
    </row>
    <row r="114" spans="9:21" ht="16.5" x14ac:dyDescent="0.2">
      <c r="I114" s="35">
        <v>78</v>
      </c>
      <c r="J114" s="15">
        <f t="shared" si="6"/>
        <v>1102004</v>
      </c>
      <c r="K114" s="15">
        <f t="shared" si="7"/>
        <v>2</v>
      </c>
      <c r="L114" s="15">
        <f t="shared" si="9"/>
        <v>15</v>
      </c>
      <c r="M114" s="15" t="str">
        <f t="shared" si="8"/>
        <v>黄</v>
      </c>
      <c r="N114" s="15" t="str">
        <f t="shared" si="10"/>
        <v>金币</v>
      </c>
      <c r="O114" s="15">
        <f>IF(L114&gt;1,INDEX(挂机升级突破!$AI$35:$AI$55,卡牌消耗!L114),"")</f>
        <v>190000</v>
      </c>
      <c r="P114" s="15" t="str">
        <f>IF(L114&gt;1,INDEX(价值概述!$A$4:$A$8,INDEX(挂机升级突破!$W$35:$W$55,卡牌消耗!L114)),"")</f>
        <v>橙色基础材料</v>
      </c>
      <c r="Q114" s="15">
        <f>IF(L114&gt;1,INDEX(挂机升级突破!$Z$35:$AD$55,卡牌消耗!L114,INDEX(挂机升级突破!$W$35:$W$55,卡牌消耗!L114)),"")</f>
        <v>355</v>
      </c>
      <c r="R114" s="15" t="str">
        <f>IF(INDEX(挂机升级突破!$X$35:$X$55,卡牌消耗!L114)&gt;0,INDEX($G$2:$I$2,INDEX(挂机升级突破!$X$35:$X$55,卡牌消耗!L114))&amp;M114,"")</f>
        <v>高级黄</v>
      </c>
      <c r="S114" s="15">
        <f>IF(R114="","",INDEX(挂机升级突破!$AE$35:$AG$55,卡牌消耗!L114,INDEX(挂机升级突破!$X$35:$X$55,卡牌消耗!L114)))</f>
        <v>45</v>
      </c>
      <c r="T114" s="15" t="str">
        <f>IF(INDEX(挂机升级突破!$Y$35:$Y$55,卡牌消耗!L114)&gt;0,"灵玉","")</f>
        <v/>
      </c>
      <c r="U114" s="15" t="str">
        <f>IF(INDEX(挂机升级突破!$Y$35:$Y$55,卡牌消耗!L114)&gt;0,INDEX(挂机升级突破!$AH$35:$AH$55,卡牌消耗!L114),"")</f>
        <v/>
      </c>
    </row>
    <row r="115" spans="9:21" ht="16.5" x14ac:dyDescent="0.2">
      <c r="I115" s="35">
        <v>79</v>
      </c>
      <c r="J115" s="15">
        <f t="shared" si="6"/>
        <v>1102004</v>
      </c>
      <c r="K115" s="15">
        <f t="shared" si="7"/>
        <v>2</v>
      </c>
      <c r="L115" s="15">
        <f t="shared" si="9"/>
        <v>16</v>
      </c>
      <c r="M115" s="15" t="str">
        <f t="shared" si="8"/>
        <v>黄</v>
      </c>
      <c r="N115" s="15" t="str">
        <f t="shared" si="10"/>
        <v>金币</v>
      </c>
      <c r="O115" s="15">
        <f>IF(L115&gt;1,INDEX(挂机升级突破!$AI$35:$AI$55,卡牌消耗!L115),"")</f>
        <v>219000</v>
      </c>
      <c r="P115" s="15" t="str">
        <f>IF(L115&gt;1,INDEX(价值概述!$A$4:$A$8,INDEX(挂机升级突破!$W$35:$W$55,卡牌消耗!L115)),"")</f>
        <v>橙色基础材料</v>
      </c>
      <c r="Q115" s="15">
        <f>IF(L115&gt;1,INDEX(挂机升级突破!$Z$35:$AD$55,卡牌消耗!L115,INDEX(挂机升级突破!$W$35:$W$55,卡牌消耗!L115)),"")</f>
        <v>475</v>
      </c>
      <c r="R115" s="15" t="str">
        <f>IF(INDEX(挂机升级突破!$X$35:$X$55,卡牌消耗!L115)&gt;0,INDEX($G$2:$I$2,INDEX(挂机升级突破!$X$35:$X$55,卡牌消耗!L115))&amp;M115,"")</f>
        <v>高级黄</v>
      </c>
      <c r="S115" s="15">
        <f>IF(R115="","",INDEX(挂机升级突破!$AE$35:$AG$55,卡牌消耗!L115,INDEX(挂机升级突破!$X$35:$X$55,卡牌消耗!L115)))</f>
        <v>70</v>
      </c>
      <c r="T115" s="15" t="str">
        <f>IF(INDEX(挂机升级突破!$Y$35:$Y$55,卡牌消耗!L115)&gt;0,"灵玉","")</f>
        <v/>
      </c>
      <c r="U115" s="15" t="str">
        <f>IF(INDEX(挂机升级突破!$Y$35:$Y$55,卡牌消耗!L115)&gt;0,INDEX(挂机升级突破!$AH$35:$AH$55,卡牌消耗!L115),"")</f>
        <v/>
      </c>
    </row>
    <row r="116" spans="9:21" ht="16.5" x14ac:dyDescent="0.2">
      <c r="I116" s="35">
        <v>80</v>
      </c>
      <c r="J116" s="15">
        <f t="shared" si="6"/>
        <v>1102004</v>
      </c>
      <c r="K116" s="15">
        <f t="shared" si="7"/>
        <v>2</v>
      </c>
      <c r="L116" s="15">
        <f t="shared" si="9"/>
        <v>17</v>
      </c>
      <c r="M116" s="15" t="str">
        <f t="shared" si="8"/>
        <v>黄</v>
      </c>
      <c r="N116" s="15" t="str">
        <f t="shared" si="10"/>
        <v>金币</v>
      </c>
      <c r="O116" s="15">
        <f>IF(L116&gt;1,INDEX(挂机升级突破!$AI$35:$AI$55,卡牌消耗!L116),"")</f>
        <v>228000</v>
      </c>
      <c r="P116" s="15" t="str">
        <f>IF(L116&gt;1,INDEX(价值概述!$A$4:$A$8,INDEX(挂机升级突破!$W$35:$W$55,卡牌消耗!L116)),"")</f>
        <v>红色基础材料</v>
      </c>
      <c r="Q116" s="15">
        <f>IF(L116&gt;1,INDEX(挂机升级突破!$Z$35:$AD$55,卡牌消耗!L116,INDEX(挂机升级突破!$W$35:$W$55,卡牌消耗!L116)),"")</f>
        <v>45</v>
      </c>
      <c r="R116" s="15" t="str">
        <f>IF(INDEX(挂机升级突破!$X$35:$X$55,卡牌消耗!L116)&gt;0,INDEX($G$2:$I$2,INDEX(挂机升级突破!$X$35:$X$55,卡牌消耗!L116))&amp;M116,"")</f>
        <v>高级黄</v>
      </c>
      <c r="S116" s="15">
        <f>IF(R116="","",INDEX(挂机升级突破!$AE$35:$AG$55,卡牌消耗!L116,INDEX(挂机升级突破!$X$35:$X$55,卡牌消耗!L116)))</f>
        <v>100</v>
      </c>
      <c r="T116" s="15" t="str">
        <f>IF(INDEX(挂机升级突破!$Y$35:$Y$55,卡牌消耗!L116)&gt;0,"灵玉","")</f>
        <v>灵玉</v>
      </c>
      <c r="U116" s="15">
        <f>IF(INDEX(挂机升级突破!$Y$35:$Y$55,卡牌消耗!L116)&gt;0,INDEX(挂机升级突破!$AH$35:$AH$55,卡牌消耗!L116),"")</f>
        <v>25</v>
      </c>
    </row>
    <row r="117" spans="9:21" ht="16.5" x14ac:dyDescent="0.2">
      <c r="I117" s="35">
        <v>81</v>
      </c>
      <c r="J117" s="15">
        <f t="shared" si="6"/>
        <v>1102004</v>
      </c>
      <c r="K117" s="15">
        <f t="shared" si="7"/>
        <v>2</v>
      </c>
      <c r="L117" s="15">
        <f t="shared" si="9"/>
        <v>18</v>
      </c>
      <c r="M117" s="15" t="str">
        <f t="shared" si="8"/>
        <v>黄</v>
      </c>
      <c r="N117" s="15" t="str">
        <f t="shared" si="10"/>
        <v>金币</v>
      </c>
      <c r="O117" s="15">
        <f>IF(L117&gt;1,INDEX(挂机升级突破!$AI$35:$AI$55,卡牌消耗!L117),"")</f>
        <v>319500</v>
      </c>
      <c r="P117" s="15" t="str">
        <f>IF(L117&gt;1,INDEX(价值概述!$A$4:$A$8,INDEX(挂机升级突破!$W$35:$W$55,卡牌消耗!L117)),"")</f>
        <v>红色基础材料</v>
      </c>
      <c r="Q117" s="15">
        <f>IF(L117&gt;1,INDEX(挂机升级突破!$Z$35:$AD$55,卡牌消耗!L117,INDEX(挂机升级突破!$W$35:$W$55,卡牌消耗!L117)),"")</f>
        <v>65</v>
      </c>
      <c r="R117" s="15" t="str">
        <f>IF(INDEX(挂机升级突破!$X$35:$X$55,卡牌消耗!L117)&gt;0,INDEX($G$2:$I$2,INDEX(挂机升级突破!$X$35:$X$55,卡牌消耗!L117))&amp;M117,"")</f>
        <v>高级黄</v>
      </c>
      <c r="S117" s="15">
        <f>IF(R117="","",INDEX(挂机升级突破!$AE$35:$AG$55,卡牌消耗!L117,INDEX(挂机升级突破!$X$35:$X$55,卡牌消耗!L117)))</f>
        <v>125</v>
      </c>
      <c r="T117" s="15" t="str">
        <f>IF(INDEX(挂机升级突破!$Y$35:$Y$55,卡牌消耗!L117)&gt;0,"灵玉","")</f>
        <v>灵玉</v>
      </c>
      <c r="U117" s="15">
        <f>IF(INDEX(挂机升级突破!$Y$35:$Y$55,卡牌消耗!L117)&gt;0,INDEX(挂机升级突破!$AH$35:$AH$55,卡牌消耗!L117),"")</f>
        <v>35</v>
      </c>
    </row>
    <row r="118" spans="9:21" ht="16.5" x14ac:dyDescent="0.2">
      <c r="I118" s="35">
        <v>82</v>
      </c>
      <c r="J118" s="15">
        <f t="shared" si="6"/>
        <v>1102004</v>
      </c>
      <c r="K118" s="15">
        <f t="shared" si="7"/>
        <v>2</v>
      </c>
      <c r="L118" s="15">
        <f t="shared" si="9"/>
        <v>19</v>
      </c>
      <c r="M118" s="15" t="str">
        <f t="shared" si="8"/>
        <v>黄</v>
      </c>
      <c r="N118" s="15" t="str">
        <f t="shared" si="10"/>
        <v>金币</v>
      </c>
      <c r="O118" s="15">
        <f>IF(L118&gt;1,INDEX(挂机升级突破!$AI$35:$AI$55,卡牌消耗!L118),"")</f>
        <v>426000</v>
      </c>
      <c r="P118" s="15" t="str">
        <f>IF(L118&gt;1,INDEX(价值概述!$A$4:$A$8,INDEX(挂机升级突破!$W$35:$W$55,卡牌消耗!L118)),"")</f>
        <v>红色基础材料</v>
      </c>
      <c r="Q118" s="15">
        <f>IF(L118&gt;1,INDEX(挂机升级突破!$Z$35:$AD$55,卡牌消耗!L118,INDEX(挂机升级突破!$W$35:$W$55,卡牌消耗!L118)),"")</f>
        <v>90</v>
      </c>
      <c r="R118" s="15" t="str">
        <f>IF(INDEX(挂机升级突破!$X$35:$X$55,卡牌消耗!L118)&gt;0,INDEX($G$2:$I$2,INDEX(挂机升级突破!$X$35:$X$55,卡牌消耗!L118))&amp;M118,"")</f>
        <v>高级黄</v>
      </c>
      <c r="S118" s="15">
        <f>IF(R118="","",INDEX(挂机升级突破!$AE$35:$AG$55,卡牌消耗!L118,INDEX(挂机升级突破!$X$35:$X$55,卡牌消耗!L118)))</f>
        <v>155</v>
      </c>
      <c r="T118" s="15" t="str">
        <f>IF(INDEX(挂机升级突破!$Y$35:$Y$55,卡牌消耗!L118)&gt;0,"灵玉","")</f>
        <v>灵玉</v>
      </c>
      <c r="U118" s="15">
        <f>IF(INDEX(挂机升级突破!$Y$35:$Y$55,卡牌消耗!L118)&gt;0,INDEX(挂机升级突破!$AH$35:$AH$55,卡牌消耗!L118),"")</f>
        <v>50</v>
      </c>
    </row>
    <row r="119" spans="9:21" ht="16.5" x14ac:dyDescent="0.2">
      <c r="I119" s="35">
        <v>83</v>
      </c>
      <c r="J119" s="15">
        <f t="shared" si="6"/>
        <v>1102004</v>
      </c>
      <c r="K119" s="15">
        <f t="shared" si="7"/>
        <v>2</v>
      </c>
      <c r="L119" s="15">
        <f t="shared" si="9"/>
        <v>20</v>
      </c>
      <c r="M119" s="15" t="str">
        <f t="shared" si="8"/>
        <v>黄</v>
      </c>
      <c r="N119" s="15" t="str">
        <f t="shared" si="10"/>
        <v>金币</v>
      </c>
      <c r="O119" s="15">
        <f>IF(L119&gt;1,INDEX(挂机升级突破!$AI$35:$AI$55,卡牌消耗!L119),"")</f>
        <v>532500</v>
      </c>
      <c r="P119" s="15" t="str">
        <f>IF(L119&gt;1,INDEX(价值概述!$A$4:$A$8,INDEX(挂机升级突破!$W$35:$W$55,卡牌消耗!L119)),"")</f>
        <v>红色基础材料</v>
      </c>
      <c r="Q119" s="15">
        <f>IF(L119&gt;1,INDEX(挂机升级突破!$Z$35:$AD$55,卡牌消耗!L119,INDEX(挂机升级突破!$W$35:$W$55,卡牌消耗!L119)),"")</f>
        <v>110</v>
      </c>
      <c r="R119" s="15" t="str">
        <f>IF(INDEX(挂机升级突破!$X$35:$X$55,卡牌消耗!L119)&gt;0,INDEX($G$2:$I$2,INDEX(挂机升级突破!$X$35:$X$55,卡牌消耗!L119))&amp;M119,"")</f>
        <v>高级黄</v>
      </c>
      <c r="S119" s="15">
        <f>IF(R119="","",INDEX(挂机升级突破!$AE$35:$AG$55,卡牌消耗!L119,INDEX(挂机升级突破!$X$35:$X$55,卡牌消耗!L119)))</f>
        <v>180</v>
      </c>
      <c r="T119" s="15" t="str">
        <f>IF(INDEX(挂机升级突破!$Y$35:$Y$55,卡牌消耗!L119)&gt;0,"灵玉","")</f>
        <v>灵玉</v>
      </c>
      <c r="U119" s="15">
        <f>IF(INDEX(挂机升级突破!$Y$35:$Y$55,卡牌消耗!L119)&gt;0,INDEX(挂机升级突破!$AH$35:$AH$55,卡牌消耗!L119),"")</f>
        <v>65</v>
      </c>
    </row>
    <row r="120" spans="9:21" ht="16.5" x14ac:dyDescent="0.2">
      <c r="I120" s="35">
        <v>84</v>
      </c>
      <c r="J120" s="15">
        <f t="shared" si="6"/>
        <v>1102004</v>
      </c>
      <c r="K120" s="15">
        <f t="shared" si="7"/>
        <v>2</v>
      </c>
      <c r="L120" s="15">
        <f t="shared" si="9"/>
        <v>21</v>
      </c>
      <c r="M120" s="15" t="str">
        <f t="shared" si="8"/>
        <v>黄</v>
      </c>
      <c r="N120" s="15" t="str">
        <f t="shared" si="10"/>
        <v>金币</v>
      </c>
      <c r="O120" s="15">
        <f>IF(L120&gt;1,INDEX(挂机升级突破!$AI$35:$AI$55,卡牌消耗!L120),"")</f>
        <v>639000</v>
      </c>
      <c r="P120" s="15" t="str">
        <f>IF(L120&gt;1,INDEX(价值概述!$A$4:$A$8,INDEX(挂机升级突破!$W$35:$W$55,卡牌消耗!L120)),"")</f>
        <v>红色基础材料</v>
      </c>
      <c r="Q120" s="15">
        <f>IF(L120&gt;1,INDEX(挂机升级突破!$Z$35:$AD$55,卡牌消耗!L120,INDEX(挂机升级突破!$W$35:$W$55,卡牌消耗!L120)),"")</f>
        <v>135</v>
      </c>
      <c r="R120" s="15" t="str">
        <f>IF(INDEX(挂机升级突破!$X$35:$X$55,卡牌消耗!L120)&gt;0,INDEX($G$2:$I$2,INDEX(挂机升级突破!$X$35:$X$55,卡牌消耗!L120))&amp;M120,"")</f>
        <v>高级黄</v>
      </c>
      <c r="S120" s="15">
        <f>IF(R120="","",INDEX(挂机升级突破!$AE$35:$AG$55,卡牌消耗!L120,INDEX(挂机升级突破!$X$35:$X$55,卡牌消耗!L120)))</f>
        <v>225</v>
      </c>
      <c r="T120" s="15" t="str">
        <f>IF(INDEX(挂机升级突破!$Y$35:$Y$55,卡牌消耗!L120)&gt;0,"灵玉","")</f>
        <v>灵玉</v>
      </c>
      <c r="U120" s="15">
        <f>IF(INDEX(挂机升级突破!$Y$35:$Y$55,卡牌消耗!L120)&gt;0,INDEX(挂机升级突破!$AH$35:$AH$55,卡牌消耗!L120),"")</f>
        <v>75</v>
      </c>
    </row>
    <row r="121" spans="9:21" ht="16.5" x14ac:dyDescent="0.2">
      <c r="I121" s="35">
        <v>85</v>
      </c>
      <c r="J121" s="15">
        <f t="shared" si="6"/>
        <v>1102005</v>
      </c>
      <c r="K121" s="15">
        <f t="shared" si="7"/>
        <v>3</v>
      </c>
      <c r="L121" s="15">
        <f t="shared" si="9"/>
        <v>1</v>
      </c>
      <c r="M121" s="15" t="str">
        <f t="shared" si="8"/>
        <v>蓝</v>
      </c>
      <c r="N121" s="15" t="str">
        <f t="shared" si="10"/>
        <v/>
      </c>
      <c r="O121" s="15" t="str">
        <f>IF(L121&gt;1,INDEX(挂机升级突破!$AI$35:$AI$55,卡牌消耗!L121),"")</f>
        <v/>
      </c>
      <c r="P121" s="15" t="str">
        <f>IF(L121&gt;1,INDEX(价值概述!$A$4:$A$8,INDEX(挂机升级突破!$W$35:$W$55,卡牌消耗!L121)),"")</f>
        <v/>
      </c>
      <c r="Q121" s="15" t="str">
        <f>IF(L121&gt;1,INDEX(挂机升级突破!$Z$35:$AD$55,卡牌消耗!L121,INDEX(挂机升级突破!$W$35:$W$55,卡牌消耗!L121)),"")</f>
        <v/>
      </c>
      <c r="R121" s="15" t="str">
        <f>IF(INDEX(挂机升级突破!$X$35:$X$55,卡牌消耗!L121)&gt;0,INDEX($G$2:$I$2,INDEX(挂机升级突破!$X$35:$X$55,卡牌消耗!L121))&amp;M121,"")</f>
        <v/>
      </c>
      <c r="S121" s="15" t="str">
        <f>IF(R121="","",INDEX(挂机升级突破!$AE$35:$AG$55,卡牌消耗!L121,INDEX(挂机升级突破!$X$35:$X$55,卡牌消耗!L121)))</f>
        <v/>
      </c>
      <c r="T121" s="15" t="str">
        <f>IF(INDEX(挂机升级突破!$Y$35:$Y$55,卡牌消耗!L121)&gt;0,"灵玉","")</f>
        <v/>
      </c>
      <c r="U121" s="15" t="str">
        <f>IF(INDEX(挂机升级突破!$Y$35:$Y$55,卡牌消耗!L121)&gt;0,INDEX(挂机升级突破!$AH$35:$AH$55,卡牌消耗!L121),"")</f>
        <v/>
      </c>
    </row>
    <row r="122" spans="9:21" ht="16.5" x14ac:dyDescent="0.2">
      <c r="I122" s="35">
        <v>86</v>
      </c>
      <c r="J122" s="15">
        <f t="shared" si="6"/>
        <v>1102005</v>
      </c>
      <c r="K122" s="15">
        <f t="shared" si="7"/>
        <v>3</v>
      </c>
      <c r="L122" s="15">
        <f t="shared" si="9"/>
        <v>2</v>
      </c>
      <c r="M122" s="15" t="str">
        <f t="shared" si="8"/>
        <v>蓝</v>
      </c>
      <c r="N122" s="15" t="str">
        <f t="shared" si="10"/>
        <v>金币</v>
      </c>
      <c r="O122" s="15">
        <f>IF(L122&gt;1,INDEX(挂机升级突破!$AI$35:$AI$55,卡牌消耗!L122),"")</f>
        <v>2500</v>
      </c>
      <c r="P122" s="15" t="str">
        <f>IF(L122&gt;1,INDEX(价值概述!$A$4:$A$8,INDEX(挂机升级突破!$W$35:$W$55,卡牌消耗!L122)),"")</f>
        <v>绿色基础材料</v>
      </c>
      <c r="Q122" s="15">
        <f>IF(L122&gt;1,INDEX(挂机升级突破!$Z$35:$AD$55,卡牌消耗!L122,INDEX(挂机升级突破!$W$35:$W$55,卡牌消耗!L122)),"")</f>
        <v>10</v>
      </c>
      <c r="R122" s="15" t="str">
        <f>IF(INDEX(挂机升级突破!$X$35:$X$55,卡牌消耗!L122)&gt;0,INDEX($G$2:$I$2,INDEX(挂机升级突破!$X$35:$X$55,卡牌消耗!L122))&amp;M122,"")</f>
        <v/>
      </c>
      <c r="S122" s="15" t="str">
        <f>IF(R122="","",INDEX(挂机升级突破!$AE$35:$AG$55,卡牌消耗!L122,INDEX(挂机升级突破!$X$35:$X$55,卡牌消耗!L122)))</f>
        <v/>
      </c>
      <c r="T122" s="15" t="str">
        <f>IF(INDEX(挂机升级突破!$Y$35:$Y$55,卡牌消耗!L122)&gt;0,"灵玉","")</f>
        <v/>
      </c>
      <c r="U122" s="15" t="str">
        <f>IF(INDEX(挂机升级突破!$Y$35:$Y$55,卡牌消耗!L122)&gt;0,INDEX(挂机升级突破!$AH$35:$AH$55,卡牌消耗!L122),"")</f>
        <v/>
      </c>
    </row>
    <row r="123" spans="9:21" ht="16.5" x14ac:dyDescent="0.2">
      <c r="I123" s="35">
        <v>87</v>
      </c>
      <c r="J123" s="15">
        <f t="shared" si="6"/>
        <v>1102005</v>
      </c>
      <c r="K123" s="15">
        <f t="shared" si="7"/>
        <v>3</v>
      </c>
      <c r="L123" s="15">
        <f t="shared" si="9"/>
        <v>3</v>
      </c>
      <c r="M123" s="15" t="str">
        <f t="shared" si="8"/>
        <v>蓝</v>
      </c>
      <c r="N123" s="15" t="str">
        <f t="shared" si="10"/>
        <v>金币</v>
      </c>
      <c r="O123" s="15">
        <f>IF(L123&gt;1,INDEX(挂机升级突破!$AI$35:$AI$55,卡牌消耗!L123),"")</f>
        <v>8000</v>
      </c>
      <c r="P123" s="15" t="str">
        <f>IF(L123&gt;1,INDEX(价值概述!$A$4:$A$8,INDEX(挂机升级突破!$W$35:$W$55,卡牌消耗!L123)),"")</f>
        <v>绿色基础材料</v>
      </c>
      <c r="Q123" s="15">
        <f>IF(L123&gt;1,INDEX(挂机升级突破!$Z$35:$AD$55,卡牌消耗!L123,INDEX(挂机升级突破!$W$35:$W$55,卡牌消耗!L123)),"")</f>
        <v>40</v>
      </c>
      <c r="R123" s="15" t="str">
        <f>IF(INDEX(挂机升级突破!$X$35:$X$55,卡牌消耗!L123)&gt;0,INDEX($G$2:$I$2,INDEX(挂机升级突破!$X$35:$X$55,卡牌消耗!L123))&amp;M123,"")</f>
        <v/>
      </c>
      <c r="S123" s="15" t="str">
        <f>IF(R123="","",INDEX(挂机升级突破!$AE$35:$AG$55,卡牌消耗!L123,INDEX(挂机升级突破!$X$35:$X$55,卡牌消耗!L123)))</f>
        <v/>
      </c>
      <c r="T123" s="15" t="str">
        <f>IF(INDEX(挂机升级突破!$Y$35:$Y$55,卡牌消耗!L123)&gt;0,"灵玉","")</f>
        <v/>
      </c>
      <c r="U123" s="15" t="str">
        <f>IF(INDEX(挂机升级突破!$Y$35:$Y$55,卡牌消耗!L123)&gt;0,INDEX(挂机升级突破!$AH$35:$AH$55,卡牌消耗!L123),"")</f>
        <v/>
      </c>
    </row>
    <row r="124" spans="9:21" ht="16.5" x14ac:dyDescent="0.2">
      <c r="I124" s="35">
        <v>88</v>
      </c>
      <c r="J124" s="15">
        <f t="shared" si="6"/>
        <v>1102005</v>
      </c>
      <c r="K124" s="15">
        <f t="shared" si="7"/>
        <v>3</v>
      </c>
      <c r="L124" s="15">
        <f t="shared" si="9"/>
        <v>4</v>
      </c>
      <c r="M124" s="15" t="str">
        <f t="shared" si="8"/>
        <v>蓝</v>
      </c>
      <c r="N124" s="15" t="str">
        <f t="shared" si="10"/>
        <v>金币</v>
      </c>
      <c r="O124" s="15">
        <f>IF(L124&gt;1,INDEX(挂机升级突破!$AI$35:$AI$55,卡牌消耗!L124),"")</f>
        <v>16500</v>
      </c>
      <c r="P124" s="15" t="str">
        <f>IF(L124&gt;1,INDEX(价值概述!$A$4:$A$8,INDEX(挂机升级突破!$W$35:$W$55,卡牌消耗!L124)),"")</f>
        <v>绿色基础材料</v>
      </c>
      <c r="Q124" s="15">
        <f>IF(L124&gt;1,INDEX(挂机升级突破!$Z$35:$AD$55,卡牌消耗!L124,INDEX(挂机升级突破!$W$35:$W$55,卡牌消耗!L124)),"")</f>
        <v>80</v>
      </c>
      <c r="R124" s="15" t="str">
        <f>IF(INDEX(挂机升级突破!$X$35:$X$55,卡牌消耗!L124)&gt;0,INDEX($G$2:$I$2,INDEX(挂机升级突破!$X$35:$X$55,卡牌消耗!L124))&amp;M124,"")</f>
        <v>初级蓝</v>
      </c>
      <c r="S124" s="15">
        <f>IF(R124="","",INDEX(挂机升级突破!$AE$35:$AG$55,卡牌消耗!L124,INDEX(挂机升级突破!$X$35:$X$55,卡牌消耗!L124)))</f>
        <v>40</v>
      </c>
      <c r="T124" s="15" t="str">
        <f>IF(INDEX(挂机升级突破!$Y$35:$Y$55,卡牌消耗!L124)&gt;0,"灵玉","")</f>
        <v/>
      </c>
      <c r="U124" s="15" t="str">
        <f>IF(INDEX(挂机升级突破!$Y$35:$Y$55,卡牌消耗!L124)&gt;0,INDEX(挂机升级突破!$AH$35:$AH$55,卡牌消耗!L124),"")</f>
        <v/>
      </c>
    </row>
    <row r="125" spans="9:21" ht="16.5" x14ac:dyDescent="0.2">
      <c r="I125" s="35">
        <v>89</v>
      </c>
      <c r="J125" s="15">
        <f t="shared" si="6"/>
        <v>1102005</v>
      </c>
      <c r="K125" s="15">
        <f t="shared" si="7"/>
        <v>3</v>
      </c>
      <c r="L125" s="15">
        <f t="shared" si="9"/>
        <v>5</v>
      </c>
      <c r="M125" s="15" t="str">
        <f t="shared" si="8"/>
        <v>蓝</v>
      </c>
      <c r="N125" s="15" t="str">
        <f t="shared" si="10"/>
        <v>金币</v>
      </c>
      <c r="O125" s="15">
        <f>IF(L125&gt;1,INDEX(挂机升级突破!$AI$35:$AI$55,卡牌消耗!L125),"")</f>
        <v>22500</v>
      </c>
      <c r="P125" s="15" t="str">
        <f>IF(L125&gt;1,INDEX(价值概述!$A$4:$A$8,INDEX(挂机升级突破!$W$35:$W$55,卡牌消耗!L125)),"")</f>
        <v>蓝色基础材料</v>
      </c>
      <c r="Q125" s="15">
        <f>IF(L125&gt;1,INDEX(挂机升级突破!$Z$35:$AD$55,卡牌消耗!L125,INDEX(挂机升级突破!$W$35:$W$55,卡牌消耗!L125)),"")</f>
        <v>35</v>
      </c>
      <c r="R125" s="15" t="str">
        <f>IF(INDEX(挂机升级突破!$X$35:$X$55,卡牌消耗!L125)&gt;0,INDEX($G$2:$I$2,INDEX(挂机升级突破!$X$35:$X$55,卡牌消耗!L125))&amp;M125,"")</f>
        <v>初级蓝</v>
      </c>
      <c r="S125" s="15">
        <f>IF(R125="","",INDEX(挂机升级突破!$AE$35:$AG$55,卡牌消耗!L125,INDEX(挂机升级突破!$X$35:$X$55,卡牌消耗!L125)))</f>
        <v>65</v>
      </c>
      <c r="T125" s="15" t="str">
        <f>IF(INDEX(挂机升级突破!$Y$35:$Y$55,卡牌消耗!L125)&gt;0,"灵玉","")</f>
        <v/>
      </c>
      <c r="U125" s="15" t="str">
        <f>IF(INDEX(挂机升级突破!$Y$35:$Y$55,卡牌消耗!L125)&gt;0,INDEX(挂机升级突破!$AH$35:$AH$55,卡牌消耗!L125),"")</f>
        <v/>
      </c>
    </row>
    <row r="126" spans="9:21" ht="16.5" x14ac:dyDescent="0.2">
      <c r="I126" s="35">
        <v>90</v>
      </c>
      <c r="J126" s="15">
        <f t="shared" si="6"/>
        <v>1102005</v>
      </c>
      <c r="K126" s="15">
        <f t="shared" si="7"/>
        <v>3</v>
      </c>
      <c r="L126" s="15">
        <f t="shared" si="9"/>
        <v>6</v>
      </c>
      <c r="M126" s="15" t="str">
        <f t="shared" si="8"/>
        <v>蓝</v>
      </c>
      <c r="N126" s="15" t="str">
        <f t="shared" si="10"/>
        <v>金币</v>
      </c>
      <c r="O126" s="15">
        <f>IF(L126&gt;1,INDEX(挂机升级突破!$AI$35:$AI$55,卡牌消耗!L126),"")</f>
        <v>53000</v>
      </c>
      <c r="P126" s="15" t="str">
        <f>IF(L126&gt;1,INDEX(价值概述!$A$4:$A$8,INDEX(挂机升级突破!$W$35:$W$55,卡牌消耗!L126)),"")</f>
        <v>蓝色基础材料</v>
      </c>
      <c r="Q126" s="15">
        <f>IF(L126&gt;1,INDEX(挂机升级突破!$Z$35:$AD$55,卡牌消耗!L126,INDEX(挂机升级突破!$W$35:$W$55,卡牌消耗!L126)),"")</f>
        <v>70</v>
      </c>
      <c r="R126" s="15" t="str">
        <f>IF(INDEX(挂机升级突破!$X$35:$X$55,卡牌消耗!L126)&gt;0,INDEX($G$2:$I$2,INDEX(挂机升级突破!$X$35:$X$55,卡牌消耗!L126))&amp;M126,"")</f>
        <v>初级蓝</v>
      </c>
      <c r="S126" s="15">
        <f>IF(R126="","",INDEX(挂机升级突破!$AE$35:$AG$55,卡牌消耗!L126,INDEX(挂机升级突破!$X$35:$X$55,卡牌消耗!L126)))</f>
        <v>85</v>
      </c>
      <c r="T126" s="15" t="str">
        <f>IF(INDEX(挂机升级突破!$Y$35:$Y$55,卡牌消耗!L126)&gt;0,"灵玉","")</f>
        <v/>
      </c>
      <c r="U126" s="15" t="str">
        <f>IF(INDEX(挂机升级突破!$Y$35:$Y$55,卡牌消耗!L126)&gt;0,INDEX(挂机升级突破!$AH$35:$AH$55,卡牌消耗!L126),"")</f>
        <v/>
      </c>
    </row>
    <row r="127" spans="9:21" ht="16.5" x14ac:dyDescent="0.2">
      <c r="I127" s="35">
        <v>91</v>
      </c>
      <c r="J127" s="15">
        <f t="shared" si="6"/>
        <v>1102005</v>
      </c>
      <c r="K127" s="15">
        <f t="shared" si="7"/>
        <v>3</v>
      </c>
      <c r="L127" s="15">
        <f t="shared" si="9"/>
        <v>7</v>
      </c>
      <c r="M127" s="15" t="str">
        <f t="shared" si="8"/>
        <v>蓝</v>
      </c>
      <c r="N127" s="15" t="str">
        <f t="shared" si="10"/>
        <v>金币</v>
      </c>
      <c r="O127" s="15">
        <f>IF(L127&gt;1,INDEX(挂机升级突破!$AI$35:$AI$55,卡牌消耗!L127),"")</f>
        <v>59500</v>
      </c>
      <c r="P127" s="15" t="str">
        <f>IF(L127&gt;1,INDEX(价值概述!$A$4:$A$8,INDEX(挂机升级突破!$W$35:$W$55,卡牌消耗!L127)),"")</f>
        <v>蓝色基础材料</v>
      </c>
      <c r="Q127" s="15">
        <f>IF(L127&gt;1,INDEX(挂机升级突破!$Z$35:$AD$55,卡牌消耗!L127,INDEX(挂机升级突破!$W$35:$W$55,卡牌消耗!L127)),"")</f>
        <v>110</v>
      </c>
      <c r="R127" s="15" t="str">
        <f>IF(INDEX(挂机升级突破!$X$35:$X$55,卡牌消耗!L127)&gt;0,INDEX($G$2:$I$2,INDEX(挂机升级突破!$X$35:$X$55,卡牌消耗!L127))&amp;M127,"")</f>
        <v>初级蓝</v>
      </c>
      <c r="S127" s="15">
        <f>IF(R127="","",INDEX(挂机升级突破!$AE$35:$AG$55,卡牌消耗!L127,INDEX(挂机升级突破!$X$35:$X$55,卡牌消耗!L127)))</f>
        <v>110</v>
      </c>
      <c r="T127" s="15" t="str">
        <f>IF(INDEX(挂机升级突破!$Y$35:$Y$55,卡牌消耗!L127)&gt;0,"灵玉","")</f>
        <v/>
      </c>
      <c r="U127" s="15" t="str">
        <f>IF(INDEX(挂机升级突破!$Y$35:$Y$55,卡牌消耗!L127)&gt;0,INDEX(挂机升级突破!$AH$35:$AH$55,卡牌消耗!L127),"")</f>
        <v/>
      </c>
    </row>
    <row r="128" spans="9:21" ht="16.5" x14ac:dyDescent="0.2">
      <c r="I128" s="35">
        <v>92</v>
      </c>
      <c r="J128" s="15">
        <f t="shared" si="6"/>
        <v>1102005</v>
      </c>
      <c r="K128" s="15">
        <f t="shared" si="7"/>
        <v>3</v>
      </c>
      <c r="L128" s="15">
        <f t="shared" si="9"/>
        <v>8</v>
      </c>
      <c r="M128" s="15" t="str">
        <f t="shared" si="8"/>
        <v>蓝</v>
      </c>
      <c r="N128" s="15" t="str">
        <f t="shared" si="10"/>
        <v>金币</v>
      </c>
      <c r="O128" s="15">
        <f>IF(L128&gt;1,INDEX(挂机升级突破!$AI$35:$AI$55,卡牌消耗!L128),"")</f>
        <v>65500</v>
      </c>
      <c r="P128" s="15" t="str">
        <f>IF(L128&gt;1,INDEX(价值概述!$A$4:$A$8,INDEX(挂机升级突破!$W$35:$W$55,卡牌消耗!L128)),"")</f>
        <v>蓝色基础材料</v>
      </c>
      <c r="Q128" s="15">
        <f>IF(L128&gt;1,INDEX(挂机升级突破!$Z$35:$AD$55,卡牌消耗!L128,INDEX(挂机升级突破!$W$35:$W$55,卡牌消耗!L128)),"")</f>
        <v>145</v>
      </c>
      <c r="R128" s="15" t="str">
        <f>IF(INDEX(挂机升级突破!$X$35:$X$55,卡牌消耗!L128)&gt;0,INDEX($G$2:$I$2,INDEX(挂机升级突破!$X$35:$X$55,卡牌消耗!L128))&amp;M128,"")</f>
        <v>初级蓝</v>
      </c>
      <c r="S128" s="15">
        <f>IF(R128="","",INDEX(挂机升级突破!$AE$35:$AG$55,卡牌消耗!L128,INDEX(挂机升级突破!$X$35:$X$55,卡牌消耗!L128)))</f>
        <v>130</v>
      </c>
      <c r="T128" s="15" t="str">
        <f>IF(INDEX(挂机升级突破!$Y$35:$Y$55,卡牌消耗!L128)&gt;0,"灵玉","")</f>
        <v/>
      </c>
      <c r="U128" s="15" t="str">
        <f>IF(INDEX(挂机升级突破!$Y$35:$Y$55,卡牌消耗!L128)&gt;0,INDEX(挂机升级突破!$AH$35:$AH$55,卡牌消耗!L128),"")</f>
        <v/>
      </c>
    </row>
    <row r="129" spans="9:21" ht="16.5" x14ac:dyDescent="0.2">
      <c r="I129" s="35">
        <v>93</v>
      </c>
      <c r="J129" s="15">
        <f t="shared" si="6"/>
        <v>1102005</v>
      </c>
      <c r="K129" s="15">
        <f t="shared" si="7"/>
        <v>3</v>
      </c>
      <c r="L129" s="15">
        <f t="shared" si="9"/>
        <v>9</v>
      </c>
      <c r="M129" s="15" t="str">
        <f t="shared" si="8"/>
        <v>蓝</v>
      </c>
      <c r="N129" s="15" t="str">
        <f t="shared" si="10"/>
        <v>金币</v>
      </c>
      <c r="O129" s="15">
        <f>IF(L129&gt;1,INDEX(挂机升级突破!$AI$35:$AI$55,卡牌消耗!L129),"")</f>
        <v>76000</v>
      </c>
      <c r="P129" s="15" t="str">
        <f>IF(L129&gt;1,INDEX(价值概述!$A$4:$A$8,INDEX(挂机升级突破!$W$35:$W$55,卡牌消耗!L129)),"")</f>
        <v>紫色基础材料</v>
      </c>
      <c r="Q129" s="15">
        <f>IF(L129&gt;1,INDEX(挂机升级突破!$Z$35:$AD$55,卡牌消耗!L129,INDEX(挂机升级突破!$W$35:$W$55,卡牌消耗!L129)),"")</f>
        <v>70</v>
      </c>
      <c r="R129" s="15" t="str">
        <f>IF(INDEX(挂机升级突破!$X$35:$X$55,卡牌消耗!L129)&gt;0,INDEX($G$2:$I$2,INDEX(挂机升级突破!$X$35:$X$55,卡牌消耗!L129))&amp;M129,"")</f>
        <v>中级蓝</v>
      </c>
      <c r="S129" s="15">
        <f>IF(R129="","",INDEX(挂机升级突破!$AE$35:$AG$55,卡牌消耗!L129,INDEX(挂机升级突破!$X$35:$X$55,卡牌消耗!L129)))</f>
        <v>55</v>
      </c>
      <c r="T129" s="15" t="str">
        <f>IF(INDEX(挂机升级突破!$Y$35:$Y$55,卡牌消耗!L129)&gt;0,"灵玉","")</f>
        <v/>
      </c>
      <c r="U129" s="15" t="str">
        <f>IF(INDEX(挂机升级突破!$Y$35:$Y$55,卡牌消耗!L129)&gt;0,INDEX(挂机升级突破!$AH$35:$AH$55,卡牌消耗!L129),"")</f>
        <v/>
      </c>
    </row>
    <row r="130" spans="9:21" ht="16.5" x14ac:dyDescent="0.2">
      <c r="I130" s="35">
        <v>94</v>
      </c>
      <c r="J130" s="15">
        <f t="shared" si="6"/>
        <v>1102005</v>
      </c>
      <c r="K130" s="15">
        <f t="shared" si="7"/>
        <v>3</v>
      </c>
      <c r="L130" s="15">
        <f t="shared" si="9"/>
        <v>10</v>
      </c>
      <c r="M130" s="15" t="str">
        <f t="shared" si="8"/>
        <v>蓝</v>
      </c>
      <c r="N130" s="15" t="str">
        <f t="shared" si="10"/>
        <v>金币</v>
      </c>
      <c r="O130" s="15">
        <f>IF(L130&gt;1,INDEX(挂机升级突破!$AI$35:$AI$55,卡牌消耗!L130),"")</f>
        <v>83000</v>
      </c>
      <c r="P130" s="15" t="str">
        <f>IF(L130&gt;1,INDEX(价值概述!$A$4:$A$8,INDEX(挂机升级突破!$W$35:$W$55,卡牌消耗!L130)),"")</f>
        <v>紫色基础材料</v>
      </c>
      <c r="Q130" s="15">
        <f>IF(L130&gt;1,INDEX(挂机升级突破!$Z$35:$AD$55,卡牌消耗!L130,INDEX(挂机升级突破!$W$35:$W$55,卡牌消耗!L130)),"")</f>
        <v>140</v>
      </c>
      <c r="R130" s="15" t="str">
        <f>IF(INDEX(挂机升级突破!$X$35:$X$55,卡牌消耗!L130)&gt;0,INDEX($G$2:$I$2,INDEX(挂机升级突破!$X$35:$X$55,卡牌消耗!L130))&amp;M130,"")</f>
        <v>中级蓝</v>
      </c>
      <c r="S130" s="15">
        <f>IF(R130="","",INDEX(挂机升级突破!$AE$35:$AG$55,卡牌消耗!L130,INDEX(挂机升级突破!$X$35:$X$55,卡牌消耗!L130)))</f>
        <v>95</v>
      </c>
      <c r="T130" s="15" t="str">
        <f>IF(INDEX(挂机升级突破!$Y$35:$Y$55,卡牌消耗!L130)&gt;0,"灵玉","")</f>
        <v/>
      </c>
      <c r="U130" s="15" t="str">
        <f>IF(INDEX(挂机升级突破!$Y$35:$Y$55,卡牌消耗!L130)&gt;0,INDEX(挂机升级突破!$AH$35:$AH$55,卡牌消耗!L130),"")</f>
        <v/>
      </c>
    </row>
    <row r="131" spans="9:21" ht="16.5" x14ac:dyDescent="0.2">
      <c r="I131" s="35">
        <v>95</v>
      </c>
      <c r="J131" s="15">
        <f t="shared" si="6"/>
        <v>1102005</v>
      </c>
      <c r="K131" s="15">
        <f t="shared" si="7"/>
        <v>3</v>
      </c>
      <c r="L131" s="15">
        <f t="shared" si="9"/>
        <v>11</v>
      </c>
      <c r="M131" s="15" t="str">
        <f t="shared" si="8"/>
        <v>蓝</v>
      </c>
      <c r="N131" s="15" t="str">
        <f t="shared" si="10"/>
        <v>金币</v>
      </c>
      <c r="O131" s="15">
        <f>IF(L131&gt;1,INDEX(挂机升级突破!$AI$35:$AI$55,卡牌消耗!L131),"")</f>
        <v>90000</v>
      </c>
      <c r="P131" s="15" t="str">
        <f>IF(L131&gt;1,INDEX(价值概述!$A$4:$A$8,INDEX(挂机升级突破!$W$35:$W$55,卡牌消耗!L131)),"")</f>
        <v>紫色基础材料</v>
      </c>
      <c r="Q131" s="15">
        <f>IF(L131&gt;1,INDEX(挂机升级突破!$Z$35:$AD$55,卡牌消耗!L131,INDEX(挂机升级突破!$W$35:$W$55,卡牌消耗!L131)),"")</f>
        <v>215</v>
      </c>
      <c r="R131" s="15" t="str">
        <f>IF(INDEX(挂机升级突破!$X$35:$X$55,卡牌消耗!L131)&gt;0,INDEX($G$2:$I$2,INDEX(挂机升级突破!$X$35:$X$55,卡牌消耗!L131))&amp;M131,"")</f>
        <v>中级蓝</v>
      </c>
      <c r="S131" s="15">
        <f>IF(R131="","",INDEX(挂机升级突破!$AE$35:$AG$55,卡牌消耗!L131,INDEX(挂机升级突破!$X$35:$X$55,卡牌消耗!L131)))</f>
        <v>145</v>
      </c>
      <c r="T131" s="15" t="str">
        <f>IF(INDEX(挂机升级突破!$Y$35:$Y$55,卡牌消耗!L131)&gt;0,"灵玉","")</f>
        <v/>
      </c>
      <c r="U131" s="15" t="str">
        <f>IF(INDEX(挂机升级突破!$Y$35:$Y$55,卡牌消耗!L131)&gt;0,INDEX(挂机升级突破!$AH$35:$AH$55,卡牌消耗!L131),"")</f>
        <v/>
      </c>
    </row>
    <row r="132" spans="9:21" ht="16.5" x14ac:dyDescent="0.2">
      <c r="I132" s="35">
        <v>96</v>
      </c>
      <c r="J132" s="15">
        <f t="shared" si="6"/>
        <v>1102005</v>
      </c>
      <c r="K132" s="15">
        <f t="shared" si="7"/>
        <v>3</v>
      </c>
      <c r="L132" s="15">
        <f t="shared" si="9"/>
        <v>12</v>
      </c>
      <c r="M132" s="15" t="str">
        <f t="shared" si="8"/>
        <v>蓝</v>
      </c>
      <c r="N132" s="15" t="str">
        <f t="shared" si="10"/>
        <v>金币</v>
      </c>
      <c r="O132" s="15">
        <f>IF(L132&gt;1,INDEX(挂机升级突破!$AI$35:$AI$55,卡牌消耗!L132),"")</f>
        <v>97000</v>
      </c>
      <c r="P132" s="15" t="str">
        <f>IF(L132&gt;1,INDEX(价值概述!$A$4:$A$8,INDEX(挂机升级突破!$W$35:$W$55,卡牌消耗!L132)),"")</f>
        <v>紫色基础材料</v>
      </c>
      <c r="Q132" s="15">
        <f>IF(L132&gt;1,INDEX(挂机升级突破!$Z$35:$AD$55,卡牌消耗!L132,INDEX(挂机升级突破!$W$35:$W$55,卡牌消耗!L132)),"")</f>
        <v>285</v>
      </c>
      <c r="R132" s="15" t="str">
        <f>IF(INDEX(挂机升级突破!$X$35:$X$55,卡牌消耗!L132)&gt;0,INDEX($G$2:$I$2,INDEX(挂机升级突破!$X$35:$X$55,卡牌消耗!L132))&amp;M132,"")</f>
        <v>中级蓝</v>
      </c>
      <c r="S132" s="15">
        <f>IF(R132="","",INDEX(挂机升级突破!$AE$35:$AG$55,卡牌消耗!L132,INDEX(挂机升级突破!$X$35:$X$55,卡牌消耗!L132)))</f>
        <v>185</v>
      </c>
      <c r="T132" s="15" t="str">
        <f>IF(INDEX(挂机升级突破!$Y$35:$Y$55,卡牌消耗!L132)&gt;0,"灵玉","")</f>
        <v/>
      </c>
      <c r="U132" s="15" t="str">
        <f>IF(INDEX(挂机升级突破!$Y$35:$Y$55,卡牌消耗!L132)&gt;0,INDEX(挂机升级突破!$AH$35:$AH$55,卡牌消耗!L132),"")</f>
        <v/>
      </c>
    </row>
    <row r="133" spans="9:21" ht="16.5" x14ac:dyDescent="0.2">
      <c r="I133" s="35">
        <v>97</v>
      </c>
      <c r="J133" s="15">
        <f t="shared" si="6"/>
        <v>1102005</v>
      </c>
      <c r="K133" s="15">
        <f t="shared" si="7"/>
        <v>3</v>
      </c>
      <c r="L133" s="15">
        <f t="shared" si="9"/>
        <v>13</v>
      </c>
      <c r="M133" s="15" t="str">
        <f t="shared" si="8"/>
        <v>蓝</v>
      </c>
      <c r="N133" s="15" t="str">
        <f t="shared" si="10"/>
        <v>金币</v>
      </c>
      <c r="O133" s="15">
        <f>IF(L133&gt;1,INDEX(挂机升级突破!$AI$35:$AI$55,卡牌消耗!L133),"")</f>
        <v>122000</v>
      </c>
      <c r="P133" s="15" t="str">
        <f>IF(L133&gt;1,INDEX(价值概述!$A$4:$A$8,INDEX(挂机升级突破!$W$35:$W$55,卡牌消耗!L133)),"")</f>
        <v>橙色基础材料</v>
      </c>
      <c r="Q133" s="15">
        <f>IF(L133&gt;1,INDEX(挂机升级突破!$Z$35:$AD$55,卡牌消耗!L133,INDEX(挂机升级突破!$W$35:$W$55,卡牌消耗!L133)),"")</f>
        <v>115</v>
      </c>
      <c r="R133" s="15" t="str">
        <f>IF(INDEX(挂机升级突破!$X$35:$X$55,卡牌消耗!L133)&gt;0,INDEX($G$2:$I$2,INDEX(挂机升级突破!$X$35:$X$55,卡牌消耗!L133))&amp;M133,"")</f>
        <v>中级蓝</v>
      </c>
      <c r="S133" s="15">
        <f>IF(R133="","",INDEX(挂机升级突破!$AE$35:$AG$55,卡牌消耗!L133,INDEX(挂机升级突破!$X$35:$X$55,卡牌消耗!L133)))</f>
        <v>225</v>
      </c>
      <c r="T133" s="15" t="str">
        <f>IF(INDEX(挂机升级突破!$Y$35:$Y$55,卡牌消耗!L133)&gt;0,"灵玉","")</f>
        <v/>
      </c>
      <c r="U133" s="15" t="str">
        <f>IF(INDEX(挂机升级突破!$Y$35:$Y$55,卡牌消耗!L133)&gt;0,INDEX(挂机升级突破!$AH$35:$AH$55,卡牌消耗!L133),"")</f>
        <v/>
      </c>
    </row>
    <row r="134" spans="9:21" ht="16.5" x14ac:dyDescent="0.2">
      <c r="I134" s="35">
        <v>98</v>
      </c>
      <c r="J134" s="15">
        <f t="shared" si="6"/>
        <v>1102005</v>
      </c>
      <c r="K134" s="15">
        <f t="shared" si="7"/>
        <v>3</v>
      </c>
      <c r="L134" s="15">
        <f t="shared" si="9"/>
        <v>14</v>
      </c>
      <c r="M134" s="15" t="str">
        <f t="shared" si="8"/>
        <v>蓝</v>
      </c>
      <c r="N134" s="15" t="str">
        <f t="shared" si="10"/>
        <v>金币</v>
      </c>
      <c r="O134" s="15">
        <f>IF(L134&gt;1,INDEX(挂机升级突破!$AI$35:$AI$55,卡牌消耗!L134),"")</f>
        <v>162500</v>
      </c>
      <c r="P134" s="15" t="str">
        <f>IF(L134&gt;1,INDEX(价值概述!$A$4:$A$8,INDEX(挂机升级突破!$W$35:$W$55,卡牌消耗!L134)),"")</f>
        <v>橙色基础材料</v>
      </c>
      <c r="Q134" s="15">
        <f>IF(L134&gt;1,INDEX(挂机升级突破!$Z$35:$AD$55,卡牌消耗!L134,INDEX(挂机升级突破!$W$35:$W$55,卡牌消耗!L134)),"")</f>
        <v>235</v>
      </c>
      <c r="R134" s="15" t="str">
        <f>IF(INDEX(挂机升级突破!$X$35:$X$55,卡牌消耗!L134)&gt;0,INDEX($G$2:$I$2,INDEX(挂机升级突破!$X$35:$X$55,卡牌消耗!L134))&amp;M134,"")</f>
        <v>中级蓝</v>
      </c>
      <c r="S134" s="15">
        <f>IF(R134="","",INDEX(挂机升级突破!$AE$35:$AG$55,卡牌消耗!L134,INDEX(挂机升级突破!$X$35:$X$55,卡牌消耗!L134)))</f>
        <v>265</v>
      </c>
      <c r="T134" s="15" t="str">
        <f>IF(INDEX(挂机升级突破!$Y$35:$Y$55,卡牌消耗!L134)&gt;0,"灵玉","")</f>
        <v/>
      </c>
      <c r="U134" s="15" t="str">
        <f>IF(INDEX(挂机升级突破!$Y$35:$Y$55,卡牌消耗!L134)&gt;0,INDEX(挂机升级突破!$AH$35:$AH$55,卡牌消耗!L134),"")</f>
        <v/>
      </c>
    </row>
    <row r="135" spans="9:21" ht="16.5" x14ac:dyDescent="0.2">
      <c r="I135" s="35">
        <v>99</v>
      </c>
      <c r="J135" s="15">
        <f t="shared" si="6"/>
        <v>1102005</v>
      </c>
      <c r="K135" s="15">
        <f t="shared" si="7"/>
        <v>3</v>
      </c>
      <c r="L135" s="15">
        <f t="shared" si="9"/>
        <v>15</v>
      </c>
      <c r="M135" s="15" t="str">
        <f t="shared" si="8"/>
        <v>蓝</v>
      </c>
      <c r="N135" s="15" t="str">
        <f t="shared" si="10"/>
        <v>金币</v>
      </c>
      <c r="O135" s="15">
        <f>IF(L135&gt;1,INDEX(挂机升级突破!$AI$35:$AI$55,卡牌消耗!L135),"")</f>
        <v>190000</v>
      </c>
      <c r="P135" s="15" t="str">
        <f>IF(L135&gt;1,INDEX(价值概述!$A$4:$A$8,INDEX(挂机升级突破!$W$35:$W$55,卡牌消耗!L135)),"")</f>
        <v>橙色基础材料</v>
      </c>
      <c r="Q135" s="15">
        <f>IF(L135&gt;1,INDEX(挂机升级突破!$Z$35:$AD$55,卡牌消耗!L135,INDEX(挂机升级突破!$W$35:$W$55,卡牌消耗!L135)),"")</f>
        <v>355</v>
      </c>
      <c r="R135" s="15" t="str">
        <f>IF(INDEX(挂机升级突破!$X$35:$X$55,卡牌消耗!L135)&gt;0,INDEX($G$2:$I$2,INDEX(挂机升级突破!$X$35:$X$55,卡牌消耗!L135))&amp;M135,"")</f>
        <v>高级蓝</v>
      </c>
      <c r="S135" s="15">
        <f>IF(R135="","",INDEX(挂机升级突破!$AE$35:$AG$55,卡牌消耗!L135,INDEX(挂机升级突破!$X$35:$X$55,卡牌消耗!L135)))</f>
        <v>45</v>
      </c>
      <c r="T135" s="15" t="str">
        <f>IF(INDEX(挂机升级突破!$Y$35:$Y$55,卡牌消耗!L135)&gt;0,"灵玉","")</f>
        <v/>
      </c>
      <c r="U135" s="15" t="str">
        <f>IF(INDEX(挂机升级突破!$Y$35:$Y$55,卡牌消耗!L135)&gt;0,INDEX(挂机升级突破!$AH$35:$AH$55,卡牌消耗!L135),"")</f>
        <v/>
      </c>
    </row>
    <row r="136" spans="9:21" ht="16.5" x14ac:dyDescent="0.2">
      <c r="I136" s="35">
        <v>100</v>
      </c>
      <c r="J136" s="15">
        <f t="shared" si="6"/>
        <v>1102005</v>
      </c>
      <c r="K136" s="15">
        <f t="shared" si="7"/>
        <v>3</v>
      </c>
      <c r="L136" s="15">
        <f t="shared" si="9"/>
        <v>16</v>
      </c>
      <c r="M136" s="15" t="str">
        <f t="shared" si="8"/>
        <v>蓝</v>
      </c>
      <c r="N136" s="15" t="str">
        <f t="shared" si="10"/>
        <v>金币</v>
      </c>
      <c r="O136" s="15">
        <f>IF(L136&gt;1,INDEX(挂机升级突破!$AI$35:$AI$55,卡牌消耗!L136),"")</f>
        <v>219000</v>
      </c>
      <c r="P136" s="15" t="str">
        <f>IF(L136&gt;1,INDEX(价值概述!$A$4:$A$8,INDEX(挂机升级突破!$W$35:$W$55,卡牌消耗!L136)),"")</f>
        <v>橙色基础材料</v>
      </c>
      <c r="Q136" s="15">
        <f>IF(L136&gt;1,INDEX(挂机升级突破!$Z$35:$AD$55,卡牌消耗!L136,INDEX(挂机升级突破!$W$35:$W$55,卡牌消耗!L136)),"")</f>
        <v>475</v>
      </c>
      <c r="R136" s="15" t="str">
        <f>IF(INDEX(挂机升级突破!$X$35:$X$55,卡牌消耗!L136)&gt;0,INDEX($G$2:$I$2,INDEX(挂机升级突破!$X$35:$X$55,卡牌消耗!L136))&amp;M136,"")</f>
        <v>高级蓝</v>
      </c>
      <c r="S136" s="15">
        <f>IF(R136="","",INDEX(挂机升级突破!$AE$35:$AG$55,卡牌消耗!L136,INDEX(挂机升级突破!$X$35:$X$55,卡牌消耗!L136)))</f>
        <v>70</v>
      </c>
      <c r="T136" s="15" t="str">
        <f>IF(INDEX(挂机升级突破!$Y$35:$Y$55,卡牌消耗!L136)&gt;0,"灵玉","")</f>
        <v/>
      </c>
      <c r="U136" s="15" t="str">
        <f>IF(INDEX(挂机升级突破!$Y$35:$Y$55,卡牌消耗!L136)&gt;0,INDEX(挂机升级突破!$AH$35:$AH$55,卡牌消耗!L136),"")</f>
        <v/>
      </c>
    </row>
    <row r="137" spans="9:21" ht="16.5" x14ac:dyDescent="0.2">
      <c r="I137" s="35">
        <v>101</v>
      </c>
      <c r="J137" s="15">
        <f t="shared" si="6"/>
        <v>1102005</v>
      </c>
      <c r="K137" s="15">
        <f t="shared" si="7"/>
        <v>3</v>
      </c>
      <c r="L137" s="15">
        <f t="shared" si="9"/>
        <v>17</v>
      </c>
      <c r="M137" s="15" t="str">
        <f t="shared" si="8"/>
        <v>蓝</v>
      </c>
      <c r="N137" s="15" t="str">
        <f t="shared" si="10"/>
        <v>金币</v>
      </c>
      <c r="O137" s="15">
        <f>IF(L137&gt;1,INDEX(挂机升级突破!$AI$35:$AI$55,卡牌消耗!L137),"")</f>
        <v>228000</v>
      </c>
      <c r="P137" s="15" t="str">
        <f>IF(L137&gt;1,INDEX(价值概述!$A$4:$A$8,INDEX(挂机升级突破!$W$35:$W$55,卡牌消耗!L137)),"")</f>
        <v>红色基础材料</v>
      </c>
      <c r="Q137" s="15">
        <f>IF(L137&gt;1,INDEX(挂机升级突破!$Z$35:$AD$55,卡牌消耗!L137,INDEX(挂机升级突破!$W$35:$W$55,卡牌消耗!L137)),"")</f>
        <v>45</v>
      </c>
      <c r="R137" s="15" t="str">
        <f>IF(INDEX(挂机升级突破!$X$35:$X$55,卡牌消耗!L137)&gt;0,INDEX($G$2:$I$2,INDEX(挂机升级突破!$X$35:$X$55,卡牌消耗!L137))&amp;M137,"")</f>
        <v>高级蓝</v>
      </c>
      <c r="S137" s="15">
        <f>IF(R137="","",INDEX(挂机升级突破!$AE$35:$AG$55,卡牌消耗!L137,INDEX(挂机升级突破!$X$35:$X$55,卡牌消耗!L137)))</f>
        <v>100</v>
      </c>
      <c r="T137" s="15" t="str">
        <f>IF(INDEX(挂机升级突破!$Y$35:$Y$55,卡牌消耗!L137)&gt;0,"灵玉","")</f>
        <v>灵玉</v>
      </c>
      <c r="U137" s="15">
        <f>IF(INDEX(挂机升级突破!$Y$35:$Y$55,卡牌消耗!L137)&gt;0,INDEX(挂机升级突破!$AH$35:$AH$55,卡牌消耗!L137),"")</f>
        <v>25</v>
      </c>
    </row>
    <row r="138" spans="9:21" ht="16.5" x14ac:dyDescent="0.2">
      <c r="I138" s="35">
        <v>102</v>
      </c>
      <c r="J138" s="15">
        <f t="shared" si="6"/>
        <v>1102005</v>
      </c>
      <c r="K138" s="15">
        <f t="shared" si="7"/>
        <v>3</v>
      </c>
      <c r="L138" s="15">
        <f t="shared" si="9"/>
        <v>18</v>
      </c>
      <c r="M138" s="15" t="str">
        <f t="shared" si="8"/>
        <v>蓝</v>
      </c>
      <c r="N138" s="15" t="str">
        <f t="shared" si="10"/>
        <v>金币</v>
      </c>
      <c r="O138" s="15">
        <f>IF(L138&gt;1,INDEX(挂机升级突破!$AI$35:$AI$55,卡牌消耗!L138),"")</f>
        <v>319500</v>
      </c>
      <c r="P138" s="15" t="str">
        <f>IF(L138&gt;1,INDEX(价值概述!$A$4:$A$8,INDEX(挂机升级突破!$W$35:$W$55,卡牌消耗!L138)),"")</f>
        <v>红色基础材料</v>
      </c>
      <c r="Q138" s="15">
        <f>IF(L138&gt;1,INDEX(挂机升级突破!$Z$35:$AD$55,卡牌消耗!L138,INDEX(挂机升级突破!$W$35:$W$55,卡牌消耗!L138)),"")</f>
        <v>65</v>
      </c>
      <c r="R138" s="15" t="str">
        <f>IF(INDEX(挂机升级突破!$X$35:$X$55,卡牌消耗!L138)&gt;0,INDEX($G$2:$I$2,INDEX(挂机升级突破!$X$35:$X$55,卡牌消耗!L138))&amp;M138,"")</f>
        <v>高级蓝</v>
      </c>
      <c r="S138" s="15">
        <f>IF(R138="","",INDEX(挂机升级突破!$AE$35:$AG$55,卡牌消耗!L138,INDEX(挂机升级突破!$X$35:$X$55,卡牌消耗!L138)))</f>
        <v>125</v>
      </c>
      <c r="T138" s="15" t="str">
        <f>IF(INDEX(挂机升级突破!$Y$35:$Y$55,卡牌消耗!L138)&gt;0,"灵玉","")</f>
        <v>灵玉</v>
      </c>
      <c r="U138" s="15">
        <f>IF(INDEX(挂机升级突破!$Y$35:$Y$55,卡牌消耗!L138)&gt;0,INDEX(挂机升级突破!$AH$35:$AH$55,卡牌消耗!L138),"")</f>
        <v>35</v>
      </c>
    </row>
    <row r="139" spans="9:21" ht="16.5" x14ac:dyDescent="0.2">
      <c r="I139" s="35">
        <v>103</v>
      </c>
      <c r="J139" s="15">
        <f t="shared" si="6"/>
        <v>1102005</v>
      </c>
      <c r="K139" s="15">
        <f t="shared" si="7"/>
        <v>3</v>
      </c>
      <c r="L139" s="15">
        <f t="shared" si="9"/>
        <v>19</v>
      </c>
      <c r="M139" s="15" t="str">
        <f t="shared" si="8"/>
        <v>蓝</v>
      </c>
      <c r="N139" s="15" t="str">
        <f t="shared" si="10"/>
        <v>金币</v>
      </c>
      <c r="O139" s="15">
        <f>IF(L139&gt;1,INDEX(挂机升级突破!$AI$35:$AI$55,卡牌消耗!L139),"")</f>
        <v>426000</v>
      </c>
      <c r="P139" s="15" t="str">
        <f>IF(L139&gt;1,INDEX(价值概述!$A$4:$A$8,INDEX(挂机升级突破!$W$35:$W$55,卡牌消耗!L139)),"")</f>
        <v>红色基础材料</v>
      </c>
      <c r="Q139" s="15">
        <f>IF(L139&gt;1,INDEX(挂机升级突破!$Z$35:$AD$55,卡牌消耗!L139,INDEX(挂机升级突破!$W$35:$W$55,卡牌消耗!L139)),"")</f>
        <v>90</v>
      </c>
      <c r="R139" s="15" t="str">
        <f>IF(INDEX(挂机升级突破!$X$35:$X$55,卡牌消耗!L139)&gt;0,INDEX($G$2:$I$2,INDEX(挂机升级突破!$X$35:$X$55,卡牌消耗!L139))&amp;M139,"")</f>
        <v>高级蓝</v>
      </c>
      <c r="S139" s="15">
        <f>IF(R139="","",INDEX(挂机升级突破!$AE$35:$AG$55,卡牌消耗!L139,INDEX(挂机升级突破!$X$35:$X$55,卡牌消耗!L139)))</f>
        <v>155</v>
      </c>
      <c r="T139" s="15" t="str">
        <f>IF(INDEX(挂机升级突破!$Y$35:$Y$55,卡牌消耗!L139)&gt;0,"灵玉","")</f>
        <v>灵玉</v>
      </c>
      <c r="U139" s="15">
        <f>IF(INDEX(挂机升级突破!$Y$35:$Y$55,卡牌消耗!L139)&gt;0,INDEX(挂机升级突破!$AH$35:$AH$55,卡牌消耗!L139),"")</f>
        <v>50</v>
      </c>
    </row>
    <row r="140" spans="9:21" ht="16.5" x14ac:dyDescent="0.2">
      <c r="I140" s="35">
        <v>104</v>
      </c>
      <c r="J140" s="15">
        <f t="shared" si="6"/>
        <v>1102005</v>
      </c>
      <c r="K140" s="15">
        <f t="shared" si="7"/>
        <v>3</v>
      </c>
      <c r="L140" s="15">
        <f t="shared" si="9"/>
        <v>20</v>
      </c>
      <c r="M140" s="15" t="str">
        <f t="shared" si="8"/>
        <v>蓝</v>
      </c>
      <c r="N140" s="15" t="str">
        <f t="shared" si="10"/>
        <v>金币</v>
      </c>
      <c r="O140" s="15">
        <f>IF(L140&gt;1,INDEX(挂机升级突破!$AI$35:$AI$55,卡牌消耗!L140),"")</f>
        <v>532500</v>
      </c>
      <c r="P140" s="15" t="str">
        <f>IF(L140&gt;1,INDEX(价值概述!$A$4:$A$8,INDEX(挂机升级突破!$W$35:$W$55,卡牌消耗!L140)),"")</f>
        <v>红色基础材料</v>
      </c>
      <c r="Q140" s="15">
        <f>IF(L140&gt;1,INDEX(挂机升级突破!$Z$35:$AD$55,卡牌消耗!L140,INDEX(挂机升级突破!$W$35:$W$55,卡牌消耗!L140)),"")</f>
        <v>110</v>
      </c>
      <c r="R140" s="15" t="str">
        <f>IF(INDEX(挂机升级突破!$X$35:$X$55,卡牌消耗!L140)&gt;0,INDEX($G$2:$I$2,INDEX(挂机升级突破!$X$35:$X$55,卡牌消耗!L140))&amp;M140,"")</f>
        <v>高级蓝</v>
      </c>
      <c r="S140" s="15">
        <f>IF(R140="","",INDEX(挂机升级突破!$AE$35:$AG$55,卡牌消耗!L140,INDEX(挂机升级突破!$X$35:$X$55,卡牌消耗!L140)))</f>
        <v>180</v>
      </c>
      <c r="T140" s="15" t="str">
        <f>IF(INDEX(挂机升级突破!$Y$35:$Y$55,卡牌消耗!L140)&gt;0,"灵玉","")</f>
        <v>灵玉</v>
      </c>
      <c r="U140" s="15">
        <f>IF(INDEX(挂机升级突破!$Y$35:$Y$55,卡牌消耗!L140)&gt;0,INDEX(挂机升级突破!$AH$35:$AH$55,卡牌消耗!L140),"")</f>
        <v>65</v>
      </c>
    </row>
    <row r="141" spans="9:21" ht="16.5" x14ac:dyDescent="0.2">
      <c r="I141" s="35">
        <v>105</v>
      </c>
      <c r="J141" s="15">
        <f t="shared" si="6"/>
        <v>1102005</v>
      </c>
      <c r="K141" s="15">
        <f t="shared" si="7"/>
        <v>3</v>
      </c>
      <c r="L141" s="15">
        <f t="shared" si="9"/>
        <v>21</v>
      </c>
      <c r="M141" s="15" t="str">
        <f t="shared" si="8"/>
        <v>蓝</v>
      </c>
      <c r="N141" s="15" t="str">
        <f t="shared" si="10"/>
        <v>金币</v>
      </c>
      <c r="O141" s="15">
        <f>IF(L141&gt;1,INDEX(挂机升级突破!$AI$35:$AI$55,卡牌消耗!L141),"")</f>
        <v>639000</v>
      </c>
      <c r="P141" s="15" t="str">
        <f>IF(L141&gt;1,INDEX(价值概述!$A$4:$A$8,INDEX(挂机升级突破!$W$35:$W$55,卡牌消耗!L141)),"")</f>
        <v>红色基础材料</v>
      </c>
      <c r="Q141" s="15">
        <f>IF(L141&gt;1,INDEX(挂机升级突破!$Z$35:$AD$55,卡牌消耗!L141,INDEX(挂机升级突破!$W$35:$W$55,卡牌消耗!L141)),"")</f>
        <v>135</v>
      </c>
      <c r="R141" s="15" t="str">
        <f>IF(INDEX(挂机升级突破!$X$35:$X$55,卡牌消耗!L141)&gt;0,INDEX($G$2:$I$2,INDEX(挂机升级突破!$X$35:$X$55,卡牌消耗!L141))&amp;M141,"")</f>
        <v>高级蓝</v>
      </c>
      <c r="S141" s="15">
        <f>IF(R141="","",INDEX(挂机升级突破!$AE$35:$AG$55,卡牌消耗!L141,INDEX(挂机升级突破!$X$35:$X$55,卡牌消耗!L141)))</f>
        <v>225</v>
      </c>
      <c r="T141" s="15" t="str">
        <f>IF(INDEX(挂机升级突破!$Y$35:$Y$55,卡牌消耗!L141)&gt;0,"灵玉","")</f>
        <v>灵玉</v>
      </c>
      <c r="U141" s="15">
        <f>IF(INDEX(挂机升级突破!$Y$35:$Y$55,卡牌消耗!L141)&gt;0,INDEX(挂机升级突破!$AH$35:$AH$55,卡牌消耗!L141),"")</f>
        <v>75</v>
      </c>
    </row>
    <row r="142" spans="9:21" ht="16.5" x14ac:dyDescent="0.2">
      <c r="I142" s="35">
        <v>106</v>
      </c>
      <c r="J142" s="15">
        <f t="shared" si="6"/>
        <v>1102006</v>
      </c>
      <c r="K142" s="15">
        <f t="shared" si="7"/>
        <v>4</v>
      </c>
      <c r="L142" s="15">
        <f t="shared" si="9"/>
        <v>1</v>
      </c>
      <c r="M142" s="15" t="str">
        <f t="shared" si="8"/>
        <v>黄</v>
      </c>
      <c r="N142" s="15" t="str">
        <f t="shared" si="10"/>
        <v/>
      </c>
      <c r="O142" s="15" t="str">
        <f>IF(L142&gt;1,INDEX(挂机升级突破!$AI$35:$AI$55,卡牌消耗!L142),"")</f>
        <v/>
      </c>
      <c r="P142" s="15" t="str">
        <f>IF(L142&gt;1,INDEX(价值概述!$A$4:$A$8,INDEX(挂机升级突破!$W$35:$W$55,卡牌消耗!L142)),"")</f>
        <v/>
      </c>
      <c r="Q142" s="15" t="str">
        <f>IF(L142&gt;1,INDEX(挂机升级突破!$Z$35:$AD$55,卡牌消耗!L142,INDEX(挂机升级突破!$W$35:$W$55,卡牌消耗!L142)),"")</f>
        <v/>
      </c>
      <c r="R142" s="15" t="str">
        <f>IF(INDEX(挂机升级突破!$X$35:$X$55,卡牌消耗!L142)&gt;0,INDEX($G$2:$I$2,INDEX(挂机升级突破!$X$35:$X$55,卡牌消耗!L142))&amp;M142,"")</f>
        <v/>
      </c>
      <c r="S142" s="15" t="str">
        <f>IF(R142="","",INDEX(挂机升级突破!$AE$35:$AG$55,卡牌消耗!L142,INDEX(挂机升级突破!$X$35:$X$55,卡牌消耗!L142)))</f>
        <v/>
      </c>
      <c r="T142" s="15" t="str">
        <f>IF(INDEX(挂机升级突破!$Y$35:$Y$55,卡牌消耗!L142)&gt;0,"灵玉","")</f>
        <v/>
      </c>
      <c r="U142" s="15" t="str">
        <f>IF(INDEX(挂机升级突破!$Y$35:$Y$55,卡牌消耗!L142)&gt;0,INDEX(挂机升级突破!$AH$35:$AH$55,卡牌消耗!L142),"")</f>
        <v/>
      </c>
    </row>
    <row r="143" spans="9:21" ht="16.5" x14ac:dyDescent="0.2">
      <c r="I143" s="35">
        <v>107</v>
      </c>
      <c r="J143" s="15">
        <f t="shared" si="6"/>
        <v>1102006</v>
      </c>
      <c r="K143" s="15">
        <f t="shared" si="7"/>
        <v>4</v>
      </c>
      <c r="L143" s="15">
        <f t="shared" si="9"/>
        <v>2</v>
      </c>
      <c r="M143" s="15" t="str">
        <f t="shared" si="8"/>
        <v>黄</v>
      </c>
      <c r="N143" s="15" t="str">
        <f t="shared" si="10"/>
        <v>金币</v>
      </c>
      <c r="O143" s="15">
        <f>IF(L143&gt;1,INDEX(挂机升级突破!$AI$35:$AI$55,卡牌消耗!L143),"")</f>
        <v>2500</v>
      </c>
      <c r="P143" s="15" t="str">
        <f>IF(L143&gt;1,INDEX(价值概述!$A$4:$A$8,INDEX(挂机升级突破!$W$35:$W$55,卡牌消耗!L143)),"")</f>
        <v>绿色基础材料</v>
      </c>
      <c r="Q143" s="15">
        <f>IF(L143&gt;1,INDEX(挂机升级突破!$Z$35:$AD$55,卡牌消耗!L143,INDEX(挂机升级突破!$W$35:$W$55,卡牌消耗!L143)),"")</f>
        <v>10</v>
      </c>
      <c r="R143" s="15" t="str">
        <f>IF(INDEX(挂机升级突破!$X$35:$X$55,卡牌消耗!L143)&gt;0,INDEX($G$2:$I$2,INDEX(挂机升级突破!$X$35:$X$55,卡牌消耗!L143))&amp;M143,"")</f>
        <v/>
      </c>
      <c r="S143" s="15" t="str">
        <f>IF(R143="","",INDEX(挂机升级突破!$AE$35:$AG$55,卡牌消耗!L143,INDEX(挂机升级突破!$X$35:$X$55,卡牌消耗!L143)))</f>
        <v/>
      </c>
      <c r="T143" s="15" t="str">
        <f>IF(INDEX(挂机升级突破!$Y$35:$Y$55,卡牌消耗!L143)&gt;0,"灵玉","")</f>
        <v/>
      </c>
      <c r="U143" s="15" t="str">
        <f>IF(INDEX(挂机升级突破!$Y$35:$Y$55,卡牌消耗!L143)&gt;0,INDEX(挂机升级突破!$AH$35:$AH$55,卡牌消耗!L143),"")</f>
        <v/>
      </c>
    </row>
    <row r="144" spans="9:21" ht="16.5" x14ac:dyDescent="0.2">
      <c r="I144" s="35">
        <v>108</v>
      </c>
      <c r="J144" s="15">
        <f t="shared" si="6"/>
        <v>1102006</v>
      </c>
      <c r="K144" s="15">
        <f t="shared" si="7"/>
        <v>4</v>
      </c>
      <c r="L144" s="15">
        <f t="shared" si="9"/>
        <v>3</v>
      </c>
      <c r="M144" s="15" t="str">
        <f t="shared" si="8"/>
        <v>黄</v>
      </c>
      <c r="N144" s="15" t="str">
        <f t="shared" si="10"/>
        <v>金币</v>
      </c>
      <c r="O144" s="15">
        <f>IF(L144&gt;1,INDEX(挂机升级突破!$AI$35:$AI$55,卡牌消耗!L144),"")</f>
        <v>8000</v>
      </c>
      <c r="P144" s="15" t="str">
        <f>IF(L144&gt;1,INDEX(价值概述!$A$4:$A$8,INDEX(挂机升级突破!$W$35:$W$55,卡牌消耗!L144)),"")</f>
        <v>绿色基础材料</v>
      </c>
      <c r="Q144" s="15">
        <f>IF(L144&gt;1,INDEX(挂机升级突破!$Z$35:$AD$55,卡牌消耗!L144,INDEX(挂机升级突破!$W$35:$W$55,卡牌消耗!L144)),"")</f>
        <v>40</v>
      </c>
      <c r="R144" s="15" t="str">
        <f>IF(INDEX(挂机升级突破!$X$35:$X$55,卡牌消耗!L144)&gt;0,INDEX($G$2:$I$2,INDEX(挂机升级突破!$X$35:$X$55,卡牌消耗!L144))&amp;M144,"")</f>
        <v/>
      </c>
      <c r="S144" s="15" t="str">
        <f>IF(R144="","",INDEX(挂机升级突破!$AE$35:$AG$55,卡牌消耗!L144,INDEX(挂机升级突破!$X$35:$X$55,卡牌消耗!L144)))</f>
        <v/>
      </c>
      <c r="T144" s="15" t="str">
        <f>IF(INDEX(挂机升级突破!$Y$35:$Y$55,卡牌消耗!L144)&gt;0,"灵玉","")</f>
        <v/>
      </c>
      <c r="U144" s="15" t="str">
        <f>IF(INDEX(挂机升级突破!$Y$35:$Y$55,卡牌消耗!L144)&gt;0,INDEX(挂机升级突破!$AH$35:$AH$55,卡牌消耗!L144),"")</f>
        <v/>
      </c>
    </row>
    <row r="145" spans="9:21" ht="16.5" x14ac:dyDescent="0.2">
      <c r="I145" s="35">
        <v>109</v>
      </c>
      <c r="J145" s="15">
        <f t="shared" si="6"/>
        <v>1102006</v>
      </c>
      <c r="K145" s="15">
        <f t="shared" si="7"/>
        <v>4</v>
      </c>
      <c r="L145" s="15">
        <f t="shared" si="9"/>
        <v>4</v>
      </c>
      <c r="M145" s="15" t="str">
        <f t="shared" si="8"/>
        <v>黄</v>
      </c>
      <c r="N145" s="15" t="str">
        <f t="shared" si="10"/>
        <v>金币</v>
      </c>
      <c r="O145" s="15">
        <f>IF(L145&gt;1,INDEX(挂机升级突破!$AI$35:$AI$55,卡牌消耗!L145),"")</f>
        <v>16500</v>
      </c>
      <c r="P145" s="15" t="str">
        <f>IF(L145&gt;1,INDEX(价值概述!$A$4:$A$8,INDEX(挂机升级突破!$W$35:$W$55,卡牌消耗!L145)),"")</f>
        <v>绿色基础材料</v>
      </c>
      <c r="Q145" s="15">
        <f>IF(L145&gt;1,INDEX(挂机升级突破!$Z$35:$AD$55,卡牌消耗!L145,INDEX(挂机升级突破!$W$35:$W$55,卡牌消耗!L145)),"")</f>
        <v>80</v>
      </c>
      <c r="R145" s="15" t="str">
        <f>IF(INDEX(挂机升级突破!$X$35:$X$55,卡牌消耗!L145)&gt;0,INDEX($G$2:$I$2,INDEX(挂机升级突破!$X$35:$X$55,卡牌消耗!L145))&amp;M145,"")</f>
        <v>初级黄</v>
      </c>
      <c r="S145" s="15">
        <f>IF(R145="","",INDEX(挂机升级突破!$AE$35:$AG$55,卡牌消耗!L145,INDEX(挂机升级突破!$X$35:$X$55,卡牌消耗!L145)))</f>
        <v>40</v>
      </c>
      <c r="T145" s="15" t="str">
        <f>IF(INDEX(挂机升级突破!$Y$35:$Y$55,卡牌消耗!L145)&gt;0,"灵玉","")</f>
        <v/>
      </c>
      <c r="U145" s="15" t="str">
        <f>IF(INDEX(挂机升级突破!$Y$35:$Y$55,卡牌消耗!L145)&gt;0,INDEX(挂机升级突破!$AH$35:$AH$55,卡牌消耗!L145),"")</f>
        <v/>
      </c>
    </row>
    <row r="146" spans="9:21" ht="16.5" x14ac:dyDescent="0.2">
      <c r="I146" s="35">
        <v>110</v>
      </c>
      <c r="J146" s="15">
        <f t="shared" si="6"/>
        <v>1102006</v>
      </c>
      <c r="K146" s="15">
        <f t="shared" si="7"/>
        <v>4</v>
      </c>
      <c r="L146" s="15">
        <f t="shared" si="9"/>
        <v>5</v>
      </c>
      <c r="M146" s="15" t="str">
        <f t="shared" si="8"/>
        <v>黄</v>
      </c>
      <c r="N146" s="15" t="str">
        <f t="shared" si="10"/>
        <v>金币</v>
      </c>
      <c r="O146" s="15">
        <f>IF(L146&gt;1,INDEX(挂机升级突破!$AI$35:$AI$55,卡牌消耗!L146),"")</f>
        <v>22500</v>
      </c>
      <c r="P146" s="15" t="str">
        <f>IF(L146&gt;1,INDEX(价值概述!$A$4:$A$8,INDEX(挂机升级突破!$W$35:$W$55,卡牌消耗!L146)),"")</f>
        <v>蓝色基础材料</v>
      </c>
      <c r="Q146" s="15">
        <f>IF(L146&gt;1,INDEX(挂机升级突破!$Z$35:$AD$55,卡牌消耗!L146,INDEX(挂机升级突破!$W$35:$W$55,卡牌消耗!L146)),"")</f>
        <v>35</v>
      </c>
      <c r="R146" s="15" t="str">
        <f>IF(INDEX(挂机升级突破!$X$35:$X$55,卡牌消耗!L146)&gt;0,INDEX($G$2:$I$2,INDEX(挂机升级突破!$X$35:$X$55,卡牌消耗!L146))&amp;M146,"")</f>
        <v>初级黄</v>
      </c>
      <c r="S146" s="15">
        <f>IF(R146="","",INDEX(挂机升级突破!$AE$35:$AG$55,卡牌消耗!L146,INDEX(挂机升级突破!$X$35:$X$55,卡牌消耗!L146)))</f>
        <v>65</v>
      </c>
      <c r="T146" s="15" t="str">
        <f>IF(INDEX(挂机升级突破!$Y$35:$Y$55,卡牌消耗!L146)&gt;0,"灵玉","")</f>
        <v/>
      </c>
      <c r="U146" s="15" t="str">
        <f>IF(INDEX(挂机升级突破!$Y$35:$Y$55,卡牌消耗!L146)&gt;0,INDEX(挂机升级突破!$AH$35:$AH$55,卡牌消耗!L146),"")</f>
        <v/>
      </c>
    </row>
    <row r="147" spans="9:21" ht="16.5" x14ac:dyDescent="0.2">
      <c r="I147" s="35">
        <v>111</v>
      </c>
      <c r="J147" s="15">
        <f t="shared" si="6"/>
        <v>1102006</v>
      </c>
      <c r="K147" s="15">
        <f t="shared" si="7"/>
        <v>4</v>
      </c>
      <c r="L147" s="15">
        <f t="shared" si="9"/>
        <v>6</v>
      </c>
      <c r="M147" s="15" t="str">
        <f t="shared" si="8"/>
        <v>黄</v>
      </c>
      <c r="N147" s="15" t="str">
        <f t="shared" si="10"/>
        <v>金币</v>
      </c>
      <c r="O147" s="15">
        <f>IF(L147&gt;1,INDEX(挂机升级突破!$AI$35:$AI$55,卡牌消耗!L147),"")</f>
        <v>53000</v>
      </c>
      <c r="P147" s="15" t="str">
        <f>IF(L147&gt;1,INDEX(价值概述!$A$4:$A$8,INDEX(挂机升级突破!$W$35:$W$55,卡牌消耗!L147)),"")</f>
        <v>蓝色基础材料</v>
      </c>
      <c r="Q147" s="15">
        <f>IF(L147&gt;1,INDEX(挂机升级突破!$Z$35:$AD$55,卡牌消耗!L147,INDEX(挂机升级突破!$W$35:$W$55,卡牌消耗!L147)),"")</f>
        <v>70</v>
      </c>
      <c r="R147" s="15" t="str">
        <f>IF(INDEX(挂机升级突破!$X$35:$X$55,卡牌消耗!L147)&gt;0,INDEX($G$2:$I$2,INDEX(挂机升级突破!$X$35:$X$55,卡牌消耗!L147))&amp;M147,"")</f>
        <v>初级黄</v>
      </c>
      <c r="S147" s="15">
        <f>IF(R147="","",INDEX(挂机升级突破!$AE$35:$AG$55,卡牌消耗!L147,INDEX(挂机升级突破!$X$35:$X$55,卡牌消耗!L147)))</f>
        <v>85</v>
      </c>
      <c r="T147" s="15" t="str">
        <f>IF(INDEX(挂机升级突破!$Y$35:$Y$55,卡牌消耗!L147)&gt;0,"灵玉","")</f>
        <v/>
      </c>
      <c r="U147" s="15" t="str">
        <f>IF(INDEX(挂机升级突破!$Y$35:$Y$55,卡牌消耗!L147)&gt;0,INDEX(挂机升级突破!$AH$35:$AH$55,卡牌消耗!L147),"")</f>
        <v/>
      </c>
    </row>
    <row r="148" spans="9:21" ht="16.5" x14ac:dyDescent="0.2">
      <c r="I148" s="35">
        <v>112</v>
      </c>
      <c r="J148" s="15">
        <f t="shared" si="6"/>
        <v>1102006</v>
      </c>
      <c r="K148" s="15">
        <f t="shared" si="7"/>
        <v>4</v>
      </c>
      <c r="L148" s="15">
        <f t="shared" si="9"/>
        <v>7</v>
      </c>
      <c r="M148" s="15" t="str">
        <f t="shared" si="8"/>
        <v>黄</v>
      </c>
      <c r="N148" s="15" t="str">
        <f t="shared" si="10"/>
        <v>金币</v>
      </c>
      <c r="O148" s="15">
        <f>IF(L148&gt;1,INDEX(挂机升级突破!$AI$35:$AI$55,卡牌消耗!L148),"")</f>
        <v>59500</v>
      </c>
      <c r="P148" s="15" t="str">
        <f>IF(L148&gt;1,INDEX(价值概述!$A$4:$A$8,INDEX(挂机升级突破!$W$35:$W$55,卡牌消耗!L148)),"")</f>
        <v>蓝色基础材料</v>
      </c>
      <c r="Q148" s="15">
        <f>IF(L148&gt;1,INDEX(挂机升级突破!$Z$35:$AD$55,卡牌消耗!L148,INDEX(挂机升级突破!$W$35:$W$55,卡牌消耗!L148)),"")</f>
        <v>110</v>
      </c>
      <c r="R148" s="15" t="str">
        <f>IF(INDEX(挂机升级突破!$X$35:$X$55,卡牌消耗!L148)&gt;0,INDEX($G$2:$I$2,INDEX(挂机升级突破!$X$35:$X$55,卡牌消耗!L148))&amp;M148,"")</f>
        <v>初级黄</v>
      </c>
      <c r="S148" s="15">
        <f>IF(R148="","",INDEX(挂机升级突破!$AE$35:$AG$55,卡牌消耗!L148,INDEX(挂机升级突破!$X$35:$X$55,卡牌消耗!L148)))</f>
        <v>110</v>
      </c>
      <c r="T148" s="15" t="str">
        <f>IF(INDEX(挂机升级突破!$Y$35:$Y$55,卡牌消耗!L148)&gt;0,"灵玉","")</f>
        <v/>
      </c>
      <c r="U148" s="15" t="str">
        <f>IF(INDEX(挂机升级突破!$Y$35:$Y$55,卡牌消耗!L148)&gt;0,INDEX(挂机升级突破!$AH$35:$AH$55,卡牌消耗!L148),"")</f>
        <v/>
      </c>
    </row>
    <row r="149" spans="9:21" ht="16.5" x14ac:dyDescent="0.2">
      <c r="I149" s="35">
        <v>113</v>
      </c>
      <c r="J149" s="15">
        <f t="shared" si="6"/>
        <v>1102006</v>
      </c>
      <c r="K149" s="15">
        <f t="shared" si="7"/>
        <v>4</v>
      </c>
      <c r="L149" s="15">
        <f t="shared" si="9"/>
        <v>8</v>
      </c>
      <c r="M149" s="15" t="str">
        <f t="shared" si="8"/>
        <v>黄</v>
      </c>
      <c r="N149" s="15" t="str">
        <f t="shared" si="10"/>
        <v>金币</v>
      </c>
      <c r="O149" s="15">
        <f>IF(L149&gt;1,INDEX(挂机升级突破!$AI$35:$AI$55,卡牌消耗!L149),"")</f>
        <v>65500</v>
      </c>
      <c r="P149" s="15" t="str">
        <f>IF(L149&gt;1,INDEX(价值概述!$A$4:$A$8,INDEX(挂机升级突破!$W$35:$W$55,卡牌消耗!L149)),"")</f>
        <v>蓝色基础材料</v>
      </c>
      <c r="Q149" s="15">
        <f>IF(L149&gt;1,INDEX(挂机升级突破!$Z$35:$AD$55,卡牌消耗!L149,INDEX(挂机升级突破!$W$35:$W$55,卡牌消耗!L149)),"")</f>
        <v>145</v>
      </c>
      <c r="R149" s="15" t="str">
        <f>IF(INDEX(挂机升级突破!$X$35:$X$55,卡牌消耗!L149)&gt;0,INDEX($G$2:$I$2,INDEX(挂机升级突破!$X$35:$X$55,卡牌消耗!L149))&amp;M149,"")</f>
        <v>初级黄</v>
      </c>
      <c r="S149" s="15">
        <f>IF(R149="","",INDEX(挂机升级突破!$AE$35:$AG$55,卡牌消耗!L149,INDEX(挂机升级突破!$X$35:$X$55,卡牌消耗!L149)))</f>
        <v>130</v>
      </c>
      <c r="T149" s="15" t="str">
        <f>IF(INDEX(挂机升级突破!$Y$35:$Y$55,卡牌消耗!L149)&gt;0,"灵玉","")</f>
        <v/>
      </c>
      <c r="U149" s="15" t="str">
        <f>IF(INDEX(挂机升级突破!$Y$35:$Y$55,卡牌消耗!L149)&gt;0,INDEX(挂机升级突破!$AH$35:$AH$55,卡牌消耗!L149),"")</f>
        <v/>
      </c>
    </row>
    <row r="150" spans="9:21" ht="16.5" x14ac:dyDescent="0.2">
      <c r="I150" s="35">
        <v>114</v>
      </c>
      <c r="J150" s="15">
        <f t="shared" si="6"/>
        <v>1102006</v>
      </c>
      <c r="K150" s="15">
        <f t="shared" si="7"/>
        <v>4</v>
      </c>
      <c r="L150" s="15">
        <f t="shared" si="9"/>
        <v>9</v>
      </c>
      <c r="M150" s="15" t="str">
        <f t="shared" si="8"/>
        <v>黄</v>
      </c>
      <c r="N150" s="15" t="str">
        <f t="shared" si="10"/>
        <v>金币</v>
      </c>
      <c r="O150" s="15">
        <f>IF(L150&gt;1,INDEX(挂机升级突破!$AI$35:$AI$55,卡牌消耗!L150),"")</f>
        <v>76000</v>
      </c>
      <c r="P150" s="15" t="str">
        <f>IF(L150&gt;1,INDEX(价值概述!$A$4:$A$8,INDEX(挂机升级突破!$W$35:$W$55,卡牌消耗!L150)),"")</f>
        <v>紫色基础材料</v>
      </c>
      <c r="Q150" s="15">
        <f>IF(L150&gt;1,INDEX(挂机升级突破!$Z$35:$AD$55,卡牌消耗!L150,INDEX(挂机升级突破!$W$35:$W$55,卡牌消耗!L150)),"")</f>
        <v>70</v>
      </c>
      <c r="R150" s="15" t="str">
        <f>IF(INDEX(挂机升级突破!$X$35:$X$55,卡牌消耗!L150)&gt;0,INDEX($G$2:$I$2,INDEX(挂机升级突破!$X$35:$X$55,卡牌消耗!L150))&amp;M150,"")</f>
        <v>中级黄</v>
      </c>
      <c r="S150" s="15">
        <f>IF(R150="","",INDEX(挂机升级突破!$AE$35:$AG$55,卡牌消耗!L150,INDEX(挂机升级突破!$X$35:$X$55,卡牌消耗!L150)))</f>
        <v>55</v>
      </c>
      <c r="T150" s="15" t="str">
        <f>IF(INDEX(挂机升级突破!$Y$35:$Y$55,卡牌消耗!L150)&gt;0,"灵玉","")</f>
        <v/>
      </c>
      <c r="U150" s="15" t="str">
        <f>IF(INDEX(挂机升级突破!$Y$35:$Y$55,卡牌消耗!L150)&gt;0,INDEX(挂机升级突破!$AH$35:$AH$55,卡牌消耗!L150),"")</f>
        <v/>
      </c>
    </row>
    <row r="151" spans="9:21" ht="16.5" x14ac:dyDescent="0.2">
      <c r="I151" s="35">
        <v>115</v>
      </c>
      <c r="J151" s="15">
        <f t="shared" si="6"/>
        <v>1102006</v>
      </c>
      <c r="K151" s="15">
        <f t="shared" si="7"/>
        <v>4</v>
      </c>
      <c r="L151" s="15">
        <f t="shared" si="9"/>
        <v>10</v>
      </c>
      <c r="M151" s="15" t="str">
        <f t="shared" si="8"/>
        <v>黄</v>
      </c>
      <c r="N151" s="15" t="str">
        <f t="shared" si="10"/>
        <v>金币</v>
      </c>
      <c r="O151" s="15">
        <f>IF(L151&gt;1,INDEX(挂机升级突破!$AI$35:$AI$55,卡牌消耗!L151),"")</f>
        <v>83000</v>
      </c>
      <c r="P151" s="15" t="str">
        <f>IF(L151&gt;1,INDEX(价值概述!$A$4:$A$8,INDEX(挂机升级突破!$W$35:$W$55,卡牌消耗!L151)),"")</f>
        <v>紫色基础材料</v>
      </c>
      <c r="Q151" s="15">
        <f>IF(L151&gt;1,INDEX(挂机升级突破!$Z$35:$AD$55,卡牌消耗!L151,INDEX(挂机升级突破!$W$35:$W$55,卡牌消耗!L151)),"")</f>
        <v>140</v>
      </c>
      <c r="R151" s="15" t="str">
        <f>IF(INDEX(挂机升级突破!$X$35:$X$55,卡牌消耗!L151)&gt;0,INDEX($G$2:$I$2,INDEX(挂机升级突破!$X$35:$X$55,卡牌消耗!L151))&amp;M151,"")</f>
        <v>中级黄</v>
      </c>
      <c r="S151" s="15">
        <f>IF(R151="","",INDEX(挂机升级突破!$AE$35:$AG$55,卡牌消耗!L151,INDEX(挂机升级突破!$X$35:$X$55,卡牌消耗!L151)))</f>
        <v>95</v>
      </c>
      <c r="T151" s="15" t="str">
        <f>IF(INDEX(挂机升级突破!$Y$35:$Y$55,卡牌消耗!L151)&gt;0,"灵玉","")</f>
        <v/>
      </c>
      <c r="U151" s="15" t="str">
        <f>IF(INDEX(挂机升级突破!$Y$35:$Y$55,卡牌消耗!L151)&gt;0,INDEX(挂机升级突破!$AH$35:$AH$55,卡牌消耗!L151),"")</f>
        <v/>
      </c>
    </row>
    <row r="152" spans="9:21" ht="16.5" x14ac:dyDescent="0.2">
      <c r="I152" s="35">
        <v>116</v>
      </c>
      <c r="J152" s="15">
        <f t="shared" si="6"/>
        <v>1102006</v>
      </c>
      <c r="K152" s="15">
        <f t="shared" si="7"/>
        <v>4</v>
      </c>
      <c r="L152" s="15">
        <f t="shared" si="9"/>
        <v>11</v>
      </c>
      <c r="M152" s="15" t="str">
        <f t="shared" si="8"/>
        <v>黄</v>
      </c>
      <c r="N152" s="15" t="str">
        <f t="shared" si="10"/>
        <v>金币</v>
      </c>
      <c r="O152" s="15">
        <f>IF(L152&gt;1,INDEX(挂机升级突破!$AI$35:$AI$55,卡牌消耗!L152),"")</f>
        <v>90000</v>
      </c>
      <c r="P152" s="15" t="str">
        <f>IF(L152&gt;1,INDEX(价值概述!$A$4:$A$8,INDEX(挂机升级突破!$W$35:$W$55,卡牌消耗!L152)),"")</f>
        <v>紫色基础材料</v>
      </c>
      <c r="Q152" s="15">
        <f>IF(L152&gt;1,INDEX(挂机升级突破!$Z$35:$AD$55,卡牌消耗!L152,INDEX(挂机升级突破!$W$35:$W$55,卡牌消耗!L152)),"")</f>
        <v>215</v>
      </c>
      <c r="R152" s="15" t="str">
        <f>IF(INDEX(挂机升级突破!$X$35:$X$55,卡牌消耗!L152)&gt;0,INDEX($G$2:$I$2,INDEX(挂机升级突破!$X$35:$X$55,卡牌消耗!L152))&amp;M152,"")</f>
        <v>中级黄</v>
      </c>
      <c r="S152" s="15">
        <f>IF(R152="","",INDEX(挂机升级突破!$AE$35:$AG$55,卡牌消耗!L152,INDEX(挂机升级突破!$X$35:$X$55,卡牌消耗!L152)))</f>
        <v>145</v>
      </c>
      <c r="T152" s="15" t="str">
        <f>IF(INDEX(挂机升级突破!$Y$35:$Y$55,卡牌消耗!L152)&gt;0,"灵玉","")</f>
        <v/>
      </c>
      <c r="U152" s="15" t="str">
        <f>IF(INDEX(挂机升级突破!$Y$35:$Y$55,卡牌消耗!L152)&gt;0,INDEX(挂机升级突破!$AH$35:$AH$55,卡牌消耗!L152),"")</f>
        <v/>
      </c>
    </row>
    <row r="153" spans="9:21" ht="16.5" x14ac:dyDescent="0.2">
      <c r="I153" s="35">
        <v>117</v>
      </c>
      <c r="J153" s="15">
        <f t="shared" si="6"/>
        <v>1102006</v>
      </c>
      <c r="K153" s="15">
        <f t="shared" si="7"/>
        <v>4</v>
      </c>
      <c r="L153" s="15">
        <f t="shared" si="9"/>
        <v>12</v>
      </c>
      <c r="M153" s="15" t="str">
        <f t="shared" si="8"/>
        <v>黄</v>
      </c>
      <c r="N153" s="15" t="str">
        <f t="shared" si="10"/>
        <v>金币</v>
      </c>
      <c r="O153" s="15">
        <f>IF(L153&gt;1,INDEX(挂机升级突破!$AI$35:$AI$55,卡牌消耗!L153),"")</f>
        <v>97000</v>
      </c>
      <c r="P153" s="15" t="str">
        <f>IF(L153&gt;1,INDEX(价值概述!$A$4:$A$8,INDEX(挂机升级突破!$W$35:$W$55,卡牌消耗!L153)),"")</f>
        <v>紫色基础材料</v>
      </c>
      <c r="Q153" s="15">
        <f>IF(L153&gt;1,INDEX(挂机升级突破!$Z$35:$AD$55,卡牌消耗!L153,INDEX(挂机升级突破!$W$35:$W$55,卡牌消耗!L153)),"")</f>
        <v>285</v>
      </c>
      <c r="R153" s="15" t="str">
        <f>IF(INDEX(挂机升级突破!$X$35:$X$55,卡牌消耗!L153)&gt;0,INDEX($G$2:$I$2,INDEX(挂机升级突破!$X$35:$X$55,卡牌消耗!L153))&amp;M153,"")</f>
        <v>中级黄</v>
      </c>
      <c r="S153" s="15">
        <f>IF(R153="","",INDEX(挂机升级突破!$AE$35:$AG$55,卡牌消耗!L153,INDEX(挂机升级突破!$X$35:$X$55,卡牌消耗!L153)))</f>
        <v>185</v>
      </c>
      <c r="T153" s="15" t="str">
        <f>IF(INDEX(挂机升级突破!$Y$35:$Y$55,卡牌消耗!L153)&gt;0,"灵玉","")</f>
        <v/>
      </c>
      <c r="U153" s="15" t="str">
        <f>IF(INDEX(挂机升级突破!$Y$35:$Y$55,卡牌消耗!L153)&gt;0,INDEX(挂机升级突破!$AH$35:$AH$55,卡牌消耗!L153),"")</f>
        <v/>
      </c>
    </row>
    <row r="154" spans="9:21" ht="16.5" x14ac:dyDescent="0.2">
      <c r="I154" s="35">
        <v>118</v>
      </c>
      <c r="J154" s="15">
        <f t="shared" si="6"/>
        <v>1102006</v>
      </c>
      <c r="K154" s="15">
        <f t="shared" si="7"/>
        <v>4</v>
      </c>
      <c r="L154" s="15">
        <f t="shared" si="9"/>
        <v>13</v>
      </c>
      <c r="M154" s="15" t="str">
        <f t="shared" si="8"/>
        <v>黄</v>
      </c>
      <c r="N154" s="15" t="str">
        <f t="shared" si="10"/>
        <v>金币</v>
      </c>
      <c r="O154" s="15">
        <f>IF(L154&gt;1,INDEX(挂机升级突破!$AI$35:$AI$55,卡牌消耗!L154),"")</f>
        <v>122000</v>
      </c>
      <c r="P154" s="15" t="str">
        <f>IF(L154&gt;1,INDEX(价值概述!$A$4:$A$8,INDEX(挂机升级突破!$W$35:$W$55,卡牌消耗!L154)),"")</f>
        <v>橙色基础材料</v>
      </c>
      <c r="Q154" s="15">
        <f>IF(L154&gt;1,INDEX(挂机升级突破!$Z$35:$AD$55,卡牌消耗!L154,INDEX(挂机升级突破!$W$35:$W$55,卡牌消耗!L154)),"")</f>
        <v>115</v>
      </c>
      <c r="R154" s="15" t="str">
        <f>IF(INDEX(挂机升级突破!$X$35:$X$55,卡牌消耗!L154)&gt;0,INDEX($G$2:$I$2,INDEX(挂机升级突破!$X$35:$X$55,卡牌消耗!L154))&amp;M154,"")</f>
        <v>中级黄</v>
      </c>
      <c r="S154" s="15">
        <f>IF(R154="","",INDEX(挂机升级突破!$AE$35:$AG$55,卡牌消耗!L154,INDEX(挂机升级突破!$X$35:$X$55,卡牌消耗!L154)))</f>
        <v>225</v>
      </c>
      <c r="T154" s="15" t="str">
        <f>IF(INDEX(挂机升级突破!$Y$35:$Y$55,卡牌消耗!L154)&gt;0,"灵玉","")</f>
        <v/>
      </c>
      <c r="U154" s="15" t="str">
        <f>IF(INDEX(挂机升级突破!$Y$35:$Y$55,卡牌消耗!L154)&gt;0,INDEX(挂机升级突破!$AH$35:$AH$55,卡牌消耗!L154),"")</f>
        <v/>
      </c>
    </row>
    <row r="155" spans="9:21" ht="16.5" x14ac:dyDescent="0.2">
      <c r="I155" s="35">
        <v>119</v>
      </c>
      <c r="J155" s="15">
        <f t="shared" si="6"/>
        <v>1102006</v>
      </c>
      <c r="K155" s="15">
        <f t="shared" si="7"/>
        <v>4</v>
      </c>
      <c r="L155" s="15">
        <f t="shared" si="9"/>
        <v>14</v>
      </c>
      <c r="M155" s="15" t="str">
        <f t="shared" si="8"/>
        <v>黄</v>
      </c>
      <c r="N155" s="15" t="str">
        <f t="shared" si="10"/>
        <v>金币</v>
      </c>
      <c r="O155" s="15">
        <f>IF(L155&gt;1,INDEX(挂机升级突破!$AI$35:$AI$55,卡牌消耗!L155),"")</f>
        <v>162500</v>
      </c>
      <c r="P155" s="15" t="str">
        <f>IF(L155&gt;1,INDEX(价值概述!$A$4:$A$8,INDEX(挂机升级突破!$W$35:$W$55,卡牌消耗!L155)),"")</f>
        <v>橙色基础材料</v>
      </c>
      <c r="Q155" s="15">
        <f>IF(L155&gt;1,INDEX(挂机升级突破!$Z$35:$AD$55,卡牌消耗!L155,INDEX(挂机升级突破!$W$35:$W$55,卡牌消耗!L155)),"")</f>
        <v>235</v>
      </c>
      <c r="R155" s="15" t="str">
        <f>IF(INDEX(挂机升级突破!$X$35:$X$55,卡牌消耗!L155)&gt;0,INDEX($G$2:$I$2,INDEX(挂机升级突破!$X$35:$X$55,卡牌消耗!L155))&amp;M155,"")</f>
        <v>中级黄</v>
      </c>
      <c r="S155" s="15">
        <f>IF(R155="","",INDEX(挂机升级突破!$AE$35:$AG$55,卡牌消耗!L155,INDEX(挂机升级突破!$X$35:$X$55,卡牌消耗!L155)))</f>
        <v>265</v>
      </c>
      <c r="T155" s="15" t="str">
        <f>IF(INDEX(挂机升级突破!$Y$35:$Y$55,卡牌消耗!L155)&gt;0,"灵玉","")</f>
        <v/>
      </c>
      <c r="U155" s="15" t="str">
        <f>IF(INDEX(挂机升级突破!$Y$35:$Y$55,卡牌消耗!L155)&gt;0,INDEX(挂机升级突破!$AH$35:$AH$55,卡牌消耗!L155),"")</f>
        <v/>
      </c>
    </row>
    <row r="156" spans="9:21" ht="16.5" x14ac:dyDescent="0.2">
      <c r="I156" s="35">
        <v>120</v>
      </c>
      <c r="J156" s="15">
        <f t="shared" si="6"/>
        <v>1102006</v>
      </c>
      <c r="K156" s="15">
        <f t="shared" si="7"/>
        <v>4</v>
      </c>
      <c r="L156" s="15">
        <f t="shared" si="9"/>
        <v>15</v>
      </c>
      <c r="M156" s="15" t="str">
        <f t="shared" si="8"/>
        <v>黄</v>
      </c>
      <c r="N156" s="15" t="str">
        <f t="shared" si="10"/>
        <v>金币</v>
      </c>
      <c r="O156" s="15">
        <f>IF(L156&gt;1,INDEX(挂机升级突破!$AI$35:$AI$55,卡牌消耗!L156),"")</f>
        <v>190000</v>
      </c>
      <c r="P156" s="15" t="str">
        <f>IF(L156&gt;1,INDEX(价值概述!$A$4:$A$8,INDEX(挂机升级突破!$W$35:$W$55,卡牌消耗!L156)),"")</f>
        <v>橙色基础材料</v>
      </c>
      <c r="Q156" s="15">
        <f>IF(L156&gt;1,INDEX(挂机升级突破!$Z$35:$AD$55,卡牌消耗!L156,INDEX(挂机升级突破!$W$35:$W$55,卡牌消耗!L156)),"")</f>
        <v>355</v>
      </c>
      <c r="R156" s="15" t="str">
        <f>IF(INDEX(挂机升级突破!$X$35:$X$55,卡牌消耗!L156)&gt;0,INDEX($G$2:$I$2,INDEX(挂机升级突破!$X$35:$X$55,卡牌消耗!L156))&amp;M156,"")</f>
        <v>高级黄</v>
      </c>
      <c r="S156" s="15">
        <f>IF(R156="","",INDEX(挂机升级突破!$AE$35:$AG$55,卡牌消耗!L156,INDEX(挂机升级突破!$X$35:$X$55,卡牌消耗!L156)))</f>
        <v>45</v>
      </c>
      <c r="T156" s="15" t="str">
        <f>IF(INDEX(挂机升级突破!$Y$35:$Y$55,卡牌消耗!L156)&gt;0,"灵玉","")</f>
        <v/>
      </c>
      <c r="U156" s="15" t="str">
        <f>IF(INDEX(挂机升级突破!$Y$35:$Y$55,卡牌消耗!L156)&gt;0,INDEX(挂机升级突破!$AH$35:$AH$55,卡牌消耗!L156),"")</f>
        <v/>
      </c>
    </row>
    <row r="157" spans="9:21" ht="16.5" x14ac:dyDescent="0.2">
      <c r="I157" s="35">
        <v>121</v>
      </c>
      <c r="J157" s="15">
        <f t="shared" si="6"/>
        <v>1102006</v>
      </c>
      <c r="K157" s="15">
        <f t="shared" si="7"/>
        <v>4</v>
      </c>
      <c r="L157" s="15">
        <f t="shared" si="9"/>
        <v>16</v>
      </c>
      <c r="M157" s="15" t="str">
        <f t="shared" si="8"/>
        <v>黄</v>
      </c>
      <c r="N157" s="15" t="str">
        <f t="shared" si="10"/>
        <v>金币</v>
      </c>
      <c r="O157" s="15">
        <f>IF(L157&gt;1,INDEX(挂机升级突破!$AI$35:$AI$55,卡牌消耗!L157),"")</f>
        <v>219000</v>
      </c>
      <c r="P157" s="15" t="str">
        <f>IF(L157&gt;1,INDEX(价值概述!$A$4:$A$8,INDEX(挂机升级突破!$W$35:$W$55,卡牌消耗!L157)),"")</f>
        <v>橙色基础材料</v>
      </c>
      <c r="Q157" s="15">
        <f>IF(L157&gt;1,INDEX(挂机升级突破!$Z$35:$AD$55,卡牌消耗!L157,INDEX(挂机升级突破!$W$35:$W$55,卡牌消耗!L157)),"")</f>
        <v>475</v>
      </c>
      <c r="R157" s="15" t="str">
        <f>IF(INDEX(挂机升级突破!$X$35:$X$55,卡牌消耗!L157)&gt;0,INDEX($G$2:$I$2,INDEX(挂机升级突破!$X$35:$X$55,卡牌消耗!L157))&amp;M157,"")</f>
        <v>高级黄</v>
      </c>
      <c r="S157" s="15">
        <f>IF(R157="","",INDEX(挂机升级突破!$AE$35:$AG$55,卡牌消耗!L157,INDEX(挂机升级突破!$X$35:$X$55,卡牌消耗!L157)))</f>
        <v>70</v>
      </c>
      <c r="T157" s="15" t="str">
        <f>IF(INDEX(挂机升级突破!$Y$35:$Y$55,卡牌消耗!L157)&gt;0,"灵玉","")</f>
        <v/>
      </c>
      <c r="U157" s="15" t="str">
        <f>IF(INDEX(挂机升级突破!$Y$35:$Y$55,卡牌消耗!L157)&gt;0,INDEX(挂机升级突破!$AH$35:$AH$55,卡牌消耗!L157),"")</f>
        <v/>
      </c>
    </row>
    <row r="158" spans="9:21" ht="16.5" x14ac:dyDescent="0.2">
      <c r="I158" s="35">
        <v>122</v>
      </c>
      <c r="J158" s="15">
        <f t="shared" si="6"/>
        <v>1102006</v>
      </c>
      <c r="K158" s="15">
        <f t="shared" si="7"/>
        <v>4</v>
      </c>
      <c r="L158" s="15">
        <f t="shared" si="9"/>
        <v>17</v>
      </c>
      <c r="M158" s="15" t="str">
        <f t="shared" si="8"/>
        <v>黄</v>
      </c>
      <c r="N158" s="15" t="str">
        <f t="shared" si="10"/>
        <v>金币</v>
      </c>
      <c r="O158" s="15">
        <f>IF(L158&gt;1,INDEX(挂机升级突破!$AI$35:$AI$55,卡牌消耗!L158),"")</f>
        <v>228000</v>
      </c>
      <c r="P158" s="15" t="str">
        <f>IF(L158&gt;1,INDEX(价值概述!$A$4:$A$8,INDEX(挂机升级突破!$W$35:$W$55,卡牌消耗!L158)),"")</f>
        <v>红色基础材料</v>
      </c>
      <c r="Q158" s="15">
        <f>IF(L158&gt;1,INDEX(挂机升级突破!$Z$35:$AD$55,卡牌消耗!L158,INDEX(挂机升级突破!$W$35:$W$55,卡牌消耗!L158)),"")</f>
        <v>45</v>
      </c>
      <c r="R158" s="15" t="str">
        <f>IF(INDEX(挂机升级突破!$X$35:$X$55,卡牌消耗!L158)&gt;0,INDEX($G$2:$I$2,INDEX(挂机升级突破!$X$35:$X$55,卡牌消耗!L158))&amp;M158,"")</f>
        <v>高级黄</v>
      </c>
      <c r="S158" s="15">
        <f>IF(R158="","",INDEX(挂机升级突破!$AE$35:$AG$55,卡牌消耗!L158,INDEX(挂机升级突破!$X$35:$X$55,卡牌消耗!L158)))</f>
        <v>100</v>
      </c>
      <c r="T158" s="15" t="str">
        <f>IF(INDEX(挂机升级突破!$Y$35:$Y$55,卡牌消耗!L158)&gt;0,"灵玉","")</f>
        <v>灵玉</v>
      </c>
      <c r="U158" s="15">
        <f>IF(INDEX(挂机升级突破!$Y$35:$Y$55,卡牌消耗!L158)&gt;0,INDEX(挂机升级突破!$AH$35:$AH$55,卡牌消耗!L158),"")</f>
        <v>25</v>
      </c>
    </row>
    <row r="159" spans="9:21" ht="16.5" x14ac:dyDescent="0.2">
      <c r="I159" s="35">
        <v>123</v>
      </c>
      <c r="J159" s="15">
        <f t="shared" si="6"/>
        <v>1102006</v>
      </c>
      <c r="K159" s="15">
        <f t="shared" si="7"/>
        <v>4</v>
      </c>
      <c r="L159" s="15">
        <f t="shared" si="9"/>
        <v>18</v>
      </c>
      <c r="M159" s="15" t="str">
        <f t="shared" si="8"/>
        <v>黄</v>
      </c>
      <c r="N159" s="15" t="str">
        <f t="shared" si="10"/>
        <v>金币</v>
      </c>
      <c r="O159" s="15">
        <f>IF(L159&gt;1,INDEX(挂机升级突破!$AI$35:$AI$55,卡牌消耗!L159),"")</f>
        <v>319500</v>
      </c>
      <c r="P159" s="15" t="str">
        <f>IF(L159&gt;1,INDEX(价值概述!$A$4:$A$8,INDEX(挂机升级突破!$W$35:$W$55,卡牌消耗!L159)),"")</f>
        <v>红色基础材料</v>
      </c>
      <c r="Q159" s="15">
        <f>IF(L159&gt;1,INDEX(挂机升级突破!$Z$35:$AD$55,卡牌消耗!L159,INDEX(挂机升级突破!$W$35:$W$55,卡牌消耗!L159)),"")</f>
        <v>65</v>
      </c>
      <c r="R159" s="15" t="str">
        <f>IF(INDEX(挂机升级突破!$X$35:$X$55,卡牌消耗!L159)&gt;0,INDEX($G$2:$I$2,INDEX(挂机升级突破!$X$35:$X$55,卡牌消耗!L159))&amp;M159,"")</f>
        <v>高级黄</v>
      </c>
      <c r="S159" s="15">
        <f>IF(R159="","",INDEX(挂机升级突破!$AE$35:$AG$55,卡牌消耗!L159,INDEX(挂机升级突破!$X$35:$X$55,卡牌消耗!L159)))</f>
        <v>125</v>
      </c>
      <c r="T159" s="15" t="str">
        <f>IF(INDEX(挂机升级突破!$Y$35:$Y$55,卡牌消耗!L159)&gt;0,"灵玉","")</f>
        <v>灵玉</v>
      </c>
      <c r="U159" s="15">
        <f>IF(INDEX(挂机升级突破!$Y$35:$Y$55,卡牌消耗!L159)&gt;0,INDEX(挂机升级突破!$AH$35:$AH$55,卡牌消耗!L159),"")</f>
        <v>35</v>
      </c>
    </row>
    <row r="160" spans="9:21" ht="16.5" x14ac:dyDescent="0.2">
      <c r="I160" s="35">
        <v>124</v>
      </c>
      <c r="J160" s="15">
        <f t="shared" si="6"/>
        <v>1102006</v>
      </c>
      <c r="K160" s="15">
        <f t="shared" si="7"/>
        <v>4</v>
      </c>
      <c r="L160" s="15">
        <f t="shared" si="9"/>
        <v>19</v>
      </c>
      <c r="M160" s="15" t="str">
        <f t="shared" si="8"/>
        <v>黄</v>
      </c>
      <c r="N160" s="15" t="str">
        <f t="shared" si="10"/>
        <v>金币</v>
      </c>
      <c r="O160" s="15">
        <f>IF(L160&gt;1,INDEX(挂机升级突破!$AI$35:$AI$55,卡牌消耗!L160),"")</f>
        <v>426000</v>
      </c>
      <c r="P160" s="15" t="str">
        <f>IF(L160&gt;1,INDEX(价值概述!$A$4:$A$8,INDEX(挂机升级突破!$W$35:$W$55,卡牌消耗!L160)),"")</f>
        <v>红色基础材料</v>
      </c>
      <c r="Q160" s="15">
        <f>IF(L160&gt;1,INDEX(挂机升级突破!$Z$35:$AD$55,卡牌消耗!L160,INDEX(挂机升级突破!$W$35:$W$55,卡牌消耗!L160)),"")</f>
        <v>90</v>
      </c>
      <c r="R160" s="15" t="str">
        <f>IF(INDEX(挂机升级突破!$X$35:$X$55,卡牌消耗!L160)&gt;0,INDEX($G$2:$I$2,INDEX(挂机升级突破!$X$35:$X$55,卡牌消耗!L160))&amp;M160,"")</f>
        <v>高级黄</v>
      </c>
      <c r="S160" s="15">
        <f>IF(R160="","",INDEX(挂机升级突破!$AE$35:$AG$55,卡牌消耗!L160,INDEX(挂机升级突破!$X$35:$X$55,卡牌消耗!L160)))</f>
        <v>155</v>
      </c>
      <c r="T160" s="15" t="str">
        <f>IF(INDEX(挂机升级突破!$Y$35:$Y$55,卡牌消耗!L160)&gt;0,"灵玉","")</f>
        <v>灵玉</v>
      </c>
      <c r="U160" s="15">
        <f>IF(INDEX(挂机升级突破!$Y$35:$Y$55,卡牌消耗!L160)&gt;0,INDEX(挂机升级突破!$AH$35:$AH$55,卡牌消耗!L160),"")</f>
        <v>50</v>
      </c>
    </row>
    <row r="161" spans="9:21" ht="16.5" x14ac:dyDescent="0.2">
      <c r="I161" s="35">
        <v>125</v>
      </c>
      <c r="J161" s="15">
        <f t="shared" si="6"/>
        <v>1102006</v>
      </c>
      <c r="K161" s="15">
        <f t="shared" si="7"/>
        <v>4</v>
      </c>
      <c r="L161" s="15">
        <f t="shared" si="9"/>
        <v>20</v>
      </c>
      <c r="M161" s="15" t="str">
        <f t="shared" si="8"/>
        <v>黄</v>
      </c>
      <c r="N161" s="15" t="str">
        <f t="shared" si="10"/>
        <v>金币</v>
      </c>
      <c r="O161" s="15">
        <f>IF(L161&gt;1,INDEX(挂机升级突破!$AI$35:$AI$55,卡牌消耗!L161),"")</f>
        <v>532500</v>
      </c>
      <c r="P161" s="15" t="str">
        <f>IF(L161&gt;1,INDEX(价值概述!$A$4:$A$8,INDEX(挂机升级突破!$W$35:$W$55,卡牌消耗!L161)),"")</f>
        <v>红色基础材料</v>
      </c>
      <c r="Q161" s="15">
        <f>IF(L161&gt;1,INDEX(挂机升级突破!$Z$35:$AD$55,卡牌消耗!L161,INDEX(挂机升级突破!$W$35:$W$55,卡牌消耗!L161)),"")</f>
        <v>110</v>
      </c>
      <c r="R161" s="15" t="str">
        <f>IF(INDEX(挂机升级突破!$X$35:$X$55,卡牌消耗!L161)&gt;0,INDEX($G$2:$I$2,INDEX(挂机升级突破!$X$35:$X$55,卡牌消耗!L161))&amp;M161,"")</f>
        <v>高级黄</v>
      </c>
      <c r="S161" s="15">
        <f>IF(R161="","",INDEX(挂机升级突破!$AE$35:$AG$55,卡牌消耗!L161,INDEX(挂机升级突破!$X$35:$X$55,卡牌消耗!L161)))</f>
        <v>180</v>
      </c>
      <c r="T161" s="15" t="str">
        <f>IF(INDEX(挂机升级突破!$Y$35:$Y$55,卡牌消耗!L161)&gt;0,"灵玉","")</f>
        <v>灵玉</v>
      </c>
      <c r="U161" s="15">
        <f>IF(INDEX(挂机升级突破!$Y$35:$Y$55,卡牌消耗!L161)&gt;0,INDEX(挂机升级突破!$AH$35:$AH$55,卡牌消耗!L161),"")</f>
        <v>65</v>
      </c>
    </row>
    <row r="162" spans="9:21" ht="16.5" x14ac:dyDescent="0.2">
      <c r="I162" s="35">
        <v>126</v>
      </c>
      <c r="J162" s="15">
        <f t="shared" si="6"/>
        <v>1102006</v>
      </c>
      <c r="K162" s="15">
        <f t="shared" si="7"/>
        <v>4</v>
      </c>
      <c r="L162" s="15">
        <f t="shared" si="9"/>
        <v>21</v>
      </c>
      <c r="M162" s="15" t="str">
        <f t="shared" si="8"/>
        <v>黄</v>
      </c>
      <c r="N162" s="15" t="str">
        <f t="shared" si="10"/>
        <v>金币</v>
      </c>
      <c r="O162" s="15">
        <f>IF(L162&gt;1,INDEX(挂机升级突破!$AI$35:$AI$55,卡牌消耗!L162),"")</f>
        <v>639000</v>
      </c>
      <c r="P162" s="15" t="str">
        <f>IF(L162&gt;1,INDEX(价值概述!$A$4:$A$8,INDEX(挂机升级突破!$W$35:$W$55,卡牌消耗!L162)),"")</f>
        <v>红色基础材料</v>
      </c>
      <c r="Q162" s="15">
        <f>IF(L162&gt;1,INDEX(挂机升级突破!$Z$35:$AD$55,卡牌消耗!L162,INDEX(挂机升级突破!$W$35:$W$55,卡牌消耗!L162)),"")</f>
        <v>135</v>
      </c>
      <c r="R162" s="15" t="str">
        <f>IF(INDEX(挂机升级突破!$X$35:$X$55,卡牌消耗!L162)&gt;0,INDEX($G$2:$I$2,INDEX(挂机升级突破!$X$35:$X$55,卡牌消耗!L162))&amp;M162,"")</f>
        <v>高级黄</v>
      </c>
      <c r="S162" s="15">
        <f>IF(R162="","",INDEX(挂机升级突破!$AE$35:$AG$55,卡牌消耗!L162,INDEX(挂机升级突破!$X$35:$X$55,卡牌消耗!L162)))</f>
        <v>225</v>
      </c>
      <c r="T162" s="15" t="str">
        <f>IF(INDEX(挂机升级突破!$Y$35:$Y$55,卡牌消耗!L162)&gt;0,"灵玉","")</f>
        <v>灵玉</v>
      </c>
      <c r="U162" s="15">
        <f>IF(INDEX(挂机升级突破!$Y$35:$Y$55,卡牌消耗!L162)&gt;0,INDEX(挂机升级突破!$AH$35:$AH$55,卡牌消耗!L162),"")</f>
        <v>75</v>
      </c>
    </row>
    <row r="163" spans="9:21" ht="16.5" x14ac:dyDescent="0.2">
      <c r="I163" s="35">
        <v>127</v>
      </c>
      <c r="J163" s="15">
        <f t="shared" si="6"/>
        <v>1102007</v>
      </c>
      <c r="K163" s="15">
        <f t="shared" si="7"/>
        <v>4</v>
      </c>
      <c r="L163" s="15">
        <f t="shared" si="9"/>
        <v>1</v>
      </c>
      <c r="M163" s="15" t="str">
        <f t="shared" si="8"/>
        <v>红</v>
      </c>
      <c r="N163" s="15" t="str">
        <f t="shared" si="10"/>
        <v/>
      </c>
      <c r="O163" s="15" t="str">
        <f>IF(L163&gt;1,INDEX(挂机升级突破!$AI$35:$AI$55,卡牌消耗!L163),"")</f>
        <v/>
      </c>
      <c r="P163" s="15" t="str">
        <f>IF(L163&gt;1,INDEX(价值概述!$A$4:$A$8,INDEX(挂机升级突破!$W$35:$W$55,卡牌消耗!L163)),"")</f>
        <v/>
      </c>
      <c r="Q163" s="15" t="str">
        <f>IF(L163&gt;1,INDEX(挂机升级突破!$Z$35:$AD$55,卡牌消耗!L163,INDEX(挂机升级突破!$W$35:$W$55,卡牌消耗!L163)),"")</f>
        <v/>
      </c>
      <c r="R163" s="15" t="str">
        <f>IF(INDEX(挂机升级突破!$X$35:$X$55,卡牌消耗!L163)&gt;0,INDEX($G$2:$I$2,INDEX(挂机升级突破!$X$35:$X$55,卡牌消耗!L163))&amp;M163,"")</f>
        <v/>
      </c>
      <c r="S163" s="15" t="str">
        <f>IF(R163="","",INDEX(挂机升级突破!$AE$35:$AG$55,卡牌消耗!L163,INDEX(挂机升级突破!$X$35:$X$55,卡牌消耗!L163)))</f>
        <v/>
      </c>
      <c r="T163" s="15" t="str">
        <f>IF(INDEX(挂机升级突破!$Y$35:$Y$55,卡牌消耗!L163)&gt;0,"灵玉","")</f>
        <v/>
      </c>
      <c r="U163" s="15" t="str">
        <f>IF(INDEX(挂机升级突破!$Y$35:$Y$55,卡牌消耗!L163)&gt;0,INDEX(挂机升级突破!$AH$35:$AH$55,卡牌消耗!L163),"")</f>
        <v/>
      </c>
    </row>
    <row r="164" spans="9:21" ht="16.5" x14ac:dyDescent="0.2">
      <c r="I164" s="35">
        <v>128</v>
      </c>
      <c r="J164" s="15">
        <f t="shared" si="6"/>
        <v>1102007</v>
      </c>
      <c r="K164" s="15">
        <f t="shared" si="7"/>
        <v>4</v>
      </c>
      <c r="L164" s="15">
        <f t="shared" si="9"/>
        <v>2</v>
      </c>
      <c r="M164" s="15" t="str">
        <f t="shared" si="8"/>
        <v>红</v>
      </c>
      <c r="N164" s="15" t="str">
        <f t="shared" si="10"/>
        <v>金币</v>
      </c>
      <c r="O164" s="15">
        <f>IF(L164&gt;1,INDEX(挂机升级突破!$AI$35:$AI$55,卡牌消耗!L164),"")</f>
        <v>2500</v>
      </c>
      <c r="P164" s="15" t="str">
        <f>IF(L164&gt;1,INDEX(价值概述!$A$4:$A$8,INDEX(挂机升级突破!$W$35:$W$55,卡牌消耗!L164)),"")</f>
        <v>绿色基础材料</v>
      </c>
      <c r="Q164" s="15">
        <f>IF(L164&gt;1,INDEX(挂机升级突破!$Z$35:$AD$55,卡牌消耗!L164,INDEX(挂机升级突破!$W$35:$W$55,卡牌消耗!L164)),"")</f>
        <v>10</v>
      </c>
      <c r="R164" s="15" t="str">
        <f>IF(INDEX(挂机升级突破!$X$35:$X$55,卡牌消耗!L164)&gt;0,INDEX($G$2:$I$2,INDEX(挂机升级突破!$X$35:$X$55,卡牌消耗!L164))&amp;M164,"")</f>
        <v/>
      </c>
      <c r="S164" s="15" t="str">
        <f>IF(R164="","",INDEX(挂机升级突破!$AE$35:$AG$55,卡牌消耗!L164,INDEX(挂机升级突破!$X$35:$X$55,卡牌消耗!L164)))</f>
        <v/>
      </c>
      <c r="T164" s="15" t="str">
        <f>IF(INDEX(挂机升级突破!$Y$35:$Y$55,卡牌消耗!L164)&gt;0,"灵玉","")</f>
        <v/>
      </c>
      <c r="U164" s="15" t="str">
        <f>IF(INDEX(挂机升级突破!$Y$35:$Y$55,卡牌消耗!L164)&gt;0,INDEX(挂机升级突破!$AH$35:$AH$55,卡牌消耗!L164),"")</f>
        <v/>
      </c>
    </row>
    <row r="165" spans="9:21" ht="16.5" x14ac:dyDescent="0.2">
      <c r="I165" s="35">
        <v>129</v>
      </c>
      <c r="J165" s="15">
        <f t="shared" ref="J165:J228" si="11">INDEX($A$13:$A$33,INT((I165-1)/21)+1)</f>
        <v>1102007</v>
      </c>
      <c r="K165" s="15">
        <f t="shared" ref="K165:K228" si="12">VLOOKUP(J165,$A$13:$D$33,3)</f>
        <v>4</v>
      </c>
      <c r="L165" s="15">
        <f t="shared" si="9"/>
        <v>3</v>
      </c>
      <c r="M165" s="15" t="str">
        <f t="shared" ref="M165:M228" si="13">INDEX($J$2:$L$2,INDEX($E$13:$E$33,INT((I165-1)/21)+1))</f>
        <v>红</v>
      </c>
      <c r="N165" s="15" t="str">
        <f t="shared" si="10"/>
        <v>金币</v>
      </c>
      <c r="O165" s="15">
        <f>IF(L165&gt;1,INDEX(挂机升级突破!$AI$35:$AI$55,卡牌消耗!L165),"")</f>
        <v>8000</v>
      </c>
      <c r="P165" s="15" t="str">
        <f>IF(L165&gt;1,INDEX(价值概述!$A$4:$A$8,INDEX(挂机升级突破!$W$35:$W$55,卡牌消耗!L165)),"")</f>
        <v>绿色基础材料</v>
      </c>
      <c r="Q165" s="15">
        <f>IF(L165&gt;1,INDEX(挂机升级突破!$Z$35:$AD$55,卡牌消耗!L165,INDEX(挂机升级突破!$W$35:$W$55,卡牌消耗!L165)),"")</f>
        <v>40</v>
      </c>
      <c r="R165" s="15" t="str">
        <f>IF(INDEX(挂机升级突破!$X$35:$X$55,卡牌消耗!L165)&gt;0,INDEX($G$2:$I$2,INDEX(挂机升级突破!$X$35:$X$55,卡牌消耗!L165))&amp;M165,"")</f>
        <v/>
      </c>
      <c r="S165" s="15" t="str">
        <f>IF(R165="","",INDEX(挂机升级突破!$AE$35:$AG$55,卡牌消耗!L165,INDEX(挂机升级突破!$X$35:$X$55,卡牌消耗!L165)))</f>
        <v/>
      </c>
      <c r="T165" s="15" t="str">
        <f>IF(INDEX(挂机升级突破!$Y$35:$Y$55,卡牌消耗!L165)&gt;0,"灵玉","")</f>
        <v/>
      </c>
      <c r="U165" s="15" t="str">
        <f>IF(INDEX(挂机升级突破!$Y$35:$Y$55,卡牌消耗!L165)&gt;0,INDEX(挂机升级突破!$AH$35:$AH$55,卡牌消耗!L165),"")</f>
        <v/>
      </c>
    </row>
    <row r="166" spans="9:21" ht="16.5" x14ac:dyDescent="0.2">
      <c r="I166" s="35">
        <v>130</v>
      </c>
      <c r="J166" s="15">
        <f t="shared" si="11"/>
        <v>1102007</v>
      </c>
      <c r="K166" s="15">
        <f t="shared" si="12"/>
        <v>4</v>
      </c>
      <c r="L166" s="15">
        <f t="shared" ref="L166:L229" si="14">MOD((I166-1),21)+1</f>
        <v>4</v>
      </c>
      <c r="M166" s="15" t="str">
        <f t="shared" si="13"/>
        <v>红</v>
      </c>
      <c r="N166" s="15" t="str">
        <f t="shared" ref="N166:N229" si="15">IF(L166&gt;1,"金币","")</f>
        <v>金币</v>
      </c>
      <c r="O166" s="15">
        <f>IF(L166&gt;1,INDEX(挂机升级突破!$AI$35:$AI$55,卡牌消耗!L166),"")</f>
        <v>16500</v>
      </c>
      <c r="P166" s="15" t="str">
        <f>IF(L166&gt;1,INDEX(价值概述!$A$4:$A$8,INDEX(挂机升级突破!$W$35:$W$55,卡牌消耗!L166)),"")</f>
        <v>绿色基础材料</v>
      </c>
      <c r="Q166" s="15">
        <f>IF(L166&gt;1,INDEX(挂机升级突破!$Z$35:$AD$55,卡牌消耗!L166,INDEX(挂机升级突破!$W$35:$W$55,卡牌消耗!L166)),"")</f>
        <v>80</v>
      </c>
      <c r="R166" s="15" t="str">
        <f>IF(INDEX(挂机升级突破!$X$35:$X$55,卡牌消耗!L166)&gt;0,INDEX($G$2:$I$2,INDEX(挂机升级突破!$X$35:$X$55,卡牌消耗!L166))&amp;M166,"")</f>
        <v>初级红</v>
      </c>
      <c r="S166" s="15">
        <f>IF(R166="","",INDEX(挂机升级突破!$AE$35:$AG$55,卡牌消耗!L166,INDEX(挂机升级突破!$X$35:$X$55,卡牌消耗!L166)))</f>
        <v>40</v>
      </c>
      <c r="T166" s="15" t="str">
        <f>IF(INDEX(挂机升级突破!$Y$35:$Y$55,卡牌消耗!L166)&gt;0,"灵玉","")</f>
        <v/>
      </c>
      <c r="U166" s="15" t="str">
        <f>IF(INDEX(挂机升级突破!$Y$35:$Y$55,卡牌消耗!L166)&gt;0,INDEX(挂机升级突破!$AH$35:$AH$55,卡牌消耗!L166),"")</f>
        <v/>
      </c>
    </row>
    <row r="167" spans="9:21" ht="16.5" x14ac:dyDescent="0.2">
      <c r="I167" s="35">
        <v>131</v>
      </c>
      <c r="J167" s="15">
        <f t="shared" si="11"/>
        <v>1102007</v>
      </c>
      <c r="K167" s="15">
        <f t="shared" si="12"/>
        <v>4</v>
      </c>
      <c r="L167" s="15">
        <f t="shared" si="14"/>
        <v>5</v>
      </c>
      <c r="M167" s="15" t="str">
        <f t="shared" si="13"/>
        <v>红</v>
      </c>
      <c r="N167" s="15" t="str">
        <f t="shared" si="15"/>
        <v>金币</v>
      </c>
      <c r="O167" s="15">
        <f>IF(L167&gt;1,INDEX(挂机升级突破!$AI$35:$AI$55,卡牌消耗!L167),"")</f>
        <v>22500</v>
      </c>
      <c r="P167" s="15" t="str">
        <f>IF(L167&gt;1,INDEX(价值概述!$A$4:$A$8,INDEX(挂机升级突破!$W$35:$W$55,卡牌消耗!L167)),"")</f>
        <v>蓝色基础材料</v>
      </c>
      <c r="Q167" s="15">
        <f>IF(L167&gt;1,INDEX(挂机升级突破!$Z$35:$AD$55,卡牌消耗!L167,INDEX(挂机升级突破!$W$35:$W$55,卡牌消耗!L167)),"")</f>
        <v>35</v>
      </c>
      <c r="R167" s="15" t="str">
        <f>IF(INDEX(挂机升级突破!$X$35:$X$55,卡牌消耗!L167)&gt;0,INDEX($G$2:$I$2,INDEX(挂机升级突破!$X$35:$X$55,卡牌消耗!L167))&amp;M167,"")</f>
        <v>初级红</v>
      </c>
      <c r="S167" s="15">
        <f>IF(R167="","",INDEX(挂机升级突破!$AE$35:$AG$55,卡牌消耗!L167,INDEX(挂机升级突破!$X$35:$X$55,卡牌消耗!L167)))</f>
        <v>65</v>
      </c>
      <c r="T167" s="15" t="str">
        <f>IF(INDEX(挂机升级突破!$Y$35:$Y$55,卡牌消耗!L167)&gt;0,"灵玉","")</f>
        <v/>
      </c>
      <c r="U167" s="15" t="str">
        <f>IF(INDEX(挂机升级突破!$Y$35:$Y$55,卡牌消耗!L167)&gt;0,INDEX(挂机升级突破!$AH$35:$AH$55,卡牌消耗!L167),"")</f>
        <v/>
      </c>
    </row>
    <row r="168" spans="9:21" ht="16.5" x14ac:dyDescent="0.2">
      <c r="I168" s="35">
        <v>132</v>
      </c>
      <c r="J168" s="15">
        <f t="shared" si="11"/>
        <v>1102007</v>
      </c>
      <c r="K168" s="15">
        <f t="shared" si="12"/>
        <v>4</v>
      </c>
      <c r="L168" s="15">
        <f t="shared" si="14"/>
        <v>6</v>
      </c>
      <c r="M168" s="15" t="str">
        <f t="shared" si="13"/>
        <v>红</v>
      </c>
      <c r="N168" s="15" t="str">
        <f t="shared" si="15"/>
        <v>金币</v>
      </c>
      <c r="O168" s="15">
        <f>IF(L168&gt;1,INDEX(挂机升级突破!$AI$35:$AI$55,卡牌消耗!L168),"")</f>
        <v>53000</v>
      </c>
      <c r="P168" s="15" t="str">
        <f>IF(L168&gt;1,INDEX(价值概述!$A$4:$A$8,INDEX(挂机升级突破!$W$35:$W$55,卡牌消耗!L168)),"")</f>
        <v>蓝色基础材料</v>
      </c>
      <c r="Q168" s="15">
        <f>IF(L168&gt;1,INDEX(挂机升级突破!$Z$35:$AD$55,卡牌消耗!L168,INDEX(挂机升级突破!$W$35:$W$55,卡牌消耗!L168)),"")</f>
        <v>70</v>
      </c>
      <c r="R168" s="15" t="str">
        <f>IF(INDEX(挂机升级突破!$X$35:$X$55,卡牌消耗!L168)&gt;0,INDEX($G$2:$I$2,INDEX(挂机升级突破!$X$35:$X$55,卡牌消耗!L168))&amp;M168,"")</f>
        <v>初级红</v>
      </c>
      <c r="S168" s="15">
        <f>IF(R168="","",INDEX(挂机升级突破!$AE$35:$AG$55,卡牌消耗!L168,INDEX(挂机升级突破!$X$35:$X$55,卡牌消耗!L168)))</f>
        <v>85</v>
      </c>
      <c r="T168" s="15" t="str">
        <f>IF(INDEX(挂机升级突破!$Y$35:$Y$55,卡牌消耗!L168)&gt;0,"灵玉","")</f>
        <v/>
      </c>
      <c r="U168" s="15" t="str">
        <f>IF(INDEX(挂机升级突破!$Y$35:$Y$55,卡牌消耗!L168)&gt;0,INDEX(挂机升级突破!$AH$35:$AH$55,卡牌消耗!L168),"")</f>
        <v/>
      </c>
    </row>
    <row r="169" spans="9:21" ht="16.5" x14ac:dyDescent="0.2">
      <c r="I169" s="35">
        <v>133</v>
      </c>
      <c r="J169" s="15">
        <f t="shared" si="11"/>
        <v>1102007</v>
      </c>
      <c r="K169" s="15">
        <f t="shared" si="12"/>
        <v>4</v>
      </c>
      <c r="L169" s="15">
        <f t="shared" si="14"/>
        <v>7</v>
      </c>
      <c r="M169" s="15" t="str">
        <f t="shared" si="13"/>
        <v>红</v>
      </c>
      <c r="N169" s="15" t="str">
        <f t="shared" si="15"/>
        <v>金币</v>
      </c>
      <c r="O169" s="15">
        <f>IF(L169&gt;1,INDEX(挂机升级突破!$AI$35:$AI$55,卡牌消耗!L169),"")</f>
        <v>59500</v>
      </c>
      <c r="P169" s="15" t="str">
        <f>IF(L169&gt;1,INDEX(价值概述!$A$4:$A$8,INDEX(挂机升级突破!$W$35:$W$55,卡牌消耗!L169)),"")</f>
        <v>蓝色基础材料</v>
      </c>
      <c r="Q169" s="15">
        <f>IF(L169&gt;1,INDEX(挂机升级突破!$Z$35:$AD$55,卡牌消耗!L169,INDEX(挂机升级突破!$W$35:$W$55,卡牌消耗!L169)),"")</f>
        <v>110</v>
      </c>
      <c r="R169" s="15" t="str">
        <f>IF(INDEX(挂机升级突破!$X$35:$X$55,卡牌消耗!L169)&gt;0,INDEX($G$2:$I$2,INDEX(挂机升级突破!$X$35:$X$55,卡牌消耗!L169))&amp;M169,"")</f>
        <v>初级红</v>
      </c>
      <c r="S169" s="15">
        <f>IF(R169="","",INDEX(挂机升级突破!$AE$35:$AG$55,卡牌消耗!L169,INDEX(挂机升级突破!$X$35:$X$55,卡牌消耗!L169)))</f>
        <v>110</v>
      </c>
      <c r="T169" s="15" t="str">
        <f>IF(INDEX(挂机升级突破!$Y$35:$Y$55,卡牌消耗!L169)&gt;0,"灵玉","")</f>
        <v/>
      </c>
      <c r="U169" s="15" t="str">
        <f>IF(INDEX(挂机升级突破!$Y$35:$Y$55,卡牌消耗!L169)&gt;0,INDEX(挂机升级突破!$AH$35:$AH$55,卡牌消耗!L169),"")</f>
        <v/>
      </c>
    </row>
    <row r="170" spans="9:21" ht="16.5" x14ac:dyDescent="0.2">
      <c r="I170" s="35">
        <v>134</v>
      </c>
      <c r="J170" s="15">
        <f t="shared" si="11"/>
        <v>1102007</v>
      </c>
      <c r="K170" s="15">
        <f t="shared" si="12"/>
        <v>4</v>
      </c>
      <c r="L170" s="15">
        <f t="shared" si="14"/>
        <v>8</v>
      </c>
      <c r="M170" s="15" t="str">
        <f t="shared" si="13"/>
        <v>红</v>
      </c>
      <c r="N170" s="15" t="str">
        <f t="shared" si="15"/>
        <v>金币</v>
      </c>
      <c r="O170" s="15">
        <f>IF(L170&gt;1,INDEX(挂机升级突破!$AI$35:$AI$55,卡牌消耗!L170),"")</f>
        <v>65500</v>
      </c>
      <c r="P170" s="15" t="str">
        <f>IF(L170&gt;1,INDEX(价值概述!$A$4:$A$8,INDEX(挂机升级突破!$W$35:$W$55,卡牌消耗!L170)),"")</f>
        <v>蓝色基础材料</v>
      </c>
      <c r="Q170" s="15">
        <f>IF(L170&gt;1,INDEX(挂机升级突破!$Z$35:$AD$55,卡牌消耗!L170,INDEX(挂机升级突破!$W$35:$W$55,卡牌消耗!L170)),"")</f>
        <v>145</v>
      </c>
      <c r="R170" s="15" t="str">
        <f>IF(INDEX(挂机升级突破!$X$35:$X$55,卡牌消耗!L170)&gt;0,INDEX($G$2:$I$2,INDEX(挂机升级突破!$X$35:$X$55,卡牌消耗!L170))&amp;M170,"")</f>
        <v>初级红</v>
      </c>
      <c r="S170" s="15">
        <f>IF(R170="","",INDEX(挂机升级突破!$AE$35:$AG$55,卡牌消耗!L170,INDEX(挂机升级突破!$X$35:$X$55,卡牌消耗!L170)))</f>
        <v>130</v>
      </c>
      <c r="T170" s="15" t="str">
        <f>IF(INDEX(挂机升级突破!$Y$35:$Y$55,卡牌消耗!L170)&gt;0,"灵玉","")</f>
        <v/>
      </c>
      <c r="U170" s="15" t="str">
        <f>IF(INDEX(挂机升级突破!$Y$35:$Y$55,卡牌消耗!L170)&gt;0,INDEX(挂机升级突破!$AH$35:$AH$55,卡牌消耗!L170),"")</f>
        <v/>
      </c>
    </row>
    <row r="171" spans="9:21" ht="16.5" x14ac:dyDescent="0.2">
      <c r="I171" s="35">
        <v>135</v>
      </c>
      <c r="J171" s="15">
        <f t="shared" si="11"/>
        <v>1102007</v>
      </c>
      <c r="K171" s="15">
        <f t="shared" si="12"/>
        <v>4</v>
      </c>
      <c r="L171" s="15">
        <f t="shared" si="14"/>
        <v>9</v>
      </c>
      <c r="M171" s="15" t="str">
        <f t="shared" si="13"/>
        <v>红</v>
      </c>
      <c r="N171" s="15" t="str">
        <f t="shared" si="15"/>
        <v>金币</v>
      </c>
      <c r="O171" s="15">
        <f>IF(L171&gt;1,INDEX(挂机升级突破!$AI$35:$AI$55,卡牌消耗!L171),"")</f>
        <v>76000</v>
      </c>
      <c r="P171" s="15" t="str">
        <f>IF(L171&gt;1,INDEX(价值概述!$A$4:$A$8,INDEX(挂机升级突破!$W$35:$W$55,卡牌消耗!L171)),"")</f>
        <v>紫色基础材料</v>
      </c>
      <c r="Q171" s="15">
        <f>IF(L171&gt;1,INDEX(挂机升级突破!$Z$35:$AD$55,卡牌消耗!L171,INDEX(挂机升级突破!$W$35:$W$55,卡牌消耗!L171)),"")</f>
        <v>70</v>
      </c>
      <c r="R171" s="15" t="str">
        <f>IF(INDEX(挂机升级突破!$X$35:$X$55,卡牌消耗!L171)&gt;0,INDEX($G$2:$I$2,INDEX(挂机升级突破!$X$35:$X$55,卡牌消耗!L171))&amp;M171,"")</f>
        <v>中级红</v>
      </c>
      <c r="S171" s="15">
        <f>IF(R171="","",INDEX(挂机升级突破!$AE$35:$AG$55,卡牌消耗!L171,INDEX(挂机升级突破!$X$35:$X$55,卡牌消耗!L171)))</f>
        <v>55</v>
      </c>
      <c r="T171" s="15" t="str">
        <f>IF(INDEX(挂机升级突破!$Y$35:$Y$55,卡牌消耗!L171)&gt;0,"灵玉","")</f>
        <v/>
      </c>
      <c r="U171" s="15" t="str">
        <f>IF(INDEX(挂机升级突破!$Y$35:$Y$55,卡牌消耗!L171)&gt;0,INDEX(挂机升级突破!$AH$35:$AH$55,卡牌消耗!L171),"")</f>
        <v/>
      </c>
    </row>
    <row r="172" spans="9:21" ht="16.5" x14ac:dyDescent="0.2">
      <c r="I172" s="35">
        <v>136</v>
      </c>
      <c r="J172" s="15">
        <f t="shared" si="11"/>
        <v>1102007</v>
      </c>
      <c r="K172" s="15">
        <f t="shared" si="12"/>
        <v>4</v>
      </c>
      <c r="L172" s="15">
        <f t="shared" si="14"/>
        <v>10</v>
      </c>
      <c r="M172" s="15" t="str">
        <f t="shared" si="13"/>
        <v>红</v>
      </c>
      <c r="N172" s="15" t="str">
        <f t="shared" si="15"/>
        <v>金币</v>
      </c>
      <c r="O172" s="15">
        <f>IF(L172&gt;1,INDEX(挂机升级突破!$AI$35:$AI$55,卡牌消耗!L172),"")</f>
        <v>83000</v>
      </c>
      <c r="P172" s="15" t="str">
        <f>IF(L172&gt;1,INDEX(价值概述!$A$4:$A$8,INDEX(挂机升级突破!$W$35:$W$55,卡牌消耗!L172)),"")</f>
        <v>紫色基础材料</v>
      </c>
      <c r="Q172" s="15">
        <f>IF(L172&gt;1,INDEX(挂机升级突破!$Z$35:$AD$55,卡牌消耗!L172,INDEX(挂机升级突破!$W$35:$W$55,卡牌消耗!L172)),"")</f>
        <v>140</v>
      </c>
      <c r="R172" s="15" t="str">
        <f>IF(INDEX(挂机升级突破!$X$35:$X$55,卡牌消耗!L172)&gt;0,INDEX($G$2:$I$2,INDEX(挂机升级突破!$X$35:$X$55,卡牌消耗!L172))&amp;M172,"")</f>
        <v>中级红</v>
      </c>
      <c r="S172" s="15">
        <f>IF(R172="","",INDEX(挂机升级突破!$AE$35:$AG$55,卡牌消耗!L172,INDEX(挂机升级突破!$X$35:$X$55,卡牌消耗!L172)))</f>
        <v>95</v>
      </c>
      <c r="T172" s="15" t="str">
        <f>IF(INDEX(挂机升级突破!$Y$35:$Y$55,卡牌消耗!L172)&gt;0,"灵玉","")</f>
        <v/>
      </c>
      <c r="U172" s="15" t="str">
        <f>IF(INDEX(挂机升级突破!$Y$35:$Y$55,卡牌消耗!L172)&gt;0,INDEX(挂机升级突破!$AH$35:$AH$55,卡牌消耗!L172),"")</f>
        <v/>
      </c>
    </row>
    <row r="173" spans="9:21" ht="16.5" x14ac:dyDescent="0.2">
      <c r="I173" s="35">
        <v>137</v>
      </c>
      <c r="J173" s="15">
        <f t="shared" si="11"/>
        <v>1102007</v>
      </c>
      <c r="K173" s="15">
        <f t="shared" si="12"/>
        <v>4</v>
      </c>
      <c r="L173" s="15">
        <f t="shared" si="14"/>
        <v>11</v>
      </c>
      <c r="M173" s="15" t="str">
        <f t="shared" si="13"/>
        <v>红</v>
      </c>
      <c r="N173" s="15" t="str">
        <f t="shared" si="15"/>
        <v>金币</v>
      </c>
      <c r="O173" s="15">
        <f>IF(L173&gt;1,INDEX(挂机升级突破!$AI$35:$AI$55,卡牌消耗!L173),"")</f>
        <v>90000</v>
      </c>
      <c r="P173" s="15" t="str">
        <f>IF(L173&gt;1,INDEX(价值概述!$A$4:$A$8,INDEX(挂机升级突破!$W$35:$W$55,卡牌消耗!L173)),"")</f>
        <v>紫色基础材料</v>
      </c>
      <c r="Q173" s="15">
        <f>IF(L173&gt;1,INDEX(挂机升级突破!$Z$35:$AD$55,卡牌消耗!L173,INDEX(挂机升级突破!$W$35:$W$55,卡牌消耗!L173)),"")</f>
        <v>215</v>
      </c>
      <c r="R173" s="15" t="str">
        <f>IF(INDEX(挂机升级突破!$X$35:$X$55,卡牌消耗!L173)&gt;0,INDEX($G$2:$I$2,INDEX(挂机升级突破!$X$35:$X$55,卡牌消耗!L173))&amp;M173,"")</f>
        <v>中级红</v>
      </c>
      <c r="S173" s="15">
        <f>IF(R173="","",INDEX(挂机升级突破!$AE$35:$AG$55,卡牌消耗!L173,INDEX(挂机升级突破!$X$35:$X$55,卡牌消耗!L173)))</f>
        <v>145</v>
      </c>
      <c r="T173" s="15" t="str">
        <f>IF(INDEX(挂机升级突破!$Y$35:$Y$55,卡牌消耗!L173)&gt;0,"灵玉","")</f>
        <v/>
      </c>
      <c r="U173" s="15" t="str">
        <f>IF(INDEX(挂机升级突破!$Y$35:$Y$55,卡牌消耗!L173)&gt;0,INDEX(挂机升级突破!$AH$35:$AH$55,卡牌消耗!L173),"")</f>
        <v/>
      </c>
    </row>
    <row r="174" spans="9:21" ht="16.5" x14ac:dyDescent="0.2">
      <c r="I174" s="35">
        <v>138</v>
      </c>
      <c r="J174" s="15">
        <f t="shared" si="11"/>
        <v>1102007</v>
      </c>
      <c r="K174" s="15">
        <f t="shared" si="12"/>
        <v>4</v>
      </c>
      <c r="L174" s="15">
        <f t="shared" si="14"/>
        <v>12</v>
      </c>
      <c r="M174" s="15" t="str">
        <f t="shared" si="13"/>
        <v>红</v>
      </c>
      <c r="N174" s="15" t="str">
        <f t="shared" si="15"/>
        <v>金币</v>
      </c>
      <c r="O174" s="15">
        <f>IF(L174&gt;1,INDEX(挂机升级突破!$AI$35:$AI$55,卡牌消耗!L174),"")</f>
        <v>97000</v>
      </c>
      <c r="P174" s="15" t="str">
        <f>IF(L174&gt;1,INDEX(价值概述!$A$4:$A$8,INDEX(挂机升级突破!$W$35:$W$55,卡牌消耗!L174)),"")</f>
        <v>紫色基础材料</v>
      </c>
      <c r="Q174" s="15">
        <f>IF(L174&gt;1,INDEX(挂机升级突破!$Z$35:$AD$55,卡牌消耗!L174,INDEX(挂机升级突破!$W$35:$W$55,卡牌消耗!L174)),"")</f>
        <v>285</v>
      </c>
      <c r="R174" s="15" t="str">
        <f>IF(INDEX(挂机升级突破!$X$35:$X$55,卡牌消耗!L174)&gt;0,INDEX($G$2:$I$2,INDEX(挂机升级突破!$X$35:$X$55,卡牌消耗!L174))&amp;M174,"")</f>
        <v>中级红</v>
      </c>
      <c r="S174" s="15">
        <f>IF(R174="","",INDEX(挂机升级突破!$AE$35:$AG$55,卡牌消耗!L174,INDEX(挂机升级突破!$X$35:$X$55,卡牌消耗!L174)))</f>
        <v>185</v>
      </c>
      <c r="T174" s="15" t="str">
        <f>IF(INDEX(挂机升级突破!$Y$35:$Y$55,卡牌消耗!L174)&gt;0,"灵玉","")</f>
        <v/>
      </c>
      <c r="U174" s="15" t="str">
        <f>IF(INDEX(挂机升级突破!$Y$35:$Y$55,卡牌消耗!L174)&gt;0,INDEX(挂机升级突破!$AH$35:$AH$55,卡牌消耗!L174),"")</f>
        <v/>
      </c>
    </row>
    <row r="175" spans="9:21" ht="16.5" x14ac:dyDescent="0.2">
      <c r="I175" s="35">
        <v>139</v>
      </c>
      <c r="J175" s="15">
        <f t="shared" si="11"/>
        <v>1102007</v>
      </c>
      <c r="K175" s="15">
        <f t="shared" si="12"/>
        <v>4</v>
      </c>
      <c r="L175" s="15">
        <f t="shared" si="14"/>
        <v>13</v>
      </c>
      <c r="M175" s="15" t="str">
        <f t="shared" si="13"/>
        <v>红</v>
      </c>
      <c r="N175" s="15" t="str">
        <f t="shared" si="15"/>
        <v>金币</v>
      </c>
      <c r="O175" s="15">
        <f>IF(L175&gt;1,INDEX(挂机升级突破!$AI$35:$AI$55,卡牌消耗!L175),"")</f>
        <v>122000</v>
      </c>
      <c r="P175" s="15" t="str">
        <f>IF(L175&gt;1,INDEX(价值概述!$A$4:$A$8,INDEX(挂机升级突破!$W$35:$W$55,卡牌消耗!L175)),"")</f>
        <v>橙色基础材料</v>
      </c>
      <c r="Q175" s="15">
        <f>IF(L175&gt;1,INDEX(挂机升级突破!$Z$35:$AD$55,卡牌消耗!L175,INDEX(挂机升级突破!$W$35:$W$55,卡牌消耗!L175)),"")</f>
        <v>115</v>
      </c>
      <c r="R175" s="15" t="str">
        <f>IF(INDEX(挂机升级突破!$X$35:$X$55,卡牌消耗!L175)&gt;0,INDEX($G$2:$I$2,INDEX(挂机升级突破!$X$35:$X$55,卡牌消耗!L175))&amp;M175,"")</f>
        <v>中级红</v>
      </c>
      <c r="S175" s="15">
        <f>IF(R175="","",INDEX(挂机升级突破!$AE$35:$AG$55,卡牌消耗!L175,INDEX(挂机升级突破!$X$35:$X$55,卡牌消耗!L175)))</f>
        <v>225</v>
      </c>
      <c r="T175" s="15" t="str">
        <f>IF(INDEX(挂机升级突破!$Y$35:$Y$55,卡牌消耗!L175)&gt;0,"灵玉","")</f>
        <v/>
      </c>
      <c r="U175" s="15" t="str">
        <f>IF(INDEX(挂机升级突破!$Y$35:$Y$55,卡牌消耗!L175)&gt;0,INDEX(挂机升级突破!$AH$35:$AH$55,卡牌消耗!L175),"")</f>
        <v/>
      </c>
    </row>
    <row r="176" spans="9:21" ht="16.5" x14ac:dyDescent="0.2">
      <c r="I176" s="35">
        <v>140</v>
      </c>
      <c r="J176" s="15">
        <f t="shared" si="11"/>
        <v>1102007</v>
      </c>
      <c r="K176" s="15">
        <f t="shared" si="12"/>
        <v>4</v>
      </c>
      <c r="L176" s="15">
        <f t="shared" si="14"/>
        <v>14</v>
      </c>
      <c r="M176" s="15" t="str">
        <f t="shared" si="13"/>
        <v>红</v>
      </c>
      <c r="N176" s="15" t="str">
        <f t="shared" si="15"/>
        <v>金币</v>
      </c>
      <c r="O176" s="15">
        <f>IF(L176&gt;1,INDEX(挂机升级突破!$AI$35:$AI$55,卡牌消耗!L176),"")</f>
        <v>162500</v>
      </c>
      <c r="P176" s="15" t="str">
        <f>IF(L176&gt;1,INDEX(价值概述!$A$4:$A$8,INDEX(挂机升级突破!$W$35:$W$55,卡牌消耗!L176)),"")</f>
        <v>橙色基础材料</v>
      </c>
      <c r="Q176" s="15">
        <f>IF(L176&gt;1,INDEX(挂机升级突破!$Z$35:$AD$55,卡牌消耗!L176,INDEX(挂机升级突破!$W$35:$W$55,卡牌消耗!L176)),"")</f>
        <v>235</v>
      </c>
      <c r="R176" s="15" t="str">
        <f>IF(INDEX(挂机升级突破!$X$35:$X$55,卡牌消耗!L176)&gt;0,INDEX($G$2:$I$2,INDEX(挂机升级突破!$X$35:$X$55,卡牌消耗!L176))&amp;M176,"")</f>
        <v>中级红</v>
      </c>
      <c r="S176" s="15">
        <f>IF(R176="","",INDEX(挂机升级突破!$AE$35:$AG$55,卡牌消耗!L176,INDEX(挂机升级突破!$X$35:$X$55,卡牌消耗!L176)))</f>
        <v>265</v>
      </c>
      <c r="T176" s="15" t="str">
        <f>IF(INDEX(挂机升级突破!$Y$35:$Y$55,卡牌消耗!L176)&gt;0,"灵玉","")</f>
        <v/>
      </c>
      <c r="U176" s="15" t="str">
        <f>IF(INDEX(挂机升级突破!$Y$35:$Y$55,卡牌消耗!L176)&gt;0,INDEX(挂机升级突破!$AH$35:$AH$55,卡牌消耗!L176),"")</f>
        <v/>
      </c>
    </row>
    <row r="177" spans="9:21" ht="16.5" x14ac:dyDescent="0.2">
      <c r="I177" s="35">
        <v>141</v>
      </c>
      <c r="J177" s="15">
        <f t="shared" si="11"/>
        <v>1102007</v>
      </c>
      <c r="K177" s="15">
        <f t="shared" si="12"/>
        <v>4</v>
      </c>
      <c r="L177" s="15">
        <f t="shared" si="14"/>
        <v>15</v>
      </c>
      <c r="M177" s="15" t="str">
        <f t="shared" si="13"/>
        <v>红</v>
      </c>
      <c r="N177" s="15" t="str">
        <f t="shared" si="15"/>
        <v>金币</v>
      </c>
      <c r="O177" s="15">
        <f>IF(L177&gt;1,INDEX(挂机升级突破!$AI$35:$AI$55,卡牌消耗!L177),"")</f>
        <v>190000</v>
      </c>
      <c r="P177" s="15" t="str">
        <f>IF(L177&gt;1,INDEX(价值概述!$A$4:$A$8,INDEX(挂机升级突破!$W$35:$W$55,卡牌消耗!L177)),"")</f>
        <v>橙色基础材料</v>
      </c>
      <c r="Q177" s="15">
        <f>IF(L177&gt;1,INDEX(挂机升级突破!$Z$35:$AD$55,卡牌消耗!L177,INDEX(挂机升级突破!$W$35:$W$55,卡牌消耗!L177)),"")</f>
        <v>355</v>
      </c>
      <c r="R177" s="15" t="str">
        <f>IF(INDEX(挂机升级突破!$X$35:$X$55,卡牌消耗!L177)&gt;0,INDEX($G$2:$I$2,INDEX(挂机升级突破!$X$35:$X$55,卡牌消耗!L177))&amp;M177,"")</f>
        <v>高级红</v>
      </c>
      <c r="S177" s="15">
        <f>IF(R177="","",INDEX(挂机升级突破!$AE$35:$AG$55,卡牌消耗!L177,INDEX(挂机升级突破!$X$35:$X$55,卡牌消耗!L177)))</f>
        <v>45</v>
      </c>
      <c r="T177" s="15" t="str">
        <f>IF(INDEX(挂机升级突破!$Y$35:$Y$55,卡牌消耗!L177)&gt;0,"灵玉","")</f>
        <v/>
      </c>
      <c r="U177" s="15" t="str">
        <f>IF(INDEX(挂机升级突破!$Y$35:$Y$55,卡牌消耗!L177)&gt;0,INDEX(挂机升级突破!$AH$35:$AH$55,卡牌消耗!L177),"")</f>
        <v/>
      </c>
    </row>
    <row r="178" spans="9:21" ht="16.5" x14ac:dyDescent="0.2">
      <c r="I178" s="35">
        <v>142</v>
      </c>
      <c r="J178" s="15">
        <f t="shared" si="11"/>
        <v>1102007</v>
      </c>
      <c r="K178" s="15">
        <f t="shared" si="12"/>
        <v>4</v>
      </c>
      <c r="L178" s="15">
        <f t="shared" si="14"/>
        <v>16</v>
      </c>
      <c r="M178" s="15" t="str">
        <f t="shared" si="13"/>
        <v>红</v>
      </c>
      <c r="N178" s="15" t="str">
        <f t="shared" si="15"/>
        <v>金币</v>
      </c>
      <c r="O178" s="15">
        <f>IF(L178&gt;1,INDEX(挂机升级突破!$AI$35:$AI$55,卡牌消耗!L178),"")</f>
        <v>219000</v>
      </c>
      <c r="P178" s="15" t="str">
        <f>IF(L178&gt;1,INDEX(价值概述!$A$4:$A$8,INDEX(挂机升级突破!$W$35:$W$55,卡牌消耗!L178)),"")</f>
        <v>橙色基础材料</v>
      </c>
      <c r="Q178" s="15">
        <f>IF(L178&gt;1,INDEX(挂机升级突破!$Z$35:$AD$55,卡牌消耗!L178,INDEX(挂机升级突破!$W$35:$W$55,卡牌消耗!L178)),"")</f>
        <v>475</v>
      </c>
      <c r="R178" s="15" t="str">
        <f>IF(INDEX(挂机升级突破!$X$35:$X$55,卡牌消耗!L178)&gt;0,INDEX($G$2:$I$2,INDEX(挂机升级突破!$X$35:$X$55,卡牌消耗!L178))&amp;M178,"")</f>
        <v>高级红</v>
      </c>
      <c r="S178" s="15">
        <f>IF(R178="","",INDEX(挂机升级突破!$AE$35:$AG$55,卡牌消耗!L178,INDEX(挂机升级突破!$X$35:$X$55,卡牌消耗!L178)))</f>
        <v>70</v>
      </c>
      <c r="T178" s="15" t="str">
        <f>IF(INDEX(挂机升级突破!$Y$35:$Y$55,卡牌消耗!L178)&gt;0,"灵玉","")</f>
        <v/>
      </c>
      <c r="U178" s="15" t="str">
        <f>IF(INDEX(挂机升级突破!$Y$35:$Y$55,卡牌消耗!L178)&gt;0,INDEX(挂机升级突破!$AH$35:$AH$55,卡牌消耗!L178),"")</f>
        <v/>
      </c>
    </row>
    <row r="179" spans="9:21" ht="16.5" x14ac:dyDescent="0.2">
      <c r="I179" s="35">
        <v>143</v>
      </c>
      <c r="J179" s="15">
        <f t="shared" si="11"/>
        <v>1102007</v>
      </c>
      <c r="K179" s="15">
        <f t="shared" si="12"/>
        <v>4</v>
      </c>
      <c r="L179" s="15">
        <f t="shared" si="14"/>
        <v>17</v>
      </c>
      <c r="M179" s="15" t="str">
        <f t="shared" si="13"/>
        <v>红</v>
      </c>
      <c r="N179" s="15" t="str">
        <f t="shared" si="15"/>
        <v>金币</v>
      </c>
      <c r="O179" s="15">
        <f>IF(L179&gt;1,INDEX(挂机升级突破!$AI$35:$AI$55,卡牌消耗!L179),"")</f>
        <v>228000</v>
      </c>
      <c r="P179" s="15" t="str">
        <f>IF(L179&gt;1,INDEX(价值概述!$A$4:$A$8,INDEX(挂机升级突破!$W$35:$W$55,卡牌消耗!L179)),"")</f>
        <v>红色基础材料</v>
      </c>
      <c r="Q179" s="15">
        <f>IF(L179&gt;1,INDEX(挂机升级突破!$Z$35:$AD$55,卡牌消耗!L179,INDEX(挂机升级突破!$W$35:$W$55,卡牌消耗!L179)),"")</f>
        <v>45</v>
      </c>
      <c r="R179" s="15" t="str">
        <f>IF(INDEX(挂机升级突破!$X$35:$X$55,卡牌消耗!L179)&gt;0,INDEX($G$2:$I$2,INDEX(挂机升级突破!$X$35:$X$55,卡牌消耗!L179))&amp;M179,"")</f>
        <v>高级红</v>
      </c>
      <c r="S179" s="15">
        <f>IF(R179="","",INDEX(挂机升级突破!$AE$35:$AG$55,卡牌消耗!L179,INDEX(挂机升级突破!$X$35:$X$55,卡牌消耗!L179)))</f>
        <v>100</v>
      </c>
      <c r="T179" s="15" t="str">
        <f>IF(INDEX(挂机升级突破!$Y$35:$Y$55,卡牌消耗!L179)&gt;0,"灵玉","")</f>
        <v>灵玉</v>
      </c>
      <c r="U179" s="15">
        <f>IF(INDEX(挂机升级突破!$Y$35:$Y$55,卡牌消耗!L179)&gt;0,INDEX(挂机升级突破!$AH$35:$AH$55,卡牌消耗!L179),"")</f>
        <v>25</v>
      </c>
    </row>
    <row r="180" spans="9:21" ht="16.5" x14ac:dyDescent="0.2">
      <c r="I180" s="35">
        <v>144</v>
      </c>
      <c r="J180" s="15">
        <f t="shared" si="11"/>
        <v>1102007</v>
      </c>
      <c r="K180" s="15">
        <f t="shared" si="12"/>
        <v>4</v>
      </c>
      <c r="L180" s="15">
        <f t="shared" si="14"/>
        <v>18</v>
      </c>
      <c r="M180" s="15" t="str">
        <f t="shared" si="13"/>
        <v>红</v>
      </c>
      <c r="N180" s="15" t="str">
        <f t="shared" si="15"/>
        <v>金币</v>
      </c>
      <c r="O180" s="15">
        <f>IF(L180&gt;1,INDEX(挂机升级突破!$AI$35:$AI$55,卡牌消耗!L180),"")</f>
        <v>319500</v>
      </c>
      <c r="P180" s="15" t="str">
        <f>IF(L180&gt;1,INDEX(价值概述!$A$4:$A$8,INDEX(挂机升级突破!$W$35:$W$55,卡牌消耗!L180)),"")</f>
        <v>红色基础材料</v>
      </c>
      <c r="Q180" s="15">
        <f>IF(L180&gt;1,INDEX(挂机升级突破!$Z$35:$AD$55,卡牌消耗!L180,INDEX(挂机升级突破!$W$35:$W$55,卡牌消耗!L180)),"")</f>
        <v>65</v>
      </c>
      <c r="R180" s="15" t="str">
        <f>IF(INDEX(挂机升级突破!$X$35:$X$55,卡牌消耗!L180)&gt;0,INDEX($G$2:$I$2,INDEX(挂机升级突破!$X$35:$X$55,卡牌消耗!L180))&amp;M180,"")</f>
        <v>高级红</v>
      </c>
      <c r="S180" s="15">
        <f>IF(R180="","",INDEX(挂机升级突破!$AE$35:$AG$55,卡牌消耗!L180,INDEX(挂机升级突破!$X$35:$X$55,卡牌消耗!L180)))</f>
        <v>125</v>
      </c>
      <c r="T180" s="15" t="str">
        <f>IF(INDEX(挂机升级突破!$Y$35:$Y$55,卡牌消耗!L180)&gt;0,"灵玉","")</f>
        <v>灵玉</v>
      </c>
      <c r="U180" s="15">
        <f>IF(INDEX(挂机升级突破!$Y$35:$Y$55,卡牌消耗!L180)&gt;0,INDEX(挂机升级突破!$AH$35:$AH$55,卡牌消耗!L180),"")</f>
        <v>35</v>
      </c>
    </row>
    <row r="181" spans="9:21" ht="16.5" x14ac:dyDescent="0.2">
      <c r="I181" s="35">
        <v>145</v>
      </c>
      <c r="J181" s="15">
        <f t="shared" si="11"/>
        <v>1102007</v>
      </c>
      <c r="K181" s="15">
        <f t="shared" si="12"/>
        <v>4</v>
      </c>
      <c r="L181" s="15">
        <f t="shared" si="14"/>
        <v>19</v>
      </c>
      <c r="M181" s="15" t="str">
        <f t="shared" si="13"/>
        <v>红</v>
      </c>
      <c r="N181" s="15" t="str">
        <f t="shared" si="15"/>
        <v>金币</v>
      </c>
      <c r="O181" s="15">
        <f>IF(L181&gt;1,INDEX(挂机升级突破!$AI$35:$AI$55,卡牌消耗!L181),"")</f>
        <v>426000</v>
      </c>
      <c r="P181" s="15" t="str">
        <f>IF(L181&gt;1,INDEX(价值概述!$A$4:$A$8,INDEX(挂机升级突破!$W$35:$W$55,卡牌消耗!L181)),"")</f>
        <v>红色基础材料</v>
      </c>
      <c r="Q181" s="15">
        <f>IF(L181&gt;1,INDEX(挂机升级突破!$Z$35:$AD$55,卡牌消耗!L181,INDEX(挂机升级突破!$W$35:$W$55,卡牌消耗!L181)),"")</f>
        <v>90</v>
      </c>
      <c r="R181" s="15" t="str">
        <f>IF(INDEX(挂机升级突破!$X$35:$X$55,卡牌消耗!L181)&gt;0,INDEX($G$2:$I$2,INDEX(挂机升级突破!$X$35:$X$55,卡牌消耗!L181))&amp;M181,"")</f>
        <v>高级红</v>
      </c>
      <c r="S181" s="15">
        <f>IF(R181="","",INDEX(挂机升级突破!$AE$35:$AG$55,卡牌消耗!L181,INDEX(挂机升级突破!$X$35:$X$55,卡牌消耗!L181)))</f>
        <v>155</v>
      </c>
      <c r="T181" s="15" t="str">
        <f>IF(INDEX(挂机升级突破!$Y$35:$Y$55,卡牌消耗!L181)&gt;0,"灵玉","")</f>
        <v>灵玉</v>
      </c>
      <c r="U181" s="15">
        <f>IF(INDEX(挂机升级突破!$Y$35:$Y$55,卡牌消耗!L181)&gt;0,INDEX(挂机升级突破!$AH$35:$AH$55,卡牌消耗!L181),"")</f>
        <v>50</v>
      </c>
    </row>
    <row r="182" spans="9:21" ht="16.5" x14ac:dyDescent="0.2">
      <c r="I182" s="35">
        <v>146</v>
      </c>
      <c r="J182" s="15">
        <f t="shared" si="11"/>
        <v>1102007</v>
      </c>
      <c r="K182" s="15">
        <f t="shared" si="12"/>
        <v>4</v>
      </c>
      <c r="L182" s="15">
        <f t="shared" si="14"/>
        <v>20</v>
      </c>
      <c r="M182" s="15" t="str">
        <f t="shared" si="13"/>
        <v>红</v>
      </c>
      <c r="N182" s="15" t="str">
        <f t="shared" si="15"/>
        <v>金币</v>
      </c>
      <c r="O182" s="15">
        <f>IF(L182&gt;1,INDEX(挂机升级突破!$AI$35:$AI$55,卡牌消耗!L182),"")</f>
        <v>532500</v>
      </c>
      <c r="P182" s="15" t="str">
        <f>IF(L182&gt;1,INDEX(价值概述!$A$4:$A$8,INDEX(挂机升级突破!$W$35:$W$55,卡牌消耗!L182)),"")</f>
        <v>红色基础材料</v>
      </c>
      <c r="Q182" s="15">
        <f>IF(L182&gt;1,INDEX(挂机升级突破!$Z$35:$AD$55,卡牌消耗!L182,INDEX(挂机升级突破!$W$35:$W$55,卡牌消耗!L182)),"")</f>
        <v>110</v>
      </c>
      <c r="R182" s="15" t="str">
        <f>IF(INDEX(挂机升级突破!$X$35:$X$55,卡牌消耗!L182)&gt;0,INDEX($G$2:$I$2,INDEX(挂机升级突破!$X$35:$X$55,卡牌消耗!L182))&amp;M182,"")</f>
        <v>高级红</v>
      </c>
      <c r="S182" s="15">
        <f>IF(R182="","",INDEX(挂机升级突破!$AE$35:$AG$55,卡牌消耗!L182,INDEX(挂机升级突破!$X$35:$X$55,卡牌消耗!L182)))</f>
        <v>180</v>
      </c>
      <c r="T182" s="15" t="str">
        <f>IF(INDEX(挂机升级突破!$Y$35:$Y$55,卡牌消耗!L182)&gt;0,"灵玉","")</f>
        <v>灵玉</v>
      </c>
      <c r="U182" s="15">
        <f>IF(INDEX(挂机升级突破!$Y$35:$Y$55,卡牌消耗!L182)&gt;0,INDEX(挂机升级突破!$AH$35:$AH$55,卡牌消耗!L182),"")</f>
        <v>65</v>
      </c>
    </row>
    <row r="183" spans="9:21" ht="16.5" x14ac:dyDescent="0.2">
      <c r="I183" s="35">
        <v>147</v>
      </c>
      <c r="J183" s="15">
        <f t="shared" si="11"/>
        <v>1102007</v>
      </c>
      <c r="K183" s="15">
        <f t="shared" si="12"/>
        <v>4</v>
      </c>
      <c r="L183" s="15">
        <f t="shared" si="14"/>
        <v>21</v>
      </c>
      <c r="M183" s="15" t="str">
        <f t="shared" si="13"/>
        <v>红</v>
      </c>
      <c r="N183" s="15" t="str">
        <f t="shared" si="15"/>
        <v>金币</v>
      </c>
      <c r="O183" s="15">
        <f>IF(L183&gt;1,INDEX(挂机升级突破!$AI$35:$AI$55,卡牌消耗!L183),"")</f>
        <v>639000</v>
      </c>
      <c r="P183" s="15" t="str">
        <f>IF(L183&gt;1,INDEX(价值概述!$A$4:$A$8,INDEX(挂机升级突破!$W$35:$W$55,卡牌消耗!L183)),"")</f>
        <v>红色基础材料</v>
      </c>
      <c r="Q183" s="15">
        <f>IF(L183&gt;1,INDEX(挂机升级突破!$Z$35:$AD$55,卡牌消耗!L183,INDEX(挂机升级突破!$W$35:$W$55,卡牌消耗!L183)),"")</f>
        <v>135</v>
      </c>
      <c r="R183" s="15" t="str">
        <f>IF(INDEX(挂机升级突破!$X$35:$X$55,卡牌消耗!L183)&gt;0,INDEX($G$2:$I$2,INDEX(挂机升级突破!$X$35:$X$55,卡牌消耗!L183))&amp;M183,"")</f>
        <v>高级红</v>
      </c>
      <c r="S183" s="15">
        <f>IF(R183="","",INDEX(挂机升级突破!$AE$35:$AG$55,卡牌消耗!L183,INDEX(挂机升级突破!$X$35:$X$55,卡牌消耗!L183)))</f>
        <v>225</v>
      </c>
      <c r="T183" s="15" t="str">
        <f>IF(INDEX(挂机升级突破!$Y$35:$Y$55,卡牌消耗!L183)&gt;0,"灵玉","")</f>
        <v>灵玉</v>
      </c>
      <c r="U183" s="15">
        <f>IF(INDEX(挂机升级突破!$Y$35:$Y$55,卡牌消耗!L183)&gt;0,INDEX(挂机升级突破!$AH$35:$AH$55,卡牌消耗!L183),"")</f>
        <v>75</v>
      </c>
    </row>
    <row r="184" spans="9:21" ht="16.5" x14ac:dyDescent="0.2">
      <c r="I184" s="35">
        <v>148</v>
      </c>
      <c r="J184" s="15">
        <f t="shared" si="11"/>
        <v>1102008</v>
      </c>
      <c r="K184" s="15">
        <f t="shared" si="12"/>
        <v>3</v>
      </c>
      <c r="L184" s="15">
        <f t="shared" si="14"/>
        <v>1</v>
      </c>
      <c r="M184" s="15" t="str">
        <f t="shared" si="13"/>
        <v>红</v>
      </c>
      <c r="N184" s="15" t="str">
        <f t="shared" si="15"/>
        <v/>
      </c>
      <c r="O184" s="15" t="str">
        <f>IF(L184&gt;1,INDEX(挂机升级突破!$AI$35:$AI$55,卡牌消耗!L184),"")</f>
        <v/>
      </c>
      <c r="P184" s="15" t="str">
        <f>IF(L184&gt;1,INDEX(价值概述!$A$4:$A$8,INDEX(挂机升级突破!$W$35:$W$55,卡牌消耗!L184)),"")</f>
        <v/>
      </c>
      <c r="Q184" s="15" t="str">
        <f>IF(L184&gt;1,INDEX(挂机升级突破!$Z$35:$AD$55,卡牌消耗!L184,INDEX(挂机升级突破!$W$35:$W$55,卡牌消耗!L184)),"")</f>
        <v/>
      </c>
      <c r="R184" s="15" t="str">
        <f>IF(INDEX(挂机升级突破!$X$35:$X$55,卡牌消耗!L184)&gt;0,INDEX($G$2:$I$2,INDEX(挂机升级突破!$X$35:$X$55,卡牌消耗!L184))&amp;M184,"")</f>
        <v/>
      </c>
      <c r="S184" s="15" t="str">
        <f>IF(R184="","",INDEX(挂机升级突破!$AE$35:$AG$55,卡牌消耗!L184,INDEX(挂机升级突破!$X$35:$X$55,卡牌消耗!L184)))</f>
        <v/>
      </c>
      <c r="T184" s="15" t="str">
        <f>IF(INDEX(挂机升级突破!$Y$35:$Y$55,卡牌消耗!L184)&gt;0,"灵玉","")</f>
        <v/>
      </c>
      <c r="U184" s="15" t="str">
        <f>IF(INDEX(挂机升级突破!$Y$35:$Y$55,卡牌消耗!L184)&gt;0,INDEX(挂机升级突破!$AH$35:$AH$55,卡牌消耗!L184),"")</f>
        <v/>
      </c>
    </row>
    <row r="185" spans="9:21" ht="16.5" x14ac:dyDescent="0.2">
      <c r="I185" s="35">
        <v>149</v>
      </c>
      <c r="J185" s="15">
        <f t="shared" si="11"/>
        <v>1102008</v>
      </c>
      <c r="K185" s="15">
        <f t="shared" si="12"/>
        <v>3</v>
      </c>
      <c r="L185" s="15">
        <f t="shared" si="14"/>
        <v>2</v>
      </c>
      <c r="M185" s="15" t="str">
        <f t="shared" si="13"/>
        <v>红</v>
      </c>
      <c r="N185" s="15" t="str">
        <f t="shared" si="15"/>
        <v>金币</v>
      </c>
      <c r="O185" s="15">
        <f>IF(L185&gt;1,INDEX(挂机升级突破!$AI$35:$AI$55,卡牌消耗!L185),"")</f>
        <v>2500</v>
      </c>
      <c r="P185" s="15" t="str">
        <f>IF(L185&gt;1,INDEX(价值概述!$A$4:$A$8,INDEX(挂机升级突破!$W$35:$W$55,卡牌消耗!L185)),"")</f>
        <v>绿色基础材料</v>
      </c>
      <c r="Q185" s="15">
        <f>IF(L185&gt;1,INDEX(挂机升级突破!$Z$35:$AD$55,卡牌消耗!L185,INDEX(挂机升级突破!$W$35:$W$55,卡牌消耗!L185)),"")</f>
        <v>10</v>
      </c>
      <c r="R185" s="15" t="str">
        <f>IF(INDEX(挂机升级突破!$X$35:$X$55,卡牌消耗!L185)&gt;0,INDEX($G$2:$I$2,INDEX(挂机升级突破!$X$35:$X$55,卡牌消耗!L185))&amp;M185,"")</f>
        <v/>
      </c>
      <c r="S185" s="15" t="str">
        <f>IF(R185="","",INDEX(挂机升级突破!$AE$35:$AG$55,卡牌消耗!L185,INDEX(挂机升级突破!$X$35:$X$55,卡牌消耗!L185)))</f>
        <v/>
      </c>
      <c r="T185" s="15" t="str">
        <f>IF(INDEX(挂机升级突破!$Y$35:$Y$55,卡牌消耗!L185)&gt;0,"灵玉","")</f>
        <v/>
      </c>
      <c r="U185" s="15" t="str">
        <f>IF(INDEX(挂机升级突破!$Y$35:$Y$55,卡牌消耗!L185)&gt;0,INDEX(挂机升级突破!$AH$35:$AH$55,卡牌消耗!L185),"")</f>
        <v/>
      </c>
    </row>
    <row r="186" spans="9:21" ht="16.5" x14ac:dyDescent="0.2">
      <c r="I186" s="35">
        <v>150</v>
      </c>
      <c r="J186" s="15">
        <f t="shared" si="11"/>
        <v>1102008</v>
      </c>
      <c r="K186" s="15">
        <f t="shared" si="12"/>
        <v>3</v>
      </c>
      <c r="L186" s="15">
        <f t="shared" si="14"/>
        <v>3</v>
      </c>
      <c r="M186" s="15" t="str">
        <f t="shared" si="13"/>
        <v>红</v>
      </c>
      <c r="N186" s="15" t="str">
        <f t="shared" si="15"/>
        <v>金币</v>
      </c>
      <c r="O186" s="15">
        <f>IF(L186&gt;1,INDEX(挂机升级突破!$AI$35:$AI$55,卡牌消耗!L186),"")</f>
        <v>8000</v>
      </c>
      <c r="P186" s="15" t="str">
        <f>IF(L186&gt;1,INDEX(价值概述!$A$4:$A$8,INDEX(挂机升级突破!$W$35:$W$55,卡牌消耗!L186)),"")</f>
        <v>绿色基础材料</v>
      </c>
      <c r="Q186" s="15">
        <f>IF(L186&gt;1,INDEX(挂机升级突破!$Z$35:$AD$55,卡牌消耗!L186,INDEX(挂机升级突破!$W$35:$W$55,卡牌消耗!L186)),"")</f>
        <v>40</v>
      </c>
      <c r="R186" s="15" t="str">
        <f>IF(INDEX(挂机升级突破!$X$35:$X$55,卡牌消耗!L186)&gt;0,INDEX($G$2:$I$2,INDEX(挂机升级突破!$X$35:$X$55,卡牌消耗!L186))&amp;M186,"")</f>
        <v/>
      </c>
      <c r="S186" s="15" t="str">
        <f>IF(R186="","",INDEX(挂机升级突破!$AE$35:$AG$55,卡牌消耗!L186,INDEX(挂机升级突破!$X$35:$X$55,卡牌消耗!L186)))</f>
        <v/>
      </c>
      <c r="T186" s="15" t="str">
        <f>IF(INDEX(挂机升级突破!$Y$35:$Y$55,卡牌消耗!L186)&gt;0,"灵玉","")</f>
        <v/>
      </c>
      <c r="U186" s="15" t="str">
        <f>IF(INDEX(挂机升级突破!$Y$35:$Y$55,卡牌消耗!L186)&gt;0,INDEX(挂机升级突破!$AH$35:$AH$55,卡牌消耗!L186),"")</f>
        <v/>
      </c>
    </row>
    <row r="187" spans="9:21" ht="16.5" x14ac:dyDescent="0.2">
      <c r="I187" s="35">
        <v>151</v>
      </c>
      <c r="J187" s="15">
        <f t="shared" si="11"/>
        <v>1102008</v>
      </c>
      <c r="K187" s="15">
        <f t="shared" si="12"/>
        <v>3</v>
      </c>
      <c r="L187" s="15">
        <f t="shared" si="14"/>
        <v>4</v>
      </c>
      <c r="M187" s="15" t="str">
        <f t="shared" si="13"/>
        <v>红</v>
      </c>
      <c r="N187" s="15" t="str">
        <f t="shared" si="15"/>
        <v>金币</v>
      </c>
      <c r="O187" s="15">
        <f>IF(L187&gt;1,INDEX(挂机升级突破!$AI$35:$AI$55,卡牌消耗!L187),"")</f>
        <v>16500</v>
      </c>
      <c r="P187" s="15" t="str">
        <f>IF(L187&gt;1,INDEX(价值概述!$A$4:$A$8,INDEX(挂机升级突破!$W$35:$W$55,卡牌消耗!L187)),"")</f>
        <v>绿色基础材料</v>
      </c>
      <c r="Q187" s="15">
        <f>IF(L187&gt;1,INDEX(挂机升级突破!$Z$35:$AD$55,卡牌消耗!L187,INDEX(挂机升级突破!$W$35:$W$55,卡牌消耗!L187)),"")</f>
        <v>80</v>
      </c>
      <c r="R187" s="15" t="str">
        <f>IF(INDEX(挂机升级突破!$X$35:$X$55,卡牌消耗!L187)&gt;0,INDEX($G$2:$I$2,INDEX(挂机升级突破!$X$35:$X$55,卡牌消耗!L187))&amp;M187,"")</f>
        <v>初级红</v>
      </c>
      <c r="S187" s="15">
        <f>IF(R187="","",INDEX(挂机升级突破!$AE$35:$AG$55,卡牌消耗!L187,INDEX(挂机升级突破!$X$35:$X$55,卡牌消耗!L187)))</f>
        <v>40</v>
      </c>
      <c r="T187" s="15" t="str">
        <f>IF(INDEX(挂机升级突破!$Y$35:$Y$55,卡牌消耗!L187)&gt;0,"灵玉","")</f>
        <v/>
      </c>
      <c r="U187" s="15" t="str">
        <f>IF(INDEX(挂机升级突破!$Y$35:$Y$55,卡牌消耗!L187)&gt;0,INDEX(挂机升级突破!$AH$35:$AH$55,卡牌消耗!L187),"")</f>
        <v/>
      </c>
    </row>
    <row r="188" spans="9:21" ht="16.5" x14ac:dyDescent="0.2">
      <c r="I188" s="35">
        <v>152</v>
      </c>
      <c r="J188" s="15">
        <f t="shared" si="11"/>
        <v>1102008</v>
      </c>
      <c r="K188" s="15">
        <f t="shared" si="12"/>
        <v>3</v>
      </c>
      <c r="L188" s="15">
        <f t="shared" si="14"/>
        <v>5</v>
      </c>
      <c r="M188" s="15" t="str">
        <f t="shared" si="13"/>
        <v>红</v>
      </c>
      <c r="N188" s="15" t="str">
        <f t="shared" si="15"/>
        <v>金币</v>
      </c>
      <c r="O188" s="15">
        <f>IF(L188&gt;1,INDEX(挂机升级突破!$AI$35:$AI$55,卡牌消耗!L188),"")</f>
        <v>22500</v>
      </c>
      <c r="P188" s="15" t="str">
        <f>IF(L188&gt;1,INDEX(价值概述!$A$4:$A$8,INDEX(挂机升级突破!$W$35:$W$55,卡牌消耗!L188)),"")</f>
        <v>蓝色基础材料</v>
      </c>
      <c r="Q188" s="15">
        <f>IF(L188&gt;1,INDEX(挂机升级突破!$Z$35:$AD$55,卡牌消耗!L188,INDEX(挂机升级突破!$W$35:$W$55,卡牌消耗!L188)),"")</f>
        <v>35</v>
      </c>
      <c r="R188" s="15" t="str">
        <f>IF(INDEX(挂机升级突破!$X$35:$X$55,卡牌消耗!L188)&gt;0,INDEX($G$2:$I$2,INDEX(挂机升级突破!$X$35:$X$55,卡牌消耗!L188))&amp;M188,"")</f>
        <v>初级红</v>
      </c>
      <c r="S188" s="15">
        <f>IF(R188="","",INDEX(挂机升级突破!$AE$35:$AG$55,卡牌消耗!L188,INDEX(挂机升级突破!$X$35:$X$55,卡牌消耗!L188)))</f>
        <v>65</v>
      </c>
      <c r="T188" s="15" t="str">
        <f>IF(INDEX(挂机升级突破!$Y$35:$Y$55,卡牌消耗!L188)&gt;0,"灵玉","")</f>
        <v/>
      </c>
      <c r="U188" s="15" t="str">
        <f>IF(INDEX(挂机升级突破!$Y$35:$Y$55,卡牌消耗!L188)&gt;0,INDEX(挂机升级突破!$AH$35:$AH$55,卡牌消耗!L188),"")</f>
        <v/>
      </c>
    </row>
    <row r="189" spans="9:21" ht="16.5" x14ac:dyDescent="0.2">
      <c r="I189" s="35">
        <v>153</v>
      </c>
      <c r="J189" s="15">
        <f t="shared" si="11"/>
        <v>1102008</v>
      </c>
      <c r="K189" s="15">
        <f t="shared" si="12"/>
        <v>3</v>
      </c>
      <c r="L189" s="15">
        <f t="shared" si="14"/>
        <v>6</v>
      </c>
      <c r="M189" s="15" t="str">
        <f t="shared" si="13"/>
        <v>红</v>
      </c>
      <c r="N189" s="15" t="str">
        <f t="shared" si="15"/>
        <v>金币</v>
      </c>
      <c r="O189" s="15">
        <f>IF(L189&gt;1,INDEX(挂机升级突破!$AI$35:$AI$55,卡牌消耗!L189),"")</f>
        <v>53000</v>
      </c>
      <c r="P189" s="15" t="str">
        <f>IF(L189&gt;1,INDEX(价值概述!$A$4:$A$8,INDEX(挂机升级突破!$W$35:$W$55,卡牌消耗!L189)),"")</f>
        <v>蓝色基础材料</v>
      </c>
      <c r="Q189" s="15">
        <f>IF(L189&gt;1,INDEX(挂机升级突破!$Z$35:$AD$55,卡牌消耗!L189,INDEX(挂机升级突破!$W$35:$W$55,卡牌消耗!L189)),"")</f>
        <v>70</v>
      </c>
      <c r="R189" s="15" t="str">
        <f>IF(INDEX(挂机升级突破!$X$35:$X$55,卡牌消耗!L189)&gt;0,INDEX($G$2:$I$2,INDEX(挂机升级突破!$X$35:$X$55,卡牌消耗!L189))&amp;M189,"")</f>
        <v>初级红</v>
      </c>
      <c r="S189" s="15">
        <f>IF(R189="","",INDEX(挂机升级突破!$AE$35:$AG$55,卡牌消耗!L189,INDEX(挂机升级突破!$X$35:$X$55,卡牌消耗!L189)))</f>
        <v>85</v>
      </c>
      <c r="T189" s="15" t="str">
        <f>IF(INDEX(挂机升级突破!$Y$35:$Y$55,卡牌消耗!L189)&gt;0,"灵玉","")</f>
        <v/>
      </c>
      <c r="U189" s="15" t="str">
        <f>IF(INDEX(挂机升级突破!$Y$35:$Y$55,卡牌消耗!L189)&gt;0,INDEX(挂机升级突破!$AH$35:$AH$55,卡牌消耗!L189),"")</f>
        <v/>
      </c>
    </row>
    <row r="190" spans="9:21" ht="16.5" x14ac:dyDescent="0.2">
      <c r="I190" s="35">
        <v>154</v>
      </c>
      <c r="J190" s="15">
        <f t="shared" si="11"/>
        <v>1102008</v>
      </c>
      <c r="K190" s="15">
        <f t="shared" si="12"/>
        <v>3</v>
      </c>
      <c r="L190" s="15">
        <f t="shared" si="14"/>
        <v>7</v>
      </c>
      <c r="M190" s="15" t="str">
        <f t="shared" si="13"/>
        <v>红</v>
      </c>
      <c r="N190" s="15" t="str">
        <f t="shared" si="15"/>
        <v>金币</v>
      </c>
      <c r="O190" s="15">
        <f>IF(L190&gt;1,INDEX(挂机升级突破!$AI$35:$AI$55,卡牌消耗!L190),"")</f>
        <v>59500</v>
      </c>
      <c r="P190" s="15" t="str">
        <f>IF(L190&gt;1,INDEX(价值概述!$A$4:$A$8,INDEX(挂机升级突破!$W$35:$W$55,卡牌消耗!L190)),"")</f>
        <v>蓝色基础材料</v>
      </c>
      <c r="Q190" s="15">
        <f>IF(L190&gt;1,INDEX(挂机升级突破!$Z$35:$AD$55,卡牌消耗!L190,INDEX(挂机升级突破!$W$35:$W$55,卡牌消耗!L190)),"")</f>
        <v>110</v>
      </c>
      <c r="R190" s="15" t="str">
        <f>IF(INDEX(挂机升级突破!$X$35:$X$55,卡牌消耗!L190)&gt;0,INDEX($G$2:$I$2,INDEX(挂机升级突破!$X$35:$X$55,卡牌消耗!L190))&amp;M190,"")</f>
        <v>初级红</v>
      </c>
      <c r="S190" s="15">
        <f>IF(R190="","",INDEX(挂机升级突破!$AE$35:$AG$55,卡牌消耗!L190,INDEX(挂机升级突破!$X$35:$X$55,卡牌消耗!L190)))</f>
        <v>110</v>
      </c>
      <c r="T190" s="15" t="str">
        <f>IF(INDEX(挂机升级突破!$Y$35:$Y$55,卡牌消耗!L190)&gt;0,"灵玉","")</f>
        <v/>
      </c>
      <c r="U190" s="15" t="str">
        <f>IF(INDEX(挂机升级突破!$Y$35:$Y$55,卡牌消耗!L190)&gt;0,INDEX(挂机升级突破!$AH$35:$AH$55,卡牌消耗!L190),"")</f>
        <v/>
      </c>
    </row>
    <row r="191" spans="9:21" ht="16.5" x14ac:dyDescent="0.2">
      <c r="I191" s="35">
        <v>155</v>
      </c>
      <c r="J191" s="15">
        <f t="shared" si="11"/>
        <v>1102008</v>
      </c>
      <c r="K191" s="15">
        <f t="shared" si="12"/>
        <v>3</v>
      </c>
      <c r="L191" s="15">
        <f t="shared" si="14"/>
        <v>8</v>
      </c>
      <c r="M191" s="15" t="str">
        <f t="shared" si="13"/>
        <v>红</v>
      </c>
      <c r="N191" s="15" t="str">
        <f t="shared" si="15"/>
        <v>金币</v>
      </c>
      <c r="O191" s="15">
        <f>IF(L191&gt;1,INDEX(挂机升级突破!$AI$35:$AI$55,卡牌消耗!L191),"")</f>
        <v>65500</v>
      </c>
      <c r="P191" s="15" t="str">
        <f>IF(L191&gt;1,INDEX(价值概述!$A$4:$A$8,INDEX(挂机升级突破!$W$35:$W$55,卡牌消耗!L191)),"")</f>
        <v>蓝色基础材料</v>
      </c>
      <c r="Q191" s="15">
        <f>IF(L191&gt;1,INDEX(挂机升级突破!$Z$35:$AD$55,卡牌消耗!L191,INDEX(挂机升级突破!$W$35:$W$55,卡牌消耗!L191)),"")</f>
        <v>145</v>
      </c>
      <c r="R191" s="15" t="str">
        <f>IF(INDEX(挂机升级突破!$X$35:$X$55,卡牌消耗!L191)&gt;0,INDEX($G$2:$I$2,INDEX(挂机升级突破!$X$35:$X$55,卡牌消耗!L191))&amp;M191,"")</f>
        <v>初级红</v>
      </c>
      <c r="S191" s="15">
        <f>IF(R191="","",INDEX(挂机升级突破!$AE$35:$AG$55,卡牌消耗!L191,INDEX(挂机升级突破!$X$35:$X$55,卡牌消耗!L191)))</f>
        <v>130</v>
      </c>
      <c r="T191" s="15" t="str">
        <f>IF(INDEX(挂机升级突破!$Y$35:$Y$55,卡牌消耗!L191)&gt;0,"灵玉","")</f>
        <v/>
      </c>
      <c r="U191" s="15" t="str">
        <f>IF(INDEX(挂机升级突破!$Y$35:$Y$55,卡牌消耗!L191)&gt;0,INDEX(挂机升级突破!$AH$35:$AH$55,卡牌消耗!L191),"")</f>
        <v/>
      </c>
    </row>
    <row r="192" spans="9:21" ht="16.5" x14ac:dyDescent="0.2">
      <c r="I192" s="35">
        <v>156</v>
      </c>
      <c r="J192" s="15">
        <f t="shared" si="11"/>
        <v>1102008</v>
      </c>
      <c r="K192" s="15">
        <f t="shared" si="12"/>
        <v>3</v>
      </c>
      <c r="L192" s="15">
        <f t="shared" si="14"/>
        <v>9</v>
      </c>
      <c r="M192" s="15" t="str">
        <f t="shared" si="13"/>
        <v>红</v>
      </c>
      <c r="N192" s="15" t="str">
        <f t="shared" si="15"/>
        <v>金币</v>
      </c>
      <c r="O192" s="15">
        <f>IF(L192&gt;1,INDEX(挂机升级突破!$AI$35:$AI$55,卡牌消耗!L192),"")</f>
        <v>76000</v>
      </c>
      <c r="P192" s="15" t="str">
        <f>IF(L192&gt;1,INDEX(价值概述!$A$4:$A$8,INDEX(挂机升级突破!$W$35:$W$55,卡牌消耗!L192)),"")</f>
        <v>紫色基础材料</v>
      </c>
      <c r="Q192" s="15">
        <f>IF(L192&gt;1,INDEX(挂机升级突破!$Z$35:$AD$55,卡牌消耗!L192,INDEX(挂机升级突破!$W$35:$W$55,卡牌消耗!L192)),"")</f>
        <v>70</v>
      </c>
      <c r="R192" s="15" t="str">
        <f>IF(INDEX(挂机升级突破!$X$35:$X$55,卡牌消耗!L192)&gt;0,INDEX($G$2:$I$2,INDEX(挂机升级突破!$X$35:$X$55,卡牌消耗!L192))&amp;M192,"")</f>
        <v>中级红</v>
      </c>
      <c r="S192" s="15">
        <f>IF(R192="","",INDEX(挂机升级突破!$AE$35:$AG$55,卡牌消耗!L192,INDEX(挂机升级突破!$X$35:$X$55,卡牌消耗!L192)))</f>
        <v>55</v>
      </c>
      <c r="T192" s="15" t="str">
        <f>IF(INDEX(挂机升级突破!$Y$35:$Y$55,卡牌消耗!L192)&gt;0,"灵玉","")</f>
        <v/>
      </c>
      <c r="U192" s="15" t="str">
        <f>IF(INDEX(挂机升级突破!$Y$35:$Y$55,卡牌消耗!L192)&gt;0,INDEX(挂机升级突破!$AH$35:$AH$55,卡牌消耗!L192),"")</f>
        <v/>
      </c>
    </row>
    <row r="193" spans="9:21" ht="16.5" x14ac:dyDescent="0.2">
      <c r="I193" s="35">
        <v>157</v>
      </c>
      <c r="J193" s="15">
        <f t="shared" si="11"/>
        <v>1102008</v>
      </c>
      <c r="K193" s="15">
        <f t="shared" si="12"/>
        <v>3</v>
      </c>
      <c r="L193" s="15">
        <f t="shared" si="14"/>
        <v>10</v>
      </c>
      <c r="M193" s="15" t="str">
        <f t="shared" si="13"/>
        <v>红</v>
      </c>
      <c r="N193" s="15" t="str">
        <f t="shared" si="15"/>
        <v>金币</v>
      </c>
      <c r="O193" s="15">
        <f>IF(L193&gt;1,INDEX(挂机升级突破!$AI$35:$AI$55,卡牌消耗!L193),"")</f>
        <v>83000</v>
      </c>
      <c r="P193" s="15" t="str">
        <f>IF(L193&gt;1,INDEX(价值概述!$A$4:$A$8,INDEX(挂机升级突破!$W$35:$W$55,卡牌消耗!L193)),"")</f>
        <v>紫色基础材料</v>
      </c>
      <c r="Q193" s="15">
        <f>IF(L193&gt;1,INDEX(挂机升级突破!$Z$35:$AD$55,卡牌消耗!L193,INDEX(挂机升级突破!$W$35:$W$55,卡牌消耗!L193)),"")</f>
        <v>140</v>
      </c>
      <c r="R193" s="15" t="str">
        <f>IF(INDEX(挂机升级突破!$X$35:$X$55,卡牌消耗!L193)&gt;0,INDEX($G$2:$I$2,INDEX(挂机升级突破!$X$35:$X$55,卡牌消耗!L193))&amp;M193,"")</f>
        <v>中级红</v>
      </c>
      <c r="S193" s="15">
        <f>IF(R193="","",INDEX(挂机升级突破!$AE$35:$AG$55,卡牌消耗!L193,INDEX(挂机升级突破!$X$35:$X$55,卡牌消耗!L193)))</f>
        <v>95</v>
      </c>
      <c r="T193" s="15" t="str">
        <f>IF(INDEX(挂机升级突破!$Y$35:$Y$55,卡牌消耗!L193)&gt;0,"灵玉","")</f>
        <v/>
      </c>
      <c r="U193" s="15" t="str">
        <f>IF(INDEX(挂机升级突破!$Y$35:$Y$55,卡牌消耗!L193)&gt;0,INDEX(挂机升级突破!$AH$35:$AH$55,卡牌消耗!L193),"")</f>
        <v/>
      </c>
    </row>
    <row r="194" spans="9:21" ht="16.5" x14ac:dyDescent="0.2">
      <c r="I194" s="35">
        <v>158</v>
      </c>
      <c r="J194" s="15">
        <f t="shared" si="11"/>
        <v>1102008</v>
      </c>
      <c r="K194" s="15">
        <f t="shared" si="12"/>
        <v>3</v>
      </c>
      <c r="L194" s="15">
        <f t="shared" si="14"/>
        <v>11</v>
      </c>
      <c r="M194" s="15" t="str">
        <f t="shared" si="13"/>
        <v>红</v>
      </c>
      <c r="N194" s="15" t="str">
        <f t="shared" si="15"/>
        <v>金币</v>
      </c>
      <c r="O194" s="15">
        <f>IF(L194&gt;1,INDEX(挂机升级突破!$AI$35:$AI$55,卡牌消耗!L194),"")</f>
        <v>90000</v>
      </c>
      <c r="P194" s="15" t="str">
        <f>IF(L194&gt;1,INDEX(价值概述!$A$4:$A$8,INDEX(挂机升级突破!$W$35:$W$55,卡牌消耗!L194)),"")</f>
        <v>紫色基础材料</v>
      </c>
      <c r="Q194" s="15">
        <f>IF(L194&gt;1,INDEX(挂机升级突破!$Z$35:$AD$55,卡牌消耗!L194,INDEX(挂机升级突破!$W$35:$W$55,卡牌消耗!L194)),"")</f>
        <v>215</v>
      </c>
      <c r="R194" s="15" t="str">
        <f>IF(INDEX(挂机升级突破!$X$35:$X$55,卡牌消耗!L194)&gt;0,INDEX($G$2:$I$2,INDEX(挂机升级突破!$X$35:$X$55,卡牌消耗!L194))&amp;M194,"")</f>
        <v>中级红</v>
      </c>
      <c r="S194" s="15">
        <f>IF(R194="","",INDEX(挂机升级突破!$AE$35:$AG$55,卡牌消耗!L194,INDEX(挂机升级突破!$X$35:$X$55,卡牌消耗!L194)))</f>
        <v>145</v>
      </c>
      <c r="T194" s="15" t="str">
        <f>IF(INDEX(挂机升级突破!$Y$35:$Y$55,卡牌消耗!L194)&gt;0,"灵玉","")</f>
        <v/>
      </c>
      <c r="U194" s="15" t="str">
        <f>IF(INDEX(挂机升级突破!$Y$35:$Y$55,卡牌消耗!L194)&gt;0,INDEX(挂机升级突破!$AH$35:$AH$55,卡牌消耗!L194),"")</f>
        <v/>
      </c>
    </row>
    <row r="195" spans="9:21" ht="16.5" x14ac:dyDescent="0.2">
      <c r="I195" s="35">
        <v>159</v>
      </c>
      <c r="J195" s="15">
        <f t="shared" si="11"/>
        <v>1102008</v>
      </c>
      <c r="K195" s="15">
        <f t="shared" si="12"/>
        <v>3</v>
      </c>
      <c r="L195" s="15">
        <f t="shared" si="14"/>
        <v>12</v>
      </c>
      <c r="M195" s="15" t="str">
        <f t="shared" si="13"/>
        <v>红</v>
      </c>
      <c r="N195" s="15" t="str">
        <f t="shared" si="15"/>
        <v>金币</v>
      </c>
      <c r="O195" s="15">
        <f>IF(L195&gt;1,INDEX(挂机升级突破!$AI$35:$AI$55,卡牌消耗!L195),"")</f>
        <v>97000</v>
      </c>
      <c r="P195" s="15" t="str">
        <f>IF(L195&gt;1,INDEX(价值概述!$A$4:$A$8,INDEX(挂机升级突破!$W$35:$W$55,卡牌消耗!L195)),"")</f>
        <v>紫色基础材料</v>
      </c>
      <c r="Q195" s="15">
        <f>IF(L195&gt;1,INDEX(挂机升级突破!$Z$35:$AD$55,卡牌消耗!L195,INDEX(挂机升级突破!$W$35:$W$55,卡牌消耗!L195)),"")</f>
        <v>285</v>
      </c>
      <c r="R195" s="15" t="str">
        <f>IF(INDEX(挂机升级突破!$X$35:$X$55,卡牌消耗!L195)&gt;0,INDEX($G$2:$I$2,INDEX(挂机升级突破!$X$35:$X$55,卡牌消耗!L195))&amp;M195,"")</f>
        <v>中级红</v>
      </c>
      <c r="S195" s="15">
        <f>IF(R195="","",INDEX(挂机升级突破!$AE$35:$AG$55,卡牌消耗!L195,INDEX(挂机升级突破!$X$35:$X$55,卡牌消耗!L195)))</f>
        <v>185</v>
      </c>
      <c r="T195" s="15" t="str">
        <f>IF(INDEX(挂机升级突破!$Y$35:$Y$55,卡牌消耗!L195)&gt;0,"灵玉","")</f>
        <v/>
      </c>
      <c r="U195" s="15" t="str">
        <f>IF(INDEX(挂机升级突破!$Y$35:$Y$55,卡牌消耗!L195)&gt;0,INDEX(挂机升级突破!$AH$35:$AH$55,卡牌消耗!L195),"")</f>
        <v/>
      </c>
    </row>
    <row r="196" spans="9:21" ht="16.5" x14ac:dyDescent="0.2">
      <c r="I196" s="35">
        <v>160</v>
      </c>
      <c r="J196" s="15">
        <f t="shared" si="11"/>
        <v>1102008</v>
      </c>
      <c r="K196" s="15">
        <f t="shared" si="12"/>
        <v>3</v>
      </c>
      <c r="L196" s="15">
        <f t="shared" si="14"/>
        <v>13</v>
      </c>
      <c r="M196" s="15" t="str">
        <f t="shared" si="13"/>
        <v>红</v>
      </c>
      <c r="N196" s="15" t="str">
        <f t="shared" si="15"/>
        <v>金币</v>
      </c>
      <c r="O196" s="15">
        <f>IF(L196&gt;1,INDEX(挂机升级突破!$AI$35:$AI$55,卡牌消耗!L196),"")</f>
        <v>122000</v>
      </c>
      <c r="P196" s="15" t="str">
        <f>IF(L196&gt;1,INDEX(价值概述!$A$4:$A$8,INDEX(挂机升级突破!$W$35:$W$55,卡牌消耗!L196)),"")</f>
        <v>橙色基础材料</v>
      </c>
      <c r="Q196" s="15">
        <f>IF(L196&gt;1,INDEX(挂机升级突破!$Z$35:$AD$55,卡牌消耗!L196,INDEX(挂机升级突破!$W$35:$W$55,卡牌消耗!L196)),"")</f>
        <v>115</v>
      </c>
      <c r="R196" s="15" t="str">
        <f>IF(INDEX(挂机升级突破!$X$35:$X$55,卡牌消耗!L196)&gt;0,INDEX($G$2:$I$2,INDEX(挂机升级突破!$X$35:$X$55,卡牌消耗!L196))&amp;M196,"")</f>
        <v>中级红</v>
      </c>
      <c r="S196" s="15">
        <f>IF(R196="","",INDEX(挂机升级突破!$AE$35:$AG$55,卡牌消耗!L196,INDEX(挂机升级突破!$X$35:$X$55,卡牌消耗!L196)))</f>
        <v>225</v>
      </c>
      <c r="T196" s="15" t="str">
        <f>IF(INDEX(挂机升级突破!$Y$35:$Y$55,卡牌消耗!L196)&gt;0,"灵玉","")</f>
        <v/>
      </c>
      <c r="U196" s="15" t="str">
        <f>IF(INDEX(挂机升级突破!$Y$35:$Y$55,卡牌消耗!L196)&gt;0,INDEX(挂机升级突破!$AH$35:$AH$55,卡牌消耗!L196),"")</f>
        <v/>
      </c>
    </row>
    <row r="197" spans="9:21" ht="16.5" x14ac:dyDescent="0.2">
      <c r="I197" s="35">
        <v>161</v>
      </c>
      <c r="J197" s="15">
        <f t="shared" si="11"/>
        <v>1102008</v>
      </c>
      <c r="K197" s="15">
        <f t="shared" si="12"/>
        <v>3</v>
      </c>
      <c r="L197" s="15">
        <f t="shared" si="14"/>
        <v>14</v>
      </c>
      <c r="M197" s="15" t="str">
        <f t="shared" si="13"/>
        <v>红</v>
      </c>
      <c r="N197" s="15" t="str">
        <f t="shared" si="15"/>
        <v>金币</v>
      </c>
      <c r="O197" s="15">
        <f>IF(L197&gt;1,INDEX(挂机升级突破!$AI$35:$AI$55,卡牌消耗!L197),"")</f>
        <v>162500</v>
      </c>
      <c r="P197" s="15" t="str">
        <f>IF(L197&gt;1,INDEX(价值概述!$A$4:$A$8,INDEX(挂机升级突破!$W$35:$W$55,卡牌消耗!L197)),"")</f>
        <v>橙色基础材料</v>
      </c>
      <c r="Q197" s="15">
        <f>IF(L197&gt;1,INDEX(挂机升级突破!$Z$35:$AD$55,卡牌消耗!L197,INDEX(挂机升级突破!$W$35:$W$55,卡牌消耗!L197)),"")</f>
        <v>235</v>
      </c>
      <c r="R197" s="15" t="str">
        <f>IF(INDEX(挂机升级突破!$X$35:$X$55,卡牌消耗!L197)&gt;0,INDEX($G$2:$I$2,INDEX(挂机升级突破!$X$35:$X$55,卡牌消耗!L197))&amp;M197,"")</f>
        <v>中级红</v>
      </c>
      <c r="S197" s="15">
        <f>IF(R197="","",INDEX(挂机升级突破!$AE$35:$AG$55,卡牌消耗!L197,INDEX(挂机升级突破!$X$35:$X$55,卡牌消耗!L197)))</f>
        <v>265</v>
      </c>
      <c r="T197" s="15" t="str">
        <f>IF(INDEX(挂机升级突破!$Y$35:$Y$55,卡牌消耗!L197)&gt;0,"灵玉","")</f>
        <v/>
      </c>
      <c r="U197" s="15" t="str">
        <f>IF(INDEX(挂机升级突破!$Y$35:$Y$55,卡牌消耗!L197)&gt;0,INDEX(挂机升级突破!$AH$35:$AH$55,卡牌消耗!L197),"")</f>
        <v/>
      </c>
    </row>
    <row r="198" spans="9:21" ht="16.5" x14ac:dyDescent="0.2">
      <c r="I198" s="35">
        <v>162</v>
      </c>
      <c r="J198" s="15">
        <f t="shared" si="11"/>
        <v>1102008</v>
      </c>
      <c r="K198" s="15">
        <f t="shared" si="12"/>
        <v>3</v>
      </c>
      <c r="L198" s="15">
        <f t="shared" si="14"/>
        <v>15</v>
      </c>
      <c r="M198" s="15" t="str">
        <f t="shared" si="13"/>
        <v>红</v>
      </c>
      <c r="N198" s="15" t="str">
        <f t="shared" si="15"/>
        <v>金币</v>
      </c>
      <c r="O198" s="15">
        <f>IF(L198&gt;1,INDEX(挂机升级突破!$AI$35:$AI$55,卡牌消耗!L198),"")</f>
        <v>190000</v>
      </c>
      <c r="P198" s="15" t="str">
        <f>IF(L198&gt;1,INDEX(价值概述!$A$4:$A$8,INDEX(挂机升级突破!$W$35:$W$55,卡牌消耗!L198)),"")</f>
        <v>橙色基础材料</v>
      </c>
      <c r="Q198" s="15">
        <f>IF(L198&gt;1,INDEX(挂机升级突破!$Z$35:$AD$55,卡牌消耗!L198,INDEX(挂机升级突破!$W$35:$W$55,卡牌消耗!L198)),"")</f>
        <v>355</v>
      </c>
      <c r="R198" s="15" t="str">
        <f>IF(INDEX(挂机升级突破!$X$35:$X$55,卡牌消耗!L198)&gt;0,INDEX($G$2:$I$2,INDEX(挂机升级突破!$X$35:$X$55,卡牌消耗!L198))&amp;M198,"")</f>
        <v>高级红</v>
      </c>
      <c r="S198" s="15">
        <f>IF(R198="","",INDEX(挂机升级突破!$AE$35:$AG$55,卡牌消耗!L198,INDEX(挂机升级突破!$X$35:$X$55,卡牌消耗!L198)))</f>
        <v>45</v>
      </c>
      <c r="T198" s="15" t="str">
        <f>IF(INDEX(挂机升级突破!$Y$35:$Y$55,卡牌消耗!L198)&gt;0,"灵玉","")</f>
        <v/>
      </c>
      <c r="U198" s="15" t="str">
        <f>IF(INDEX(挂机升级突破!$Y$35:$Y$55,卡牌消耗!L198)&gt;0,INDEX(挂机升级突破!$AH$35:$AH$55,卡牌消耗!L198),"")</f>
        <v/>
      </c>
    </row>
    <row r="199" spans="9:21" ht="16.5" x14ac:dyDescent="0.2">
      <c r="I199" s="35">
        <v>163</v>
      </c>
      <c r="J199" s="15">
        <f t="shared" si="11"/>
        <v>1102008</v>
      </c>
      <c r="K199" s="15">
        <f t="shared" si="12"/>
        <v>3</v>
      </c>
      <c r="L199" s="15">
        <f t="shared" si="14"/>
        <v>16</v>
      </c>
      <c r="M199" s="15" t="str">
        <f t="shared" si="13"/>
        <v>红</v>
      </c>
      <c r="N199" s="15" t="str">
        <f t="shared" si="15"/>
        <v>金币</v>
      </c>
      <c r="O199" s="15">
        <f>IF(L199&gt;1,INDEX(挂机升级突破!$AI$35:$AI$55,卡牌消耗!L199),"")</f>
        <v>219000</v>
      </c>
      <c r="P199" s="15" t="str">
        <f>IF(L199&gt;1,INDEX(价值概述!$A$4:$A$8,INDEX(挂机升级突破!$W$35:$W$55,卡牌消耗!L199)),"")</f>
        <v>橙色基础材料</v>
      </c>
      <c r="Q199" s="15">
        <f>IF(L199&gt;1,INDEX(挂机升级突破!$Z$35:$AD$55,卡牌消耗!L199,INDEX(挂机升级突破!$W$35:$W$55,卡牌消耗!L199)),"")</f>
        <v>475</v>
      </c>
      <c r="R199" s="15" t="str">
        <f>IF(INDEX(挂机升级突破!$X$35:$X$55,卡牌消耗!L199)&gt;0,INDEX($G$2:$I$2,INDEX(挂机升级突破!$X$35:$X$55,卡牌消耗!L199))&amp;M199,"")</f>
        <v>高级红</v>
      </c>
      <c r="S199" s="15">
        <f>IF(R199="","",INDEX(挂机升级突破!$AE$35:$AG$55,卡牌消耗!L199,INDEX(挂机升级突破!$X$35:$X$55,卡牌消耗!L199)))</f>
        <v>70</v>
      </c>
      <c r="T199" s="15" t="str">
        <f>IF(INDEX(挂机升级突破!$Y$35:$Y$55,卡牌消耗!L199)&gt;0,"灵玉","")</f>
        <v/>
      </c>
      <c r="U199" s="15" t="str">
        <f>IF(INDEX(挂机升级突破!$Y$35:$Y$55,卡牌消耗!L199)&gt;0,INDEX(挂机升级突破!$AH$35:$AH$55,卡牌消耗!L199),"")</f>
        <v/>
      </c>
    </row>
    <row r="200" spans="9:21" ht="16.5" x14ac:dyDescent="0.2">
      <c r="I200" s="35">
        <v>164</v>
      </c>
      <c r="J200" s="15">
        <f t="shared" si="11"/>
        <v>1102008</v>
      </c>
      <c r="K200" s="15">
        <f t="shared" si="12"/>
        <v>3</v>
      </c>
      <c r="L200" s="15">
        <f t="shared" si="14"/>
        <v>17</v>
      </c>
      <c r="M200" s="15" t="str">
        <f t="shared" si="13"/>
        <v>红</v>
      </c>
      <c r="N200" s="15" t="str">
        <f t="shared" si="15"/>
        <v>金币</v>
      </c>
      <c r="O200" s="15">
        <f>IF(L200&gt;1,INDEX(挂机升级突破!$AI$35:$AI$55,卡牌消耗!L200),"")</f>
        <v>228000</v>
      </c>
      <c r="P200" s="15" t="str">
        <f>IF(L200&gt;1,INDEX(价值概述!$A$4:$A$8,INDEX(挂机升级突破!$W$35:$W$55,卡牌消耗!L200)),"")</f>
        <v>红色基础材料</v>
      </c>
      <c r="Q200" s="15">
        <f>IF(L200&gt;1,INDEX(挂机升级突破!$Z$35:$AD$55,卡牌消耗!L200,INDEX(挂机升级突破!$W$35:$W$55,卡牌消耗!L200)),"")</f>
        <v>45</v>
      </c>
      <c r="R200" s="15" t="str">
        <f>IF(INDEX(挂机升级突破!$X$35:$X$55,卡牌消耗!L200)&gt;0,INDEX($G$2:$I$2,INDEX(挂机升级突破!$X$35:$X$55,卡牌消耗!L200))&amp;M200,"")</f>
        <v>高级红</v>
      </c>
      <c r="S200" s="15">
        <f>IF(R200="","",INDEX(挂机升级突破!$AE$35:$AG$55,卡牌消耗!L200,INDEX(挂机升级突破!$X$35:$X$55,卡牌消耗!L200)))</f>
        <v>100</v>
      </c>
      <c r="T200" s="15" t="str">
        <f>IF(INDEX(挂机升级突破!$Y$35:$Y$55,卡牌消耗!L200)&gt;0,"灵玉","")</f>
        <v>灵玉</v>
      </c>
      <c r="U200" s="15">
        <f>IF(INDEX(挂机升级突破!$Y$35:$Y$55,卡牌消耗!L200)&gt;0,INDEX(挂机升级突破!$AH$35:$AH$55,卡牌消耗!L200),"")</f>
        <v>25</v>
      </c>
    </row>
    <row r="201" spans="9:21" ht="16.5" x14ac:dyDescent="0.2">
      <c r="I201" s="35">
        <v>165</v>
      </c>
      <c r="J201" s="15">
        <f t="shared" si="11"/>
        <v>1102008</v>
      </c>
      <c r="K201" s="15">
        <f t="shared" si="12"/>
        <v>3</v>
      </c>
      <c r="L201" s="15">
        <f t="shared" si="14"/>
        <v>18</v>
      </c>
      <c r="M201" s="15" t="str">
        <f t="shared" si="13"/>
        <v>红</v>
      </c>
      <c r="N201" s="15" t="str">
        <f t="shared" si="15"/>
        <v>金币</v>
      </c>
      <c r="O201" s="15">
        <f>IF(L201&gt;1,INDEX(挂机升级突破!$AI$35:$AI$55,卡牌消耗!L201),"")</f>
        <v>319500</v>
      </c>
      <c r="P201" s="15" t="str">
        <f>IF(L201&gt;1,INDEX(价值概述!$A$4:$A$8,INDEX(挂机升级突破!$W$35:$W$55,卡牌消耗!L201)),"")</f>
        <v>红色基础材料</v>
      </c>
      <c r="Q201" s="15">
        <f>IF(L201&gt;1,INDEX(挂机升级突破!$Z$35:$AD$55,卡牌消耗!L201,INDEX(挂机升级突破!$W$35:$W$55,卡牌消耗!L201)),"")</f>
        <v>65</v>
      </c>
      <c r="R201" s="15" t="str">
        <f>IF(INDEX(挂机升级突破!$X$35:$X$55,卡牌消耗!L201)&gt;0,INDEX($G$2:$I$2,INDEX(挂机升级突破!$X$35:$X$55,卡牌消耗!L201))&amp;M201,"")</f>
        <v>高级红</v>
      </c>
      <c r="S201" s="15">
        <f>IF(R201="","",INDEX(挂机升级突破!$AE$35:$AG$55,卡牌消耗!L201,INDEX(挂机升级突破!$X$35:$X$55,卡牌消耗!L201)))</f>
        <v>125</v>
      </c>
      <c r="T201" s="15" t="str">
        <f>IF(INDEX(挂机升级突破!$Y$35:$Y$55,卡牌消耗!L201)&gt;0,"灵玉","")</f>
        <v>灵玉</v>
      </c>
      <c r="U201" s="15">
        <f>IF(INDEX(挂机升级突破!$Y$35:$Y$55,卡牌消耗!L201)&gt;0,INDEX(挂机升级突破!$AH$35:$AH$55,卡牌消耗!L201),"")</f>
        <v>35</v>
      </c>
    </row>
    <row r="202" spans="9:21" ht="16.5" x14ac:dyDescent="0.2">
      <c r="I202" s="35">
        <v>166</v>
      </c>
      <c r="J202" s="15">
        <f t="shared" si="11"/>
        <v>1102008</v>
      </c>
      <c r="K202" s="15">
        <f t="shared" si="12"/>
        <v>3</v>
      </c>
      <c r="L202" s="15">
        <f t="shared" si="14"/>
        <v>19</v>
      </c>
      <c r="M202" s="15" t="str">
        <f t="shared" si="13"/>
        <v>红</v>
      </c>
      <c r="N202" s="15" t="str">
        <f t="shared" si="15"/>
        <v>金币</v>
      </c>
      <c r="O202" s="15">
        <f>IF(L202&gt;1,INDEX(挂机升级突破!$AI$35:$AI$55,卡牌消耗!L202),"")</f>
        <v>426000</v>
      </c>
      <c r="P202" s="15" t="str">
        <f>IF(L202&gt;1,INDEX(价值概述!$A$4:$A$8,INDEX(挂机升级突破!$W$35:$W$55,卡牌消耗!L202)),"")</f>
        <v>红色基础材料</v>
      </c>
      <c r="Q202" s="15">
        <f>IF(L202&gt;1,INDEX(挂机升级突破!$Z$35:$AD$55,卡牌消耗!L202,INDEX(挂机升级突破!$W$35:$W$55,卡牌消耗!L202)),"")</f>
        <v>90</v>
      </c>
      <c r="R202" s="15" t="str">
        <f>IF(INDEX(挂机升级突破!$X$35:$X$55,卡牌消耗!L202)&gt;0,INDEX($G$2:$I$2,INDEX(挂机升级突破!$X$35:$X$55,卡牌消耗!L202))&amp;M202,"")</f>
        <v>高级红</v>
      </c>
      <c r="S202" s="15">
        <f>IF(R202="","",INDEX(挂机升级突破!$AE$35:$AG$55,卡牌消耗!L202,INDEX(挂机升级突破!$X$35:$X$55,卡牌消耗!L202)))</f>
        <v>155</v>
      </c>
      <c r="T202" s="15" t="str">
        <f>IF(INDEX(挂机升级突破!$Y$35:$Y$55,卡牌消耗!L202)&gt;0,"灵玉","")</f>
        <v>灵玉</v>
      </c>
      <c r="U202" s="15">
        <f>IF(INDEX(挂机升级突破!$Y$35:$Y$55,卡牌消耗!L202)&gt;0,INDEX(挂机升级突破!$AH$35:$AH$55,卡牌消耗!L202),"")</f>
        <v>50</v>
      </c>
    </row>
    <row r="203" spans="9:21" ht="16.5" x14ac:dyDescent="0.2">
      <c r="I203" s="35">
        <v>167</v>
      </c>
      <c r="J203" s="15">
        <f t="shared" si="11"/>
        <v>1102008</v>
      </c>
      <c r="K203" s="15">
        <f t="shared" si="12"/>
        <v>3</v>
      </c>
      <c r="L203" s="15">
        <f t="shared" si="14"/>
        <v>20</v>
      </c>
      <c r="M203" s="15" t="str">
        <f t="shared" si="13"/>
        <v>红</v>
      </c>
      <c r="N203" s="15" t="str">
        <f t="shared" si="15"/>
        <v>金币</v>
      </c>
      <c r="O203" s="15">
        <f>IF(L203&gt;1,INDEX(挂机升级突破!$AI$35:$AI$55,卡牌消耗!L203),"")</f>
        <v>532500</v>
      </c>
      <c r="P203" s="15" t="str">
        <f>IF(L203&gt;1,INDEX(价值概述!$A$4:$A$8,INDEX(挂机升级突破!$W$35:$W$55,卡牌消耗!L203)),"")</f>
        <v>红色基础材料</v>
      </c>
      <c r="Q203" s="15">
        <f>IF(L203&gt;1,INDEX(挂机升级突破!$Z$35:$AD$55,卡牌消耗!L203,INDEX(挂机升级突破!$W$35:$W$55,卡牌消耗!L203)),"")</f>
        <v>110</v>
      </c>
      <c r="R203" s="15" t="str">
        <f>IF(INDEX(挂机升级突破!$X$35:$X$55,卡牌消耗!L203)&gt;0,INDEX($G$2:$I$2,INDEX(挂机升级突破!$X$35:$X$55,卡牌消耗!L203))&amp;M203,"")</f>
        <v>高级红</v>
      </c>
      <c r="S203" s="15">
        <f>IF(R203="","",INDEX(挂机升级突破!$AE$35:$AG$55,卡牌消耗!L203,INDEX(挂机升级突破!$X$35:$X$55,卡牌消耗!L203)))</f>
        <v>180</v>
      </c>
      <c r="T203" s="15" t="str">
        <f>IF(INDEX(挂机升级突破!$Y$35:$Y$55,卡牌消耗!L203)&gt;0,"灵玉","")</f>
        <v>灵玉</v>
      </c>
      <c r="U203" s="15">
        <f>IF(INDEX(挂机升级突破!$Y$35:$Y$55,卡牌消耗!L203)&gt;0,INDEX(挂机升级突破!$AH$35:$AH$55,卡牌消耗!L203),"")</f>
        <v>65</v>
      </c>
    </row>
    <row r="204" spans="9:21" ht="16.5" x14ac:dyDescent="0.2">
      <c r="I204" s="35">
        <v>168</v>
      </c>
      <c r="J204" s="15">
        <f t="shared" si="11"/>
        <v>1102008</v>
      </c>
      <c r="K204" s="15">
        <f t="shared" si="12"/>
        <v>3</v>
      </c>
      <c r="L204" s="15">
        <f t="shared" si="14"/>
        <v>21</v>
      </c>
      <c r="M204" s="15" t="str">
        <f t="shared" si="13"/>
        <v>红</v>
      </c>
      <c r="N204" s="15" t="str">
        <f t="shared" si="15"/>
        <v>金币</v>
      </c>
      <c r="O204" s="15">
        <f>IF(L204&gt;1,INDEX(挂机升级突破!$AI$35:$AI$55,卡牌消耗!L204),"")</f>
        <v>639000</v>
      </c>
      <c r="P204" s="15" t="str">
        <f>IF(L204&gt;1,INDEX(价值概述!$A$4:$A$8,INDEX(挂机升级突破!$W$35:$W$55,卡牌消耗!L204)),"")</f>
        <v>红色基础材料</v>
      </c>
      <c r="Q204" s="15">
        <f>IF(L204&gt;1,INDEX(挂机升级突破!$Z$35:$AD$55,卡牌消耗!L204,INDEX(挂机升级突破!$W$35:$W$55,卡牌消耗!L204)),"")</f>
        <v>135</v>
      </c>
      <c r="R204" s="15" t="str">
        <f>IF(INDEX(挂机升级突破!$X$35:$X$55,卡牌消耗!L204)&gt;0,INDEX($G$2:$I$2,INDEX(挂机升级突破!$X$35:$X$55,卡牌消耗!L204))&amp;M204,"")</f>
        <v>高级红</v>
      </c>
      <c r="S204" s="15">
        <f>IF(R204="","",INDEX(挂机升级突破!$AE$35:$AG$55,卡牌消耗!L204,INDEX(挂机升级突破!$X$35:$X$55,卡牌消耗!L204)))</f>
        <v>225</v>
      </c>
      <c r="T204" s="15" t="str">
        <f>IF(INDEX(挂机升级突破!$Y$35:$Y$55,卡牌消耗!L204)&gt;0,"灵玉","")</f>
        <v>灵玉</v>
      </c>
      <c r="U204" s="15">
        <f>IF(INDEX(挂机升级突破!$Y$35:$Y$55,卡牌消耗!L204)&gt;0,INDEX(挂机升级突破!$AH$35:$AH$55,卡牌消耗!L204),"")</f>
        <v>75</v>
      </c>
    </row>
    <row r="205" spans="9:21" ht="16.5" x14ac:dyDescent="0.2">
      <c r="I205" s="35">
        <v>169</v>
      </c>
      <c r="J205" s="15">
        <f t="shared" si="11"/>
        <v>1102009</v>
      </c>
      <c r="K205" s="15">
        <f t="shared" si="12"/>
        <v>4</v>
      </c>
      <c r="L205" s="15">
        <f t="shared" si="14"/>
        <v>1</v>
      </c>
      <c r="M205" s="15" t="str">
        <f t="shared" si="13"/>
        <v>黄</v>
      </c>
      <c r="N205" s="15" t="str">
        <f t="shared" si="15"/>
        <v/>
      </c>
      <c r="O205" s="15" t="str">
        <f>IF(L205&gt;1,INDEX(挂机升级突破!$AI$35:$AI$55,卡牌消耗!L205),"")</f>
        <v/>
      </c>
      <c r="P205" s="15" t="str">
        <f>IF(L205&gt;1,INDEX(价值概述!$A$4:$A$8,INDEX(挂机升级突破!$W$35:$W$55,卡牌消耗!L205)),"")</f>
        <v/>
      </c>
      <c r="Q205" s="15" t="str">
        <f>IF(L205&gt;1,INDEX(挂机升级突破!$Z$35:$AD$55,卡牌消耗!L205,INDEX(挂机升级突破!$W$35:$W$55,卡牌消耗!L205)),"")</f>
        <v/>
      </c>
      <c r="R205" s="15" t="str">
        <f>IF(INDEX(挂机升级突破!$X$35:$X$55,卡牌消耗!L205)&gt;0,INDEX($G$2:$I$2,INDEX(挂机升级突破!$X$35:$X$55,卡牌消耗!L205))&amp;M205,"")</f>
        <v/>
      </c>
      <c r="S205" s="15" t="str">
        <f>IF(R205="","",INDEX(挂机升级突破!$AE$35:$AG$55,卡牌消耗!L205,INDEX(挂机升级突破!$X$35:$X$55,卡牌消耗!L205)))</f>
        <v/>
      </c>
      <c r="T205" s="15" t="str">
        <f>IF(INDEX(挂机升级突破!$Y$35:$Y$55,卡牌消耗!L205)&gt;0,"灵玉","")</f>
        <v/>
      </c>
      <c r="U205" s="15" t="str">
        <f>IF(INDEX(挂机升级突破!$Y$35:$Y$55,卡牌消耗!L205)&gt;0,INDEX(挂机升级突破!$AH$35:$AH$55,卡牌消耗!L205),"")</f>
        <v/>
      </c>
    </row>
    <row r="206" spans="9:21" ht="16.5" x14ac:dyDescent="0.2">
      <c r="I206" s="35">
        <v>170</v>
      </c>
      <c r="J206" s="15">
        <f t="shared" si="11"/>
        <v>1102009</v>
      </c>
      <c r="K206" s="15">
        <f t="shared" si="12"/>
        <v>4</v>
      </c>
      <c r="L206" s="15">
        <f t="shared" si="14"/>
        <v>2</v>
      </c>
      <c r="M206" s="15" t="str">
        <f t="shared" si="13"/>
        <v>黄</v>
      </c>
      <c r="N206" s="15" t="str">
        <f t="shared" si="15"/>
        <v>金币</v>
      </c>
      <c r="O206" s="15">
        <f>IF(L206&gt;1,INDEX(挂机升级突破!$AI$35:$AI$55,卡牌消耗!L206),"")</f>
        <v>2500</v>
      </c>
      <c r="P206" s="15" t="str">
        <f>IF(L206&gt;1,INDEX(价值概述!$A$4:$A$8,INDEX(挂机升级突破!$W$35:$W$55,卡牌消耗!L206)),"")</f>
        <v>绿色基础材料</v>
      </c>
      <c r="Q206" s="15">
        <f>IF(L206&gt;1,INDEX(挂机升级突破!$Z$35:$AD$55,卡牌消耗!L206,INDEX(挂机升级突破!$W$35:$W$55,卡牌消耗!L206)),"")</f>
        <v>10</v>
      </c>
      <c r="R206" s="15" t="str">
        <f>IF(INDEX(挂机升级突破!$X$35:$X$55,卡牌消耗!L206)&gt;0,INDEX($G$2:$I$2,INDEX(挂机升级突破!$X$35:$X$55,卡牌消耗!L206))&amp;M206,"")</f>
        <v/>
      </c>
      <c r="S206" s="15" t="str">
        <f>IF(R206="","",INDEX(挂机升级突破!$AE$35:$AG$55,卡牌消耗!L206,INDEX(挂机升级突破!$X$35:$X$55,卡牌消耗!L206)))</f>
        <v/>
      </c>
      <c r="T206" s="15" t="str">
        <f>IF(INDEX(挂机升级突破!$Y$35:$Y$55,卡牌消耗!L206)&gt;0,"灵玉","")</f>
        <v/>
      </c>
      <c r="U206" s="15" t="str">
        <f>IF(INDEX(挂机升级突破!$Y$35:$Y$55,卡牌消耗!L206)&gt;0,INDEX(挂机升级突破!$AH$35:$AH$55,卡牌消耗!L206),"")</f>
        <v/>
      </c>
    </row>
    <row r="207" spans="9:21" ht="16.5" x14ac:dyDescent="0.2">
      <c r="I207" s="35">
        <v>171</v>
      </c>
      <c r="J207" s="15">
        <f t="shared" si="11"/>
        <v>1102009</v>
      </c>
      <c r="K207" s="15">
        <f t="shared" si="12"/>
        <v>4</v>
      </c>
      <c r="L207" s="15">
        <f t="shared" si="14"/>
        <v>3</v>
      </c>
      <c r="M207" s="15" t="str">
        <f t="shared" si="13"/>
        <v>黄</v>
      </c>
      <c r="N207" s="15" t="str">
        <f t="shared" si="15"/>
        <v>金币</v>
      </c>
      <c r="O207" s="15">
        <f>IF(L207&gt;1,INDEX(挂机升级突破!$AI$35:$AI$55,卡牌消耗!L207),"")</f>
        <v>8000</v>
      </c>
      <c r="P207" s="15" t="str">
        <f>IF(L207&gt;1,INDEX(价值概述!$A$4:$A$8,INDEX(挂机升级突破!$W$35:$W$55,卡牌消耗!L207)),"")</f>
        <v>绿色基础材料</v>
      </c>
      <c r="Q207" s="15">
        <f>IF(L207&gt;1,INDEX(挂机升级突破!$Z$35:$AD$55,卡牌消耗!L207,INDEX(挂机升级突破!$W$35:$W$55,卡牌消耗!L207)),"")</f>
        <v>40</v>
      </c>
      <c r="R207" s="15" t="str">
        <f>IF(INDEX(挂机升级突破!$X$35:$X$55,卡牌消耗!L207)&gt;0,INDEX($G$2:$I$2,INDEX(挂机升级突破!$X$35:$X$55,卡牌消耗!L207))&amp;M207,"")</f>
        <v/>
      </c>
      <c r="S207" s="15" t="str">
        <f>IF(R207="","",INDEX(挂机升级突破!$AE$35:$AG$55,卡牌消耗!L207,INDEX(挂机升级突破!$X$35:$X$55,卡牌消耗!L207)))</f>
        <v/>
      </c>
      <c r="T207" s="15" t="str">
        <f>IF(INDEX(挂机升级突破!$Y$35:$Y$55,卡牌消耗!L207)&gt;0,"灵玉","")</f>
        <v/>
      </c>
      <c r="U207" s="15" t="str">
        <f>IF(INDEX(挂机升级突破!$Y$35:$Y$55,卡牌消耗!L207)&gt;0,INDEX(挂机升级突破!$AH$35:$AH$55,卡牌消耗!L207),"")</f>
        <v/>
      </c>
    </row>
    <row r="208" spans="9:21" ht="16.5" x14ac:dyDescent="0.2">
      <c r="I208" s="35">
        <v>172</v>
      </c>
      <c r="J208" s="15">
        <f t="shared" si="11"/>
        <v>1102009</v>
      </c>
      <c r="K208" s="15">
        <f t="shared" si="12"/>
        <v>4</v>
      </c>
      <c r="L208" s="15">
        <f t="shared" si="14"/>
        <v>4</v>
      </c>
      <c r="M208" s="15" t="str">
        <f t="shared" si="13"/>
        <v>黄</v>
      </c>
      <c r="N208" s="15" t="str">
        <f t="shared" si="15"/>
        <v>金币</v>
      </c>
      <c r="O208" s="15">
        <f>IF(L208&gt;1,INDEX(挂机升级突破!$AI$35:$AI$55,卡牌消耗!L208),"")</f>
        <v>16500</v>
      </c>
      <c r="P208" s="15" t="str">
        <f>IF(L208&gt;1,INDEX(价值概述!$A$4:$A$8,INDEX(挂机升级突破!$W$35:$W$55,卡牌消耗!L208)),"")</f>
        <v>绿色基础材料</v>
      </c>
      <c r="Q208" s="15">
        <f>IF(L208&gt;1,INDEX(挂机升级突破!$Z$35:$AD$55,卡牌消耗!L208,INDEX(挂机升级突破!$W$35:$W$55,卡牌消耗!L208)),"")</f>
        <v>80</v>
      </c>
      <c r="R208" s="15" t="str">
        <f>IF(INDEX(挂机升级突破!$X$35:$X$55,卡牌消耗!L208)&gt;0,INDEX($G$2:$I$2,INDEX(挂机升级突破!$X$35:$X$55,卡牌消耗!L208))&amp;M208,"")</f>
        <v>初级黄</v>
      </c>
      <c r="S208" s="15">
        <f>IF(R208="","",INDEX(挂机升级突破!$AE$35:$AG$55,卡牌消耗!L208,INDEX(挂机升级突破!$X$35:$X$55,卡牌消耗!L208)))</f>
        <v>40</v>
      </c>
      <c r="T208" s="15" t="str">
        <f>IF(INDEX(挂机升级突破!$Y$35:$Y$55,卡牌消耗!L208)&gt;0,"灵玉","")</f>
        <v/>
      </c>
      <c r="U208" s="15" t="str">
        <f>IF(INDEX(挂机升级突破!$Y$35:$Y$55,卡牌消耗!L208)&gt;0,INDEX(挂机升级突破!$AH$35:$AH$55,卡牌消耗!L208),"")</f>
        <v/>
      </c>
    </row>
    <row r="209" spans="9:21" ht="16.5" x14ac:dyDescent="0.2">
      <c r="I209" s="35">
        <v>173</v>
      </c>
      <c r="J209" s="15">
        <f t="shared" si="11"/>
        <v>1102009</v>
      </c>
      <c r="K209" s="15">
        <f t="shared" si="12"/>
        <v>4</v>
      </c>
      <c r="L209" s="15">
        <f t="shared" si="14"/>
        <v>5</v>
      </c>
      <c r="M209" s="15" t="str">
        <f t="shared" si="13"/>
        <v>黄</v>
      </c>
      <c r="N209" s="15" t="str">
        <f t="shared" si="15"/>
        <v>金币</v>
      </c>
      <c r="O209" s="15">
        <f>IF(L209&gt;1,INDEX(挂机升级突破!$AI$35:$AI$55,卡牌消耗!L209),"")</f>
        <v>22500</v>
      </c>
      <c r="P209" s="15" t="str">
        <f>IF(L209&gt;1,INDEX(价值概述!$A$4:$A$8,INDEX(挂机升级突破!$W$35:$W$55,卡牌消耗!L209)),"")</f>
        <v>蓝色基础材料</v>
      </c>
      <c r="Q209" s="15">
        <f>IF(L209&gt;1,INDEX(挂机升级突破!$Z$35:$AD$55,卡牌消耗!L209,INDEX(挂机升级突破!$W$35:$W$55,卡牌消耗!L209)),"")</f>
        <v>35</v>
      </c>
      <c r="R209" s="15" t="str">
        <f>IF(INDEX(挂机升级突破!$X$35:$X$55,卡牌消耗!L209)&gt;0,INDEX($G$2:$I$2,INDEX(挂机升级突破!$X$35:$X$55,卡牌消耗!L209))&amp;M209,"")</f>
        <v>初级黄</v>
      </c>
      <c r="S209" s="15">
        <f>IF(R209="","",INDEX(挂机升级突破!$AE$35:$AG$55,卡牌消耗!L209,INDEX(挂机升级突破!$X$35:$X$55,卡牌消耗!L209)))</f>
        <v>65</v>
      </c>
      <c r="T209" s="15" t="str">
        <f>IF(INDEX(挂机升级突破!$Y$35:$Y$55,卡牌消耗!L209)&gt;0,"灵玉","")</f>
        <v/>
      </c>
      <c r="U209" s="15" t="str">
        <f>IF(INDEX(挂机升级突破!$Y$35:$Y$55,卡牌消耗!L209)&gt;0,INDEX(挂机升级突破!$AH$35:$AH$55,卡牌消耗!L209),"")</f>
        <v/>
      </c>
    </row>
    <row r="210" spans="9:21" ht="16.5" x14ac:dyDescent="0.2">
      <c r="I210" s="35">
        <v>174</v>
      </c>
      <c r="J210" s="15">
        <f t="shared" si="11"/>
        <v>1102009</v>
      </c>
      <c r="K210" s="15">
        <f t="shared" si="12"/>
        <v>4</v>
      </c>
      <c r="L210" s="15">
        <f t="shared" si="14"/>
        <v>6</v>
      </c>
      <c r="M210" s="15" t="str">
        <f t="shared" si="13"/>
        <v>黄</v>
      </c>
      <c r="N210" s="15" t="str">
        <f t="shared" si="15"/>
        <v>金币</v>
      </c>
      <c r="O210" s="15">
        <f>IF(L210&gt;1,INDEX(挂机升级突破!$AI$35:$AI$55,卡牌消耗!L210),"")</f>
        <v>53000</v>
      </c>
      <c r="P210" s="15" t="str">
        <f>IF(L210&gt;1,INDEX(价值概述!$A$4:$A$8,INDEX(挂机升级突破!$W$35:$W$55,卡牌消耗!L210)),"")</f>
        <v>蓝色基础材料</v>
      </c>
      <c r="Q210" s="15">
        <f>IF(L210&gt;1,INDEX(挂机升级突破!$Z$35:$AD$55,卡牌消耗!L210,INDEX(挂机升级突破!$W$35:$W$55,卡牌消耗!L210)),"")</f>
        <v>70</v>
      </c>
      <c r="R210" s="15" t="str">
        <f>IF(INDEX(挂机升级突破!$X$35:$X$55,卡牌消耗!L210)&gt;0,INDEX($G$2:$I$2,INDEX(挂机升级突破!$X$35:$X$55,卡牌消耗!L210))&amp;M210,"")</f>
        <v>初级黄</v>
      </c>
      <c r="S210" s="15">
        <f>IF(R210="","",INDEX(挂机升级突破!$AE$35:$AG$55,卡牌消耗!L210,INDEX(挂机升级突破!$X$35:$X$55,卡牌消耗!L210)))</f>
        <v>85</v>
      </c>
      <c r="T210" s="15" t="str">
        <f>IF(INDEX(挂机升级突破!$Y$35:$Y$55,卡牌消耗!L210)&gt;0,"灵玉","")</f>
        <v/>
      </c>
      <c r="U210" s="15" t="str">
        <f>IF(INDEX(挂机升级突破!$Y$35:$Y$55,卡牌消耗!L210)&gt;0,INDEX(挂机升级突破!$AH$35:$AH$55,卡牌消耗!L210),"")</f>
        <v/>
      </c>
    </row>
    <row r="211" spans="9:21" ht="16.5" x14ac:dyDescent="0.2">
      <c r="I211" s="35">
        <v>175</v>
      </c>
      <c r="J211" s="15">
        <f t="shared" si="11"/>
        <v>1102009</v>
      </c>
      <c r="K211" s="15">
        <f t="shared" si="12"/>
        <v>4</v>
      </c>
      <c r="L211" s="15">
        <f t="shared" si="14"/>
        <v>7</v>
      </c>
      <c r="M211" s="15" t="str">
        <f t="shared" si="13"/>
        <v>黄</v>
      </c>
      <c r="N211" s="15" t="str">
        <f t="shared" si="15"/>
        <v>金币</v>
      </c>
      <c r="O211" s="15">
        <f>IF(L211&gt;1,INDEX(挂机升级突破!$AI$35:$AI$55,卡牌消耗!L211),"")</f>
        <v>59500</v>
      </c>
      <c r="P211" s="15" t="str">
        <f>IF(L211&gt;1,INDEX(价值概述!$A$4:$A$8,INDEX(挂机升级突破!$W$35:$W$55,卡牌消耗!L211)),"")</f>
        <v>蓝色基础材料</v>
      </c>
      <c r="Q211" s="15">
        <f>IF(L211&gt;1,INDEX(挂机升级突破!$Z$35:$AD$55,卡牌消耗!L211,INDEX(挂机升级突破!$W$35:$W$55,卡牌消耗!L211)),"")</f>
        <v>110</v>
      </c>
      <c r="R211" s="15" t="str">
        <f>IF(INDEX(挂机升级突破!$X$35:$X$55,卡牌消耗!L211)&gt;0,INDEX($G$2:$I$2,INDEX(挂机升级突破!$X$35:$X$55,卡牌消耗!L211))&amp;M211,"")</f>
        <v>初级黄</v>
      </c>
      <c r="S211" s="15">
        <f>IF(R211="","",INDEX(挂机升级突破!$AE$35:$AG$55,卡牌消耗!L211,INDEX(挂机升级突破!$X$35:$X$55,卡牌消耗!L211)))</f>
        <v>110</v>
      </c>
      <c r="T211" s="15" t="str">
        <f>IF(INDEX(挂机升级突破!$Y$35:$Y$55,卡牌消耗!L211)&gt;0,"灵玉","")</f>
        <v/>
      </c>
      <c r="U211" s="15" t="str">
        <f>IF(INDEX(挂机升级突破!$Y$35:$Y$55,卡牌消耗!L211)&gt;0,INDEX(挂机升级突破!$AH$35:$AH$55,卡牌消耗!L211),"")</f>
        <v/>
      </c>
    </row>
    <row r="212" spans="9:21" ht="16.5" x14ac:dyDescent="0.2">
      <c r="I212" s="35">
        <v>176</v>
      </c>
      <c r="J212" s="15">
        <f t="shared" si="11"/>
        <v>1102009</v>
      </c>
      <c r="K212" s="15">
        <f t="shared" si="12"/>
        <v>4</v>
      </c>
      <c r="L212" s="15">
        <f t="shared" si="14"/>
        <v>8</v>
      </c>
      <c r="M212" s="15" t="str">
        <f t="shared" si="13"/>
        <v>黄</v>
      </c>
      <c r="N212" s="15" t="str">
        <f t="shared" si="15"/>
        <v>金币</v>
      </c>
      <c r="O212" s="15">
        <f>IF(L212&gt;1,INDEX(挂机升级突破!$AI$35:$AI$55,卡牌消耗!L212),"")</f>
        <v>65500</v>
      </c>
      <c r="P212" s="15" t="str">
        <f>IF(L212&gt;1,INDEX(价值概述!$A$4:$A$8,INDEX(挂机升级突破!$W$35:$W$55,卡牌消耗!L212)),"")</f>
        <v>蓝色基础材料</v>
      </c>
      <c r="Q212" s="15">
        <f>IF(L212&gt;1,INDEX(挂机升级突破!$Z$35:$AD$55,卡牌消耗!L212,INDEX(挂机升级突破!$W$35:$W$55,卡牌消耗!L212)),"")</f>
        <v>145</v>
      </c>
      <c r="R212" s="15" t="str">
        <f>IF(INDEX(挂机升级突破!$X$35:$X$55,卡牌消耗!L212)&gt;0,INDEX($G$2:$I$2,INDEX(挂机升级突破!$X$35:$X$55,卡牌消耗!L212))&amp;M212,"")</f>
        <v>初级黄</v>
      </c>
      <c r="S212" s="15">
        <f>IF(R212="","",INDEX(挂机升级突破!$AE$35:$AG$55,卡牌消耗!L212,INDEX(挂机升级突破!$X$35:$X$55,卡牌消耗!L212)))</f>
        <v>130</v>
      </c>
      <c r="T212" s="15" t="str">
        <f>IF(INDEX(挂机升级突破!$Y$35:$Y$55,卡牌消耗!L212)&gt;0,"灵玉","")</f>
        <v/>
      </c>
      <c r="U212" s="15" t="str">
        <f>IF(INDEX(挂机升级突破!$Y$35:$Y$55,卡牌消耗!L212)&gt;0,INDEX(挂机升级突破!$AH$35:$AH$55,卡牌消耗!L212),"")</f>
        <v/>
      </c>
    </row>
    <row r="213" spans="9:21" ht="16.5" x14ac:dyDescent="0.2">
      <c r="I213" s="35">
        <v>177</v>
      </c>
      <c r="J213" s="15">
        <f t="shared" si="11"/>
        <v>1102009</v>
      </c>
      <c r="K213" s="15">
        <f t="shared" si="12"/>
        <v>4</v>
      </c>
      <c r="L213" s="15">
        <f t="shared" si="14"/>
        <v>9</v>
      </c>
      <c r="M213" s="15" t="str">
        <f t="shared" si="13"/>
        <v>黄</v>
      </c>
      <c r="N213" s="15" t="str">
        <f t="shared" si="15"/>
        <v>金币</v>
      </c>
      <c r="O213" s="15">
        <f>IF(L213&gt;1,INDEX(挂机升级突破!$AI$35:$AI$55,卡牌消耗!L213),"")</f>
        <v>76000</v>
      </c>
      <c r="P213" s="15" t="str">
        <f>IF(L213&gt;1,INDEX(价值概述!$A$4:$A$8,INDEX(挂机升级突破!$W$35:$W$55,卡牌消耗!L213)),"")</f>
        <v>紫色基础材料</v>
      </c>
      <c r="Q213" s="15">
        <f>IF(L213&gt;1,INDEX(挂机升级突破!$Z$35:$AD$55,卡牌消耗!L213,INDEX(挂机升级突破!$W$35:$W$55,卡牌消耗!L213)),"")</f>
        <v>70</v>
      </c>
      <c r="R213" s="15" t="str">
        <f>IF(INDEX(挂机升级突破!$X$35:$X$55,卡牌消耗!L213)&gt;0,INDEX($G$2:$I$2,INDEX(挂机升级突破!$X$35:$X$55,卡牌消耗!L213))&amp;M213,"")</f>
        <v>中级黄</v>
      </c>
      <c r="S213" s="15">
        <f>IF(R213="","",INDEX(挂机升级突破!$AE$35:$AG$55,卡牌消耗!L213,INDEX(挂机升级突破!$X$35:$X$55,卡牌消耗!L213)))</f>
        <v>55</v>
      </c>
      <c r="T213" s="15" t="str">
        <f>IF(INDEX(挂机升级突破!$Y$35:$Y$55,卡牌消耗!L213)&gt;0,"灵玉","")</f>
        <v/>
      </c>
      <c r="U213" s="15" t="str">
        <f>IF(INDEX(挂机升级突破!$Y$35:$Y$55,卡牌消耗!L213)&gt;0,INDEX(挂机升级突破!$AH$35:$AH$55,卡牌消耗!L213),"")</f>
        <v/>
      </c>
    </row>
    <row r="214" spans="9:21" ht="16.5" x14ac:dyDescent="0.2">
      <c r="I214" s="35">
        <v>178</v>
      </c>
      <c r="J214" s="15">
        <f t="shared" si="11"/>
        <v>1102009</v>
      </c>
      <c r="K214" s="15">
        <f t="shared" si="12"/>
        <v>4</v>
      </c>
      <c r="L214" s="15">
        <f t="shared" si="14"/>
        <v>10</v>
      </c>
      <c r="M214" s="15" t="str">
        <f t="shared" si="13"/>
        <v>黄</v>
      </c>
      <c r="N214" s="15" t="str">
        <f t="shared" si="15"/>
        <v>金币</v>
      </c>
      <c r="O214" s="15">
        <f>IF(L214&gt;1,INDEX(挂机升级突破!$AI$35:$AI$55,卡牌消耗!L214),"")</f>
        <v>83000</v>
      </c>
      <c r="P214" s="15" t="str">
        <f>IF(L214&gt;1,INDEX(价值概述!$A$4:$A$8,INDEX(挂机升级突破!$W$35:$W$55,卡牌消耗!L214)),"")</f>
        <v>紫色基础材料</v>
      </c>
      <c r="Q214" s="15">
        <f>IF(L214&gt;1,INDEX(挂机升级突破!$Z$35:$AD$55,卡牌消耗!L214,INDEX(挂机升级突破!$W$35:$W$55,卡牌消耗!L214)),"")</f>
        <v>140</v>
      </c>
      <c r="R214" s="15" t="str">
        <f>IF(INDEX(挂机升级突破!$X$35:$X$55,卡牌消耗!L214)&gt;0,INDEX($G$2:$I$2,INDEX(挂机升级突破!$X$35:$X$55,卡牌消耗!L214))&amp;M214,"")</f>
        <v>中级黄</v>
      </c>
      <c r="S214" s="15">
        <f>IF(R214="","",INDEX(挂机升级突破!$AE$35:$AG$55,卡牌消耗!L214,INDEX(挂机升级突破!$X$35:$X$55,卡牌消耗!L214)))</f>
        <v>95</v>
      </c>
      <c r="T214" s="15" t="str">
        <f>IF(INDEX(挂机升级突破!$Y$35:$Y$55,卡牌消耗!L214)&gt;0,"灵玉","")</f>
        <v/>
      </c>
      <c r="U214" s="15" t="str">
        <f>IF(INDEX(挂机升级突破!$Y$35:$Y$55,卡牌消耗!L214)&gt;0,INDEX(挂机升级突破!$AH$35:$AH$55,卡牌消耗!L214),"")</f>
        <v/>
      </c>
    </row>
    <row r="215" spans="9:21" ht="16.5" x14ac:dyDescent="0.2">
      <c r="I215" s="35">
        <v>179</v>
      </c>
      <c r="J215" s="15">
        <f t="shared" si="11"/>
        <v>1102009</v>
      </c>
      <c r="K215" s="15">
        <f t="shared" si="12"/>
        <v>4</v>
      </c>
      <c r="L215" s="15">
        <f t="shared" si="14"/>
        <v>11</v>
      </c>
      <c r="M215" s="15" t="str">
        <f t="shared" si="13"/>
        <v>黄</v>
      </c>
      <c r="N215" s="15" t="str">
        <f t="shared" si="15"/>
        <v>金币</v>
      </c>
      <c r="O215" s="15">
        <f>IF(L215&gt;1,INDEX(挂机升级突破!$AI$35:$AI$55,卡牌消耗!L215),"")</f>
        <v>90000</v>
      </c>
      <c r="P215" s="15" t="str">
        <f>IF(L215&gt;1,INDEX(价值概述!$A$4:$A$8,INDEX(挂机升级突破!$W$35:$W$55,卡牌消耗!L215)),"")</f>
        <v>紫色基础材料</v>
      </c>
      <c r="Q215" s="15">
        <f>IF(L215&gt;1,INDEX(挂机升级突破!$Z$35:$AD$55,卡牌消耗!L215,INDEX(挂机升级突破!$W$35:$W$55,卡牌消耗!L215)),"")</f>
        <v>215</v>
      </c>
      <c r="R215" s="15" t="str">
        <f>IF(INDEX(挂机升级突破!$X$35:$X$55,卡牌消耗!L215)&gt;0,INDEX($G$2:$I$2,INDEX(挂机升级突破!$X$35:$X$55,卡牌消耗!L215))&amp;M215,"")</f>
        <v>中级黄</v>
      </c>
      <c r="S215" s="15">
        <f>IF(R215="","",INDEX(挂机升级突破!$AE$35:$AG$55,卡牌消耗!L215,INDEX(挂机升级突破!$X$35:$X$55,卡牌消耗!L215)))</f>
        <v>145</v>
      </c>
      <c r="T215" s="15" t="str">
        <f>IF(INDEX(挂机升级突破!$Y$35:$Y$55,卡牌消耗!L215)&gt;0,"灵玉","")</f>
        <v/>
      </c>
      <c r="U215" s="15" t="str">
        <f>IF(INDEX(挂机升级突破!$Y$35:$Y$55,卡牌消耗!L215)&gt;0,INDEX(挂机升级突破!$AH$35:$AH$55,卡牌消耗!L215),"")</f>
        <v/>
      </c>
    </row>
    <row r="216" spans="9:21" ht="16.5" x14ac:dyDescent="0.2">
      <c r="I216" s="35">
        <v>180</v>
      </c>
      <c r="J216" s="15">
        <f t="shared" si="11"/>
        <v>1102009</v>
      </c>
      <c r="K216" s="15">
        <f t="shared" si="12"/>
        <v>4</v>
      </c>
      <c r="L216" s="15">
        <f t="shared" si="14"/>
        <v>12</v>
      </c>
      <c r="M216" s="15" t="str">
        <f t="shared" si="13"/>
        <v>黄</v>
      </c>
      <c r="N216" s="15" t="str">
        <f t="shared" si="15"/>
        <v>金币</v>
      </c>
      <c r="O216" s="15">
        <f>IF(L216&gt;1,INDEX(挂机升级突破!$AI$35:$AI$55,卡牌消耗!L216),"")</f>
        <v>97000</v>
      </c>
      <c r="P216" s="15" t="str">
        <f>IF(L216&gt;1,INDEX(价值概述!$A$4:$A$8,INDEX(挂机升级突破!$W$35:$W$55,卡牌消耗!L216)),"")</f>
        <v>紫色基础材料</v>
      </c>
      <c r="Q216" s="15">
        <f>IF(L216&gt;1,INDEX(挂机升级突破!$Z$35:$AD$55,卡牌消耗!L216,INDEX(挂机升级突破!$W$35:$W$55,卡牌消耗!L216)),"")</f>
        <v>285</v>
      </c>
      <c r="R216" s="15" t="str">
        <f>IF(INDEX(挂机升级突破!$X$35:$X$55,卡牌消耗!L216)&gt;0,INDEX($G$2:$I$2,INDEX(挂机升级突破!$X$35:$X$55,卡牌消耗!L216))&amp;M216,"")</f>
        <v>中级黄</v>
      </c>
      <c r="S216" s="15">
        <f>IF(R216="","",INDEX(挂机升级突破!$AE$35:$AG$55,卡牌消耗!L216,INDEX(挂机升级突破!$X$35:$X$55,卡牌消耗!L216)))</f>
        <v>185</v>
      </c>
      <c r="T216" s="15" t="str">
        <f>IF(INDEX(挂机升级突破!$Y$35:$Y$55,卡牌消耗!L216)&gt;0,"灵玉","")</f>
        <v/>
      </c>
      <c r="U216" s="15" t="str">
        <f>IF(INDEX(挂机升级突破!$Y$35:$Y$55,卡牌消耗!L216)&gt;0,INDEX(挂机升级突破!$AH$35:$AH$55,卡牌消耗!L216),"")</f>
        <v/>
      </c>
    </row>
    <row r="217" spans="9:21" ht="16.5" x14ac:dyDescent="0.2">
      <c r="I217" s="35">
        <v>181</v>
      </c>
      <c r="J217" s="15">
        <f t="shared" si="11"/>
        <v>1102009</v>
      </c>
      <c r="K217" s="15">
        <f t="shared" si="12"/>
        <v>4</v>
      </c>
      <c r="L217" s="15">
        <f t="shared" si="14"/>
        <v>13</v>
      </c>
      <c r="M217" s="15" t="str">
        <f t="shared" si="13"/>
        <v>黄</v>
      </c>
      <c r="N217" s="15" t="str">
        <f t="shared" si="15"/>
        <v>金币</v>
      </c>
      <c r="O217" s="15">
        <f>IF(L217&gt;1,INDEX(挂机升级突破!$AI$35:$AI$55,卡牌消耗!L217),"")</f>
        <v>122000</v>
      </c>
      <c r="P217" s="15" t="str">
        <f>IF(L217&gt;1,INDEX(价值概述!$A$4:$A$8,INDEX(挂机升级突破!$W$35:$W$55,卡牌消耗!L217)),"")</f>
        <v>橙色基础材料</v>
      </c>
      <c r="Q217" s="15">
        <f>IF(L217&gt;1,INDEX(挂机升级突破!$Z$35:$AD$55,卡牌消耗!L217,INDEX(挂机升级突破!$W$35:$W$55,卡牌消耗!L217)),"")</f>
        <v>115</v>
      </c>
      <c r="R217" s="15" t="str">
        <f>IF(INDEX(挂机升级突破!$X$35:$X$55,卡牌消耗!L217)&gt;0,INDEX($G$2:$I$2,INDEX(挂机升级突破!$X$35:$X$55,卡牌消耗!L217))&amp;M217,"")</f>
        <v>中级黄</v>
      </c>
      <c r="S217" s="15">
        <f>IF(R217="","",INDEX(挂机升级突破!$AE$35:$AG$55,卡牌消耗!L217,INDEX(挂机升级突破!$X$35:$X$55,卡牌消耗!L217)))</f>
        <v>225</v>
      </c>
      <c r="T217" s="15" t="str">
        <f>IF(INDEX(挂机升级突破!$Y$35:$Y$55,卡牌消耗!L217)&gt;0,"灵玉","")</f>
        <v/>
      </c>
      <c r="U217" s="15" t="str">
        <f>IF(INDEX(挂机升级突破!$Y$35:$Y$55,卡牌消耗!L217)&gt;0,INDEX(挂机升级突破!$AH$35:$AH$55,卡牌消耗!L217),"")</f>
        <v/>
      </c>
    </row>
    <row r="218" spans="9:21" ht="16.5" x14ac:dyDescent="0.2">
      <c r="I218" s="35">
        <v>182</v>
      </c>
      <c r="J218" s="15">
        <f t="shared" si="11"/>
        <v>1102009</v>
      </c>
      <c r="K218" s="15">
        <f t="shared" si="12"/>
        <v>4</v>
      </c>
      <c r="L218" s="15">
        <f t="shared" si="14"/>
        <v>14</v>
      </c>
      <c r="M218" s="15" t="str">
        <f t="shared" si="13"/>
        <v>黄</v>
      </c>
      <c r="N218" s="15" t="str">
        <f t="shared" si="15"/>
        <v>金币</v>
      </c>
      <c r="O218" s="15">
        <f>IF(L218&gt;1,INDEX(挂机升级突破!$AI$35:$AI$55,卡牌消耗!L218),"")</f>
        <v>162500</v>
      </c>
      <c r="P218" s="15" t="str">
        <f>IF(L218&gt;1,INDEX(价值概述!$A$4:$A$8,INDEX(挂机升级突破!$W$35:$W$55,卡牌消耗!L218)),"")</f>
        <v>橙色基础材料</v>
      </c>
      <c r="Q218" s="15">
        <f>IF(L218&gt;1,INDEX(挂机升级突破!$Z$35:$AD$55,卡牌消耗!L218,INDEX(挂机升级突破!$W$35:$W$55,卡牌消耗!L218)),"")</f>
        <v>235</v>
      </c>
      <c r="R218" s="15" t="str">
        <f>IF(INDEX(挂机升级突破!$X$35:$X$55,卡牌消耗!L218)&gt;0,INDEX($G$2:$I$2,INDEX(挂机升级突破!$X$35:$X$55,卡牌消耗!L218))&amp;M218,"")</f>
        <v>中级黄</v>
      </c>
      <c r="S218" s="15">
        <f>IF(R218="","",INDEX(挂机升级突破!$AE$35:$AG$55,卡牌消耗!L218,INDEX(挂机升级突破!$X$35:$X$55,卡牌消耗!L218)))</f>
        <v>265</v>
      </c>
      <c r="T218" s="15" t="str">
        <f>IF(INDEX(挂机升级突破!$Y$35:$Y$55,卡牌消耗!L218)&gt;0,"灵玉","")</f>
        <v/>
      </c>
      <c r="U218" s="15" t="str">
        <f>IF(INDEX(挂机升级突破!$Y$35:$Y$55,卡牌消耗!L218)&gt;0,INDEX(挂机升级突破!$AH$35:$AH$55,卡牌消耗!L218),"")</f>
        <v/>
      </c>
    </row>
    <row r="219" spans="9:21" ht="16.5" x14ac:dyDescent="0.2">
      <c r="I219" s="35">
        <v>183</v>
      </c>
      <c r="J219" s="15">
        <f t="shared" si="11"/>
        <v>1102009</v>
      </c>
      <c r="K219" s="15">
        <f t="shared" si="12"/>
        <v>4</v>
      </c>
      <c r="L219" s="15">
        <f t="shared" si="14"/>
        <v>15</v>
      </c>
      <c r="M219" s="15" t="str">
        <f t="shared" si="13"/>
        <v>黄</v>
      </c>
      <c r="N219" s="15" t="str">
        <f t="shared" si="15"/>
        <v>金币</v>
      </c>
      <c r="O219" s="15">
        <f>IF(L219&gt;1,INDEX(挂机升级突破!$AI$35:$AI$55,卡牌消耗!L219),"")</f>
        <v>190000</v>
      </c>
      <c r="P219" s="15" t="str">
        <f>IF(L219&gt;1,INDEX(价值概述!$A$4:$A$8,INDEX(挂机升级突破!$W$35:$W$55,卡牌消耗!L219)),"")</f>
        <v>橙色基础材料</v>
      </c>
      <c r="Q219" s="15">
        <f>IF(L219&gt;1,INDEX(挂机升级突破!$Z$35:$AD$55,卡牌消耗!L219,INDEX(挂机升级突破!$W$35:$W$55,卡牌消耗!L219)),"")</f>
        <v>355</v>
      </c>
      <c r="R219" s="15" t="str">
        <f>IF(INDEX(挂机升级突破!$X$35:$X$55,卡牌消耗!L219)&gt;0,INDEX($G$2:$I$2,INDEX(挂机升级突破!$X$35:$X$55,卡牌消耗!L219))&amp;M219,"")</f>
        <v>高级黄</v>
      </c>
      <c r="S219" s="15">
        <f>IF(R219="","",INDEX(挂机升级突破!$AE$35:$AG$55,卡牌消耗!L219,INDEX(挂机升级突破!$X$35:$X$55,卡牌消耗!L219)))</f>
        <v>45</v>
      </c>
      <c r="T219" s="15" t="str">
        <f>IF(INDEX(挂机升级突破!$Y$35:$Y$55,卡牌消耗!L219)&gt;0,"灵玉","")</f>
        <v/>
      </c>
      <c r="U219" s="15" t="str">
        <f>IF(INDEX(挂机升级突破!$Y$35:$Y$55,卡牌消耗!L219)&gt;0,INDEX(挂机升级突破!$AH$35:$AH$55,卡牌消耗!L219),"")</f>
        <v/>
      </c>
    </row>
    <row r="220" spans="9:21" ht="16.5" x14ac:dyDescent="0.2">
      <c r="I220" s="35">
        <v>184</v>
      </c>
      <c r="J220" s="15">
        <f t="shared" si="11"/>
        <v>1102009</v>
      </c>
      <c r="K220" s="15">
        <f t="shared" si="12"/>
        <v>4</v>
      </c>
      <c r="L220" s="15">
        <f t="shared" si="14"/>
        <v>16</v>
      </c>
      <c r="M220" s="15" t="str">
        <f t="shared" si="13"/>
        <v>黄</v>
      </c>
      <c r="N220" s="15" t="str">
        <f t="shared" si="15"/>
        <v>金币</v>
      </c>
      <c r="O220" s="15">
        <f>IF(L220&gt;1,INDEX(挂机升级突破!$AI$35:$AI$55,卡牌消耗!L220),"")</f>
        <v>219000</v>
      </c>
      <c r="P220" s="15" t="str">
        <f>IF(L220&gt;1,INDEX(价值概述!$A$4:$A$8,INDEX(挂机升级突破!$W$35:$W$55,卡牌消耗!L220)),"")</f>
        <v>橙色基础材料</v>
      </c>
      <c r="Q220" s="15">
        <f>IF(L220&gt;1,INDEX(挂机升级突破!$Z$35:$AD$55,卡牌消耗!L220,INDEX(挂机升级突破!$W$35:$W$55,卡牌消耗!L220)),"")</f>
        <v>475</v>
      </c>
      <c r="R220" s="15" t="str">
        <f>IF(INDEX(挂机升级突破!$X$35:$X$55,卡牌消耗!L220)&gt;0,INDEX($G$2:$I$2,INDEX(挂机升级突破!$X$35:$X$55,卡牌消耗!L220))&amp;M220,"")</f>
        <v>高级黄</v>
      </c>
      <c r="S220" s="15">
        <f>IF(R220="","",INDEX(挂机升级突破!$AE$35:$AG$55,卡牌消耗!L220,INDEX(挂机升级突破!$X$35:$X$55,卡牌消耗!L220)))</f>
        <v>70</v>
      </c>
      <c r="T220" s="15" t="str">
        <f>IF(INDEX(挂机升级突破!$Y$35:$Y$55,卡牌消耗!L220)&gt;0,"灵玉","")</f>
        <v/>
      </c>
      <c r="U220" s="15" t="str">
        <f>IF(INDEX(挂机升级突破!$Y$35:$Y$55,卡牌消耗!L220)&gt;0,INDEX(挂机升级突破!$AH$35:$AH$55,卡牌消耗!L220),"")</f>
        <v/>
      </c>
    </row>
    <row r="221" spans="9:21" ht="16.5" x14ac:dyDescent="0.2">
      <c r="I221" s="35">
        <v>185</v>
      </c>
      <c r="J221" s="15">
        <f t="shared" si="11"/>
        <v>1102009</v>
      </c>
      <c r="K221" s="15">
        <f t="shared" si="12"/>
        <v>4</v>
      </c>
      <c r="L221" s="15">
        <f t="shared" si="14"/>
        <v>17</v>
      </c>
      <c r="M221" s="15" t="str">
        <f t="shared" si="13"/>
        <v>黄</v>
      </c>
      <c r="N221" s="15" t="str">
        <f t="shared" si="15"/>
        <v>金币</v>
      </c>
      <c r="O221" s="15">
        <f>IF(L221&gt;1,INDEX(挂机升级突破!$AI$35:$AI$55,卡牌消耗!L221),"")</f>
        <v>228000</v>
      </c>
      <c r="P221" s="15" t="str">
        <f>IF(L221&gt;1,INDEX(价值概述!$A$4:$A$8,INDEX(挂机升级突破!$W$35:$W$55,卡牌消耗!L221)),"")</f>
        <v>红色基础材料</v>
      </c>
      <c r="Q221" s="15">
        <f>IF(L221&gt;1,INDEX(挂机升级突破!$Z$35:$AD$55,卡牌消耗!L221,INDEX(挂机升级突破!$W$35:$W$55,卡牌消耗!L221)),"")</f>
        <v>45</v>
      </c>
      <c r="R221" s="15" t="str">
        <f>IF(INDEX(挂机升级突破!$X$35:$X$55,卡牌消耗!L221)&gt;0,INDEX($G$2:$I$2,INDEX(挂机升级突破!$X$35:$X$55,卡牌消耗!L221))&amp;M221,"")</f>
        <v>高级黄</v>
      </c>
      <c r="S221" s="15">
        <f>IF(R221="","",INDEX(挂机升级突破!$AE$35:$AG$55,卡牌消耗!L221,INDEX(挂机升级突破!$X$35:$X$55,卡牌消耗!L221)))</f>
        <v>100</v>
      </c>
      <c r="T221" s="15" t="str">
        <f>IF(INDEX(挂机升级突破!$Y$35:$Y$55,卡牌消耗!L221)&gt;0,"灵玉","")</f>
        <v>灵玉</v>
      </c>
      <c r="U221" s="15">
        <f>IF(INDEX(挂机升级突破!$Y$35:$Y$55,卡牌消耗!L221)&gt;0,INDEX(挂机升级突破!$AH$35:$AH$55,卡牌消耗!L221),"")</f>
        <v>25</v>
      </c>
    </row>
    <row r="222" spans="9:21" ht="16.5" x14ac:dyDescent="0.2">
      <c r="I222" s="35">
        <v>186</v>
      </c>
      <c r="J222" s="15">
        <f t="shared" si="11"/>
        <v>1102009</v>
      </c>
      <c r="K222" s="15">
        <f t="shared" si="12"/>
        <v>4</v>
      </c>
      <c r="L222" s="15">
        <f t="shared" si="14"/>
        <v>18</v>
      </c>
      <c r="M222" s="15" t="str">
        <f t="shared" si="13"/>
        <v>黄</v>
      </c>
      <c r="N222" s="15" t="str">
        <f t="shared" si="15"/>
        <v>金币</v>
      </c>
      <c r="O222" s="15">
        <f>IF(L222&gt;1,INDEX(挂机升级突破!$AI$35:$AI$55,卡牌消耗!L222),"")</f>
        <v>319500</v>
      </c>
      <c r="P222" s="15" t="str">
        <f>IF(L222&gt;1,INDEX(价值概述!$A$4:$A$8,INDEX(挂机升级突破!$W$35:$W$55,卡牌消耗!L222)),"")</f>
        <v>红色基础材料</v>
      </c>
      <c r="Q222" s="15">
        <f>IF(L222&gt;1,INDEX(挂机升级突破!$Z$35:$AD$55,卡牌消耗!L222,INDEX(挂机升级突破!$W$35:$W$55,卡牌消耗!L222)),"")</f>
        <v>65</v>
      </c>
      <c r="R222" s="15" t="str">
        <f>IF(INDEX(挂机升级突破!$X$35:$X$55,卡牌消耗!L222)&gt;0,INDEX($G$2:$I$2,INDEX(挂机升级突破!$X$35:$X$55,卡牌消耗!L222))&amp;M222,"")</f>
        <v>高级黄</v>
      </c>
      <c r="S222" s="15">
        <f>IF(R222="","",INDEX(挂机升级突破!$AE$35:$AG$55,卡牌消耗!L222,INDEX(挂机升级突破!$X$35:$X$55,卡牌消耗!L222)))</f>
        <v>125</v>
      </c>
      <c r="T222" s="15" t="str">
        <f>IF(INDEX(挂机升级突破!$Y$35:$Y$55,卡牌消耗!L222)&gt;0,"灵玉","")</f>
        <v>灵玉</v>
      </c>
      <c r="U222" s="15">
        <f>IF(INDEX(挂机升级突破!$Y$35:$Y$55,卡牌消耗!L222)&gt;0,INDEX(挂机升级突破!$AH$35:$AH$55,卡牌消耗!L222),"")</f>
        <v>35</v>
      </c>
    </row>
    <row r="223" spans="9:21" ht="16.5" x14ac:dyDescent="0.2">
      <c r="I223" s="35">
        <v>187</v>
      </c>
      <c r="J223" s="15">
        <f t="shared" si="11"/>
        <v>1102009</v>
      </c>
      <c r="K223" s="15">
        <f t="shared" si="12"/>
        <v>4</v>
      </c>
      <c r="L223" s="15">
        <f t="shared" si="14"/>
        <v>19</v>
      </c>
      <c r="M223" s="15" t="str">
        <f t="shared" si="13"/>
        <v>黄</v>
      </c>
      <c r="N223" s="15" t="str">
        <f t="shared" si="15"/>
        <v>金币</v>
      </c>
      <c r="O223" s="15">
        <f>IF(L223&gt;1,INDEX(挂机升级突破!$AI$35:$AI$55,卡牌消耗!L223),"")</f>
        <v>426000</v>
      </c>
      <c r="P223" s="15" t="str">
        <f>IF(L223&gt;1,INDEX(价值概述!$A$4:$A$8,INDEX(挂机升级突破!$W$35:$W$55,卡牌消耗!L223)),"")</f>
        <v>红色基础材料</v>
      </c>
      <c r="Q223" s="15">
        <f>IF(L223&gt;1,INDEX(挂机升级突破!$Z$35:$AD$55,卡牌消耗!L223,INDEX(挂机升级突破!$W$35:$W$55,卡牌消耗!L223)),"")</f>
        <v>90</v>
      </c>
      <c r="R223" s="15" t="str">
        <f>IF(INDEX(挂机升级突破!$X$35:$X$55,卡牌消耗!L223)&gt;0,INDEX($G$2:$I$2,INDEX(挂机升级突破!$X$35:$X$55,卡牌消耗!L223))&amp;M223,"")</f>
        <v>高级黄</v>
      </c>
      <c r="S223" s="15">
        <f>IF(R223="","",INDEX(挂机升级突破!$AE$35:$AG$55,卡牌消耗!L223,INDEX(挂机升级突破!$X$35:$X$55,卡牌消耗!L223)))</f>
        <v>155</v>
      </c>
      <c r="T223" s="15" t="str">
        <f>IF(INDEX(挂机升级突破!$Y$35:$Y$55,卡牌消耗!L223)&gt;0,"灵玉","")</f>
        <v>灵玉</v>
      </c>
      <c r="U223" s="15">
        <f>IF(INDEX(挂机升级突破!$Y$35:$Y$55,卡牌消耗!L223)&gt;0,INDEX(挂机升级突破!$AH$35:$AH$55,卡牌消耗!L223),"")</f>
        <v>50</v>
      </c>
    </row>
    <row r="224" spans="9:21" ht="16.5" x14ac:dyDescent="0.2">
      <c r="I224" s="35">
        <v>188</v>
      </c>
      <c r="J224" s="15">
        <f t="shared" si="11"/>
        <v>1102009</v>
      </c>
      <c r="K224" s="15">
        <f t="shared" si="12"/>
        <v>4</v>
      </c>
      <c r="L224" s="15">
        <f t="shared" si="14"/>
        <v>20</v>
      </c>
      <c r="M224" s="15" t="str">
        <f t="shared" si="13"/>
        <v>黄</v>
      </c>
      <c r="N224" s="15" t="str">
        <f t="shared" si="15"/>
        <v>金币</v>
      </c>
      <c r="O224" s="15">
        <f>IF(L224&gt;1,INDEX(挂机升级突破!$AI$35:$AI$55,卡牌消耗!L224),"")</f>
        <v>532500</v>
      </c>
      <c r="P224" s="15" t="str">
        <f>IF(L224&gt;1,INDEX(价值概述!$A$4:$A$8,INDEX(挂机升级突破!$W$35:$W$55,卡牌消耗!L224)),"")</f>
        <v>红色基础材料</v>
      </c>
      <c r="Q224" s="15">
        <f>IF(L224&gt;1,INDEX(挂机升级突破!$Z$35:$AD$55,卡牌消耗!L224,INDEX(挂机升级突破!$W$35:$W$55,卡牌消耗!L224)),"")</f>
        <v>110</v>
      </c>
      <c r="R224" s="15" t="str">
        <f>IF(INDEX(挂机升级突破!$X$35:$X$55,卡牌消耗!L224)&gt;0,INDEX($G$2:$I$2,INDEX(挂机升级突破!$X$35:$X$55,卡牌消耗!L224))&amp;M224,"")</f>
        <v>高级黄</v>
      </c>
      <c r="S224" s="15">
        <f>IF(R224="","",INDEX(挂机升级突破!$AE$35:$AG$55,卡牌消耗!L224,INDEX(挂机升级突破!$X$35:$X$55,卡牌消耗!L224)))</f>
        <v>180</v>
      </c>
      <c r="T224" s="15" t="str">
        <f>IF(INDEX(挂机升级突破!$Y$35:$Y$55,卡牌消耗!L224)&gt;0,"灵玉","")</f>
        <v>灵玉</v>
      </c>
      <c r="U224" s="15">
        <f>IF(INDEX(挂机升级突破!$Y$35:$Y$55,卡牌消耗!L224)&gt;0,INDEX(挂机升级突破!$AH$35:$AH$55,卡牌消耗!L224),"")</f>
        <v>65</v>
      </c>
    </row>
    <row r="225" spans="9:21" ht="16.5" x14ac:dyDescent="0.2">
      <c r="I225" s="35">
        <v>189</v>
      </c>
      <c r="J225" s="15">
        <f t="shared" si="11"/>
        <v>1102009</v>
      </c>
      <c r="K225" s="15">
        <f t="shared" si="12"/>
        <v>4</v>
      </c>
      <c r="L225" s="15">
        <f t="shared" si="14"/>
        <v>21</v>
      </c>
      <c r="M225" s="15" t="str">
        <f t="shared" si="13"/>
        <v>黄</v>
      </c>
      <c r="N225" s="15" t="str">
        <f t="shared" si="15"/>
        <v>金币</v>
      </c>
      <c r="O225" s="15">
        <f>IF(L225&gt;1,INDEX(挂机升级突破!$AI$35:$AI$55,卡牌消耗!L225),"")</f>
        <v>639000</v>
      </c>
      <c r="P225" s="15" t="str">
        <f>IF(L225&gt;1,INDEX(价值概述!$A$4:$A$8,INDEX(挂机升级突破!$W$35:$W$55,卡牌消耗!L225)),"")</f>
        <v>红色基础材料</v>
      </c>
      <c r="Q225" s="15">
        <f>IF(L225&gt;1,INDEX(挂机升级突破!$Z$35:$AD$55,卡牌消耗!L225,INDEX(挂机升级突破!$W$35:$W$55,卡牌消耗!L225)),"")</f>
        <v>135</v>
      </c>
      <c r="R225" s="15" t="str">
        <f>IF(INDEX(挂机升级突破!$X$35:$X$55,卡牌消耗!L225)&gt;0,INDEX($G$2:$I$2,INDEX(挂机升级突破!$X$35:$X$55,卡牌消耗!L225))&amp;M225,"")</f>
        <v>高级黄</v>
      </c>
      <c r="S225" s="15">
        <f>IF(R225="","",INDEX(挂机升级突破!$AE$35:$AG$55,卡牌消耗!L225,INDEX(挂机升级突破!$X$35:$X$55,卡牌消耗!L225)))</f>
        <v>225</v>
      </c>
      <c r="T225" s="15" t="str">
        <f>IF(INDEX(挂机升级突破!$Y$35:$Y$55,卡牌消耗!L225)&gt;0,"灵玉","")</f>
        <v>灵玉</v>
      </c>
      <c r="U225" s="15">
        <f>IF(INDEX(挂机升级突破!$Y$35:$Y$55,卡牌消耗!L225)&gt;0,INDEX(挂机升级突破!$AH$35:$AH$55,卡牌消耗!L225),"")</f>
        <v>75</v>
      </c>
    </row>
    <row r="226" spans="9:21" ht="16.5" x14ac:dyDescent="0.2">
      <c r="I226" s="35">
        <v>190</v>
      </c>
      <c r="J226" s="15">
        <f t="shared" si="11"/>
        <v>1102010</v>
      </c>
      <c r="K226" s="15">
        <f t="shared" si="12"/>
        <v>4</v>
      </c>
      <c r="L226" s="15">
        <f t="shared" si="14"/>
        <v>1</v>
      </c>
      <c r="M226" s="15" t="str">
        <f t="shared" si="13"/>
        <v>蓝</v>
      </c>
      <c r="N226" s="15" t="str">
        <f t="shared" si="15"/>
        <v/>
      </c>
      <c r="O226" s="15" t="str">
        <f>IF(L226&gt;1,INDEX(挂机升级突破!$AI$35:$AI$55,卡牌消耗!L226),"")</f>
        <v/>
      </c>
      <c r="P226" s="15" t="str">
        <f>IF(L226&gt;1,INDEX(价值概述!$A$4:$A$8,INDEX(挂机升级突破!$W$35:$W$55,卡牌消耗!L226)),"")</f>
        <v/>
      </c>
      <c r="Q226" s="15" t="str">
        <f>IF(L226&gt;1,INDEX(挂机升级突破!$Z$35:$AD$55,卡牌消耗!L226,INDEX(挂机升级突破!$W$35:$W$55,卡牌消耗!L226)),"")</f>
        <v/>
      </c>
      <c r="R226" s="15" t="str">
        <f>IF(INDEX(挂机升级突破!$X$35:$X$55,卡牌消耗!L226)&gt;0,INDEX($G$2:$I$2,INDEX(挂机升级突破!$X$35:$X$55,卡牌消耗!L226))&amp;M226,"")</f>
        <v/>
      </c>
      <c r="S226" s="15" t="str">
        <f>IF(R226="","",INDEX(挂机升级突破!$AE$35:$AG$55,卡牌消耗!L226,INDEX(挂机升级突破!$X$35:$X$55,卡牌消耗!L226)))</f>
        <v/>
      </c>
      <c r="T226" s="15" t="str">
        <f>IF(INDEX(挂机升级突破!$Y$35:$Y$55,卡牌消耗!L226)&gt;0,"灵玉","")</f>
        <v/>
      </c>
      <c r="U226" s="15" t="str">
        <f>IF(INDEX(挂机升级突破!$Y$35:$Y$55,卡牌消耗!L226)&gt;0,INDEX(挂机升级突破!$AH$35:$AH$55,卡牌消耗!L226),"")</f>
        <v/>
      </c>
    </row>
    <row r="227" spans="9:21" ht="16.5" x14ac:dyDescent="0.2">
      <c r="I227" s="35">
        <v>191</v>
      </c>
      <c r="J227" s="15">
        <f t="shared" si="11"/>
        <v>1102010</v>
      </c>
      <c r="K227" s="15">
        <f t="shared" si="12"/>
        <v>4</v>
      </c>
      <c r="L227" s="15">
        <f t="shared" si="14"/>
        <v>2</v>
      </c>
      <c r="M227" s="15" t="str">
        <f t="shared" si="13"/>
        <v>蓝</v>
      </c>
      <c r="N227" s="15" t="str">
        <f t="shared" si="15"/>
        <v>金币</v>
      </c>
      <c r="O227" s="15">
        <f>IF(L227&gt;1,INDEX(挂机升级突破!$AI$35:$AI$55,卡牌消耗!L227),"")</f>
        <v>2500</v>
      </c>
      <c r="P227" s="15" t="str">
        <f>IF(L227&gt;1,INDEX(价值概述!$A$4:$A$8,INDEX(挂机升级突破!$W$35:$W$55,卡牌消耗!L227)),"")</f>
        <v>绿色基础材料</v>
      </c>
      <c r="Q227" s="15">
        <f>IF(L227&gt;1,INDEX(挂机升级突破!$Z$35:$AD$55,卡牌消耗!L227,INDEX(挂机升级突破!$W$35:$W$55,卡牌消耗!L227)),"")</f>
        <v>10</v>
      </c>
      <c r="R227" s="15" t="str">
        <f>IF(INDEX(挂机升级突破!$X$35:$X$55,卡牌消耗!L227)&gt;0,INDEX($G$2:$I$2,INDEX(挂机升级突破!$X$35:$X$55,卡牌消耗!L227))&amp;M227,"")</f>
        <v/>
      </c>
      <c r="S227" s="15" t="str">
        <f>IF(R227="","",INDEX(挂机升级突破!$AE$35:$AG$55,卡牌消耗!L227,INDEX(挂机升级突破!$X$35:$X$55,卡牌消耗!L227)))</f>
        <v/>
      </c>
      <c r="T227" s="15" t="str">
        <f>IF(INDEX(挂机升级突破!$Y$35:$Y$55,卡牌消耗!L227)&gt;0,"灵玉","")</f>
        <v/>
      </c>
      <c r="U227" s="15" t="str">
        <f>IF(INDEX(挂机升级突破!$Y$35:$Y$55,卡牌消耗!L227)&gt;0,INDEX(挂机升级突破!$AH$35:$AH$55,卡牌消耗!L227),"")</f>
        <v/>
      </c>
    </row>
    <row r="228" spans="9:21" ht="16.5" x14ac:dyDescent="0.2">
      <c r="I228" s="35">
        <v>192</v>
      </c>
      <c r="J228" s="15">
        <f t="shared" si="11"/>
        <v>1102010</v>
      </c>
      <c r="K228" s="15">
        <f t="shared" si="12"/>
        <v>4</v>
      </c>
      <c r="L228" s="15">
        <f t="shared" si="14"/>
        <v>3</v>
      </c>
      <c r="M228" s="15" t="str">
        <f t="shared" si="13"/>
        <v>蓝</v>
      </c>
      <c r="N228" s="15" t="str">
        <f t="shared" si="15"/>
        <v>金币</v>
      </c>
      <c r="O228" s="15">
        <f>IF(L228&gt;1,INDEX(挂机升级突破!$AI$35:$AI$55,卡牌消耗!L228),"")</f>
        <v>8000</v>
      </c>
      <c r="P228" s="15" t="str">
        <f>IF(L228&gt;1,INDEX(价值概述!$A$4:$A$8,INDEX(挂机升级突破!$W$35:$W$55,卡牌消耗!L228)),"")</f>
        <v>绿色基础材料</v>
      </c>
      <c r="Q228" s="15">
        <f>IF(L228&gt;1,INDEX(挂机升级突破!$Z$35:$AD$55,卡牌消耗!L228,INDEX(挂机升级突破!$W$35:$W$55,卡牌消耗!L228)),"")</f>
        <v>40</v>
      </c>
      <c r="R228" s="15" t="str">
        <f>IF(INDEX(挂机升级突破!$X$35:$X$55,卡牌消耗!L228)&gt;0,INDEX($G$2:$I$2,INDEX(挂机升级突破!$X$35:$X$55,卡牌消耗!L228))&amp;M228,"")</f>
        <v/>
      </c>
      <c r="S228" s="15" t="str">
        <f>IF(R228="","",INDEX(挂机升级突破!$AE$35:$AG$55,卡牌消耗!L228,INDEX(挂机升级突破!$X$35:$X$55,卡牌消耗!L228)))</f>
        <v/>
      </c>
      <c r="T228" s="15" t="str">
        <f>IF(INDEX(挂机升级突破!$Y$35:$Y$55,卡牌消耗!L228)&gt;0,"灵玉","")</f>
        <v/>
      </c>
      <c r="U228" s="15" t="str">
        <f>IF(INDEX(挂机升级突破!$Y$35:$Y$55,卡牌消耗!L228)&gt;0,INDEX(挂机升级突破!$AH$35:$AH$55,卡牌消耗!L228),"")</f>
        <v/>
      </c>
    </row>
    <row r="229" spans="9:21" ht="16.5" x14ac:dyDescent="0.2">
      <c r="I229" s="35">
        <v>193</v>
      </c>
      <c r="J229" s="15">
        <f t="shared" ref="J229:J292" si="16">INDEX($A$13:$A$33,INT((I229-1)/21)+1)</f>
        <v>1102010</v>
      </c>
      <c r="K229" s="15">
        <f t="shared" ref="K229:K292" si="17">VLOOKUP(J229,$A$13:$D$33,3)</f>
        <v>4</v>
      </c>
      <c r="L229" s="15">
        <f t="shared" si="14"/>
        <v>4</v>
      </c>
      <c r="M229" s="15" t="str">
        <f t="shared" ref="M229:M292" si="18">INDEX($J$2:$L$2,INDEX($E$13:$E$33,INT((I229-1)/21)+1))</f>
        <v>蓝</v>
      </c>
      <c r="N229" s="15" t="str">
        <f t="shared" si="15"/>
        <v>金币</v>
      </c>
      <c r="O229" s="15">
        <f>IF(L229&gt;1,INDEX(挂机升级突破!$AI$35:$AI$55,卡牌消耗!L229),"")</f>
        <v>16500</v>
      </c>
      <c r="P229" s="15" t="str">
        <f>IF(L229&gt;1,INDEX(价值概述!$A$4:$A$8,INDEX(挂机升级突破!$W$35:$W$55,卡牌消耗!L229)),"")</f>
        <v>绿色基础材料</v>
      </c>
      <c r="Q229" s="15">
        <f>IF(L229&gt;1,INDEX(挂机升级突破!$Z$35:$AD$55,卡牌消耗!L229,INDEX(挂机升级突破!$W$35:$W$55,卡牌消耗!L229)),"")</f>
        <v>80</v>
      </c>
      <c r="R229" s="15" t="str">
        <f>IF(INDEX(挂机升级突破!$X$35:$X$55,卡牌消耗!L229)&gt;0,INDEX($G$2:$I$2,INDEX(挂机升级突破!$X$35:$X$55,卡牌消耗!L229))&amp;M229,"")</f>
        <v>初级蓝</v>
      </c>
      <c r="S229" s="15">
        <f>IF(R229="","",INDEX(挂机升级突破!$AE$35:$AG$55,卡牌消耗!L229,INDEX(挂机升级突破!$X$35:$X$55,卡牌消耗!L229)))</f>
        <v>40</v>
      </c>
      <c r="T229" s="15" t="str">
        <f>IF(INDEX(挂机升级突破!$Y$35:$Y$55,卡牌消耗!L229)&gt;0,"灵玉","")</f>
        <v/>
      </c>
      <c r="U229" s="15" t="str">
        <f>IF(INDEX(挂机升级突破!$Y$35:$Y$55,卡牌消耗!L229)&gt;0,INDEX(挂机升级突破!$AH$35:$AH$55,卡牌消耗!L229),"")</f>
        <v/>
      </c>
    </row>
    <row r="230" spans="9:21" ht="16.5" x14ac:dyDescent="0.2">
      <c r="I230" s="35">
        <v>194</v>
      </c>
      <c r="J230" s="15">
        <f t="shared" si="16"/>
        <v>1102010</v>
      </c>
      <c r="K230" s="15">
        <f t="shared" si="17"/>
        <v>4</v>
      </c>
      <c r="L230" s="15">
        <f t="shared" ref="L230:L293" si="19">MOD((I230-1),21)+1</f>
        <v>5</v>
      </c>
      <c r="M230" s="15" t="str">
        <f t="shared" si="18"/>
        <v>蓝</v>
      </c>
      <c r="N230" s="15" t="str">
        <f t="shared" ref="N230:N293" si="20">IF(L230&gt;1,"金币","")</f>
        <v>金币</v>
      </c>
      <c r="O230" s="15">
        <f>IF(L230&gt;1,INDEX(挂机升级突破!$AI$35:$AI$55,卡牌消耗!L230),"")</f>
        <v>22500</v>
      </c>
      <c r="P230" s="15" t="str">
        <f>IF(L230&gt;1,INDEX(价值概述!$A$4:$A$8,INDEX(挂机升级突破!$W$35:$W$55,卡牌消耗!L230)),"")</f>
        <v>蓝色基础材料</v>
      </c>
      <c r="Q230" s="15">
        <f>IF(L230&gt;1,INDEX(挂机升级突破!$Z$35:$AD$55,卡牌消耗!L230,INDEX(挂机升级突破!$W$35:$W$55,卡牌消耗!L230)),"")</f>
        <v>35</v>
      </c>
      <c r="R230" s="15" t="str">
        <f>IF(INDEX(挂机升级突破!$X$35:$X$55,卡牌消耗!L230)&gt;0,INDEX($G$2:$I$2,INDEX(挂机升级突破!$X$35:$X$55,卡牌消耗!L230))&amp;M230,"")</f>
        <v>初级蓝</v>
      </c>
      <c r="S230" s="15">
        <f>IF(R230="","",INDEX(挂机升级突破!$AE$35:$AG$55,卡牌消耗!L230,INDEX(挂机升级突破!$X$35:$X$55,卡牌消耗!L230)))</f>
        <v>65</v>
      </c>
      <c r="T230" s="15" t="str">
        <f>IF(INDEX(挂机升级突破!$Y$35:$Y$55,卡牌消耗!L230)&gt;0,"灵玉","")</f>
        <v/>
      </c>
      <c r="U230" s="15" t="str">
        <f>IF(INDEX(挂机升级突破!$Y$35:$Y$55,卡牌消耗!L230)&gt;0,INDEX(挂机升级突破!$AH$35:$AH$55,卡牌消耗!L230),"")</f>
        <v/>
      </c>
    </row>
    <row r="231" spans="9:21" ht="16.5" x14ac:dyDescent="0.2">
      <c r="I231" s="35">
        <v>195</v>
      </c>
      <c r="J231" s="15">
        <f t="shared" si="16"/>
        <v>1102010</v>
      </c>
      <c r="K231" s="15">
        <f t="shared" si="17"/>
        <v>4</v>
      </c>
      <c r="L231" s="15">
        <f t="shared" si="19"/>
        <v>6</v>
      </c>
      <c r="M231" s="15" t="str">
        <f t="shared" si="18"/>
        <v>蓝</v>
      </c>
      <c r="N231" s="15" t="str">
        <f t="shared" si="20"/>
        <v>金币</v>
      </c>
      <c r="O231" s="15">
        <f>IF(L231&gt;1,INDEX(挂机升级突破!$AI$35:$AI$55,卡牌消耗!L231),"")</f>
        <v>53000</v>
      </c>
      <c r="P231" s="15" t="str">
        <f>IF(L231&gt;1,INDEX(价值概述!$A$4:$A$8,INDEX(挂机升级突破!$W$35:$W$55,卡牌消耗!L231)),"")</f>
        <v>蓝色基础材料</v>
      </c>
      <c r="Q231" s="15">
        <f>IF(L231&gt;1,INDEX(挂机升级突破!$Z$35:$AD$55,卡牌消耗!L231,INDEX(挂机升级突破!$W$35:$W$55,卡牌消耗!L231)),"")</f>
        <v>70</v>
      </c>
      <c r="R231" s="15" t="str">
        <f>IF(INDEX(挂机升级突破!$X$35:$X$55,卡牌消耗!L231)&gt;0,INDEX($G$2:$I$2,INDEX(挂机升级突破!$X$35:$X$55,卡牌消耗!L231))&amp;M231,"")</f>
        <v>初级蓝</v>
      </c>
      <c r="S231" s="15">
        <f>IF(R231="","",INDEX(挂机升级突破!$AE$35:$AG$55,卡牌消耗!L231,INDEX(挂机升级突破!$X$35:$X$55,卡牌消耗!L231)))</f>
        <v>85</v>
      </c>
      <c r="T231" s="15" t="str">
        <f>IF(INDEX(挂机升级突破!$Y$35:$Y$55,卡牌消耗!L231)&gt;0,"灵玉","")</f>
        <v/>
      </c>
      <c r="U231" s="15" t="str">
        <f>IF(INDEX(挂机升级突破!$Y$35:$Y$55,卡牌消耗!L231)&gt;0,INDEX(挂机升级突破!$AH$35:$AH$55,卡牌消耗!L231),"")</f>
        <v/>
      </c>
    </row>
    <row r="232" spans="9:21" ht="16.5" x14ac:dyDescent="0.2">
      <c r="I232" s="35">
        <v>196</v>
      </c>
      <c r="J232" s="15">
        <f t="shared" si="16"/>
        <v>1102010</v>
      </c>
      <c r="K232" s="15">
        <f t="shared" si="17"/>
        <v>4</v>
      </c>
      <c r="L232" s="15">
        <f t="shared" si="19"/>
        <v>7</v>
      </c>
      <c r="M232" s="15" t="str">
        <f t="shared" si="18"/>
        <v>蓝</v>
      </c>
      <c r="N232" s="15" t="str">
        <f t="shared" si="20"/>
        <v>金币</v>
      </c>
      <c r="O232" s="15">
        <f>IF(L232&gt;1,INDEX(挂机升级突破!$AI$35:$AI$55,卡牌消耗!L232),"")</f>
        <v>59500</v>
      </c>
      <c r="P232" s="15" t="str">
        <f>IF(L232&gt;1,INDEX(价值概述!$A$4:$A$8,INDEX(挂机升级突破!$W$35:$W$55,卡牌消耗!L232)),"")</f>
        <v>蓝色基础材料</v>
      </c>
      <c r="Q232" s="15">
        <f>IF(L232&gt;1,INDEX(挂机升级突破!$Z$35:$AD$55,卡牌消耗!L232,INDEX(挂机升级突破!$W$35:$W$55,卡牌消耗!L232)),"")</f>
        <v>110</v>
      </c>
      <c r="R232" s="15" t="str">
        <f>IF(INDEX(挂机升级突破!$X$35:$X$55,卡牌消耗!L232)&gt;0,INDEX($G$2:$I$2,INDEX(挂机升级突破!$X$35:$X$55,卡牌消耗!L232))&amp;M232,"")</f>
        <v>初级蓝</v>
      </c>
      <c r="S232" s="15">
        <f>IF(R232="","",INDEX(挂机升级突破!$AE$35:$AG$55,卡牌消耗!L232,INDEX(挂机升级突破!$X$35:$X$55,卡牌消耗!L232)))</f>
        <v>110</v>
      </c>
      <c r="T232" s="15" t="str">
        <f>IF(INDEX(挂机升级突破!$Y$35:$Y$55,卡牌消耗!L232)&gt;0,"灵玉","")</f>
        <v/>
      </c>
      <c r="U232" s="15" t="str">
        <f>IF(INDEX(挂机升级突破!$Y$35:$Y$55,卡牌消耗!L232)&gt;0,INDEX(挂机升级突破!$AH$35:$AH$55,卡牌消耗!L232),"")</f>
        <v/>
      </c>
    </row>
    <row r="233" spans="9:21" ht="16.5" x14ac:dyDescent="0.2">
      <c r="I233" s="35">
        <v>197</v>
      </c>
      <c r="J233" s="15">
        <f t="shared" si="16"/>
        <v>1102010</v>
      </c>
      <c r="K233" s="15">
        <f t="shared" si="17"/>
        <v>4</v>
      </c>
      <c r="L233" s="15">
        <f t="shared" si="19"/>
        <v>8</v>
      </c>
      <c r="M233" s="15" t="str">
        <f t="shared" si="18"/>
        <v>蓝</v>
      </c>
      <c r="N233" s="15" t="str">
        <f t="shared" si="20"/>
        <v>金币</v>
      </c>
      <c r="O233" s="15">
        <f>IF(L233&gt;1,INDEX(挂机升级突破!$AI$35:$AI$55,卡牌消耗!L233),"")</f>
        <v>65500</v>
      </c>
      <c r="P233" s="15" t="str">
        <f>IF(L233&gt;1,INDEX(价值概述!$A$4:$A$8,INDEX(挂机升级突破!$W$35:$W$55,卡牌消耗!L233)),"")</f>
        <v>蓝色基础材料</v>
      </c>
      <c r="Q233" s="15">
        <f>IF(L233&gt;1,INDEX(挂机升级突破!$Z$35:$AD$55,卡牌消耗!L233,INDEX(挂机升级突破!$W$35:$W$55,卡牌消耗!L233)),"")</f>
        <v>145</v>
      </c>
      <c r="R233" s="15" t="str">
        <f>IF(INDEX(挂机升级突破!$X$35:$X$55,卡牌消耗!L233)&gt;0,INDEX($G$2:$I$2,INDEX(挂机升级突破!$X$35:$X$55,卡牌消耗!L233))&amp;M233,"")</f>
        <v>初级蓝</v>
      </c>
      <c r="S233" s="15">
        <f>IF(R233="","",INDEX(挂机升级突破!$AE$35:$AG$55,卡牌消耗!L233,INDEX(挂机升级突破!$X$35:$X$55,卡牌消耗!L233)))</f>
        <v>130</v>
      </c>
      <c r="T233" s="15" t="str">
        <f>IF(INDEX(挂机升级突破!$Y$35:$Y$55,卡牌消耗!L233)&gt;0,"灵玉","")</f>
        <v/>
      </c>
      <c r="U233" s="15" t="str">
        <f>IF(INDEX(挂机升级突破!$Y$35:$Y$55,卡牌消耗!L233)&gt;0,INDEX(挂机升级突破!$AH$35:$AH$55,卡牌消耗!L233),"")</f>
        <v/>
      </c>
    </row>
    <row r="234" spans="9:21" ht="16.5" x14ac:dyDescent="0.2">
      <c r="I234" s="35">
        <v>198</v>
      </c>
      <c r="J234" s="15">
        <f t="shared" si="16"/>
        <v>1102010</v>
      </c>
      <c r="K234" s="15">
        <f t="shared" si="17"/>
        <v>4</v>
      </c>
      <c r="L234" s="15">
        <f t="shared" si="19"/>
        <v>9</v>
      </c>
      <c r="M234" s="15" t="str">
        <f t="shared" si="18"/>
        <v>蓝</v>
      </c>
      <c r="N234" s="15" t="str">
        <f t="shared" si="20"/>
        <v>金币</v>
      </c>
      <c r="O234" s="15">
        <f>IF(L234&gt;1,INDEX(挂机升级突破!$AI$35:$AI$55,卡牌消耗!L234),"")</f>
        <v>76000</v>
      </c>
      <c r="P234" s="15" t="str">
        <f>IF(L234&gt;1,INDEX(价值概述!$A$4:$A$8,INDEX(挂机升级突破!$W$35:$W$55,卡牌消耗!L234)),"")</f>
        <v>紫色基础材料</v>
      </c>
      <c r="Q234" s="15">
        <f>IF(L234&gt;1,INDEX(挂机升级突破!$Z$35:$AD$55,卡牌消耗!L234,INDEX(挂机升级突破!$W$35:$W$55,卡牌消耗!L234)),"")</f>
        <v>70</v>
      </c>
      <c r="R234" s="15" t="str">
        <f>IF(INDEX(挂机升级突破!$X$35:$X$55,卡牌消耗!L234)&gt;0,INDEX($G$2:$I$2,INDEX(挂机升级突破!$X$35:$X$55,卡牌消耗!L234))&amp;M234,"")</f>
        <v>中级蓝</v>
      </c>
      <c r="S234" s="15">
        <f>IF(R234="","",INDEX(挂机升级突破!$AE$35:$AG$55,卡牌消耗!L234,INDEX(挂机升级突破!$X$35:$X$55,卡牌消耗!L234)))</f>
        <v>55</v>
      </c>
      <c r="T234" s="15" t="str">
        <f>IF(INDEX(挂机升级突破!$Y$35:$Y$55,卡牌消耗!L234)&gt;0,"灵玉","")</f>
        <v/>
      </c>
      <c r="U234" s="15" t="str">
        <f>IF(INDEX(挂机升级突破!$Y$35:$Y$55,卡牌消耗!L234)&gt;0,INDEX(挂机升级突破!$AH$35:$AH$55,卡牌消耗!L234),"")</f>
        <v/>
      </c>
    </row>
    <row r="235" spans="9:21" ht="16.5" x14ac:dyDescent="0.2">
      <c r="I235" s="35">
        <v>199</v>
      </c>
      <c r="J235" s="15">
        <f t="shared" si="16"/>
        <v>1102010</v>
      </c>
      <c r="K235" s="15">
        <f t="shared" si="17"/>
        <v>4</v>
      </c>
      <c r="L235" s="15">
        <f t="shared" si="19"/>
        <v>10</v>
      </c>
      <c r="M235" s="15" t="str">
        <f t="shared" si="18"/>
        <v>蓝</v>
      </c>
      <c r="N235" s="15" t="str">
        <f t="shared" si="20"/>
        <v>金币</v>
      </c>
      <c r="O235" s="15">
        <f>IF(L235&gt;1,INDEX(挂机升级突破!$AI$35:$AI$55,卡牌消耗!L235),"")</f>
        <v>83000</v>
      </c>
      <c r="P235" s="15" t="str">
        <f>IF(L235&gt;1,INDEX(价值概述!$A$4:$A$8,INDEX(挂机升级突破!$W$35:$W$55,卡牌消耗!L235)),"")</f>
        <v>紫色基础材料</v>
      </c>
      <c r="Q235" s="15">
        <f>IF(L235&gt;1,INDEX(挂机升级突破!$Z$35:$AD$55,卡牌消耗!L235,INDEX(挂机升级突破!$W$35:$W$55,卡牌消耗!L235)),"")</f>
        <v>140</v>
      </c>
      <c r="R235" s="15" t="str">
        <f>IF(INDEX(挂机升级突破!$X$35:$X$55,卡牌消耗!L235)&gt;0,INDEX($G$2:$I$2,INDEX(挂机升级突破!$X$35:$X$55,卡牌消耗!L235))&amp;M235,"")</f>
        <v>中级蓝</v>
      </c>
      <c r="S235" s="15">
        <f>IF(R235="","",INDEX(挂机升级突破!$AE$35:$AG$55,卡牌消耗!L235,INDEX(挂机升级突破!$X$35:$X$55,卡牌消耗!L235)))</f>
        <v>95</v>
      </c>
      <c r="T235" s="15" t="str">
        <f>IF(INDEX(挂机升级突破!$Y$35:$Y$55,卡牌消耗!L235)&gt;0,"灵玉","")</f>
        <v/>
      </c>
      <c r="U235" s="15" t="str">
        <f>IF(INDEX(挂机升级突破!$Y$35:$Y$55,卡牌消耗!L235)&gt;0,INDEX(挂机升级突破!$AH$35:$AH$55,卡牌消耗!L235),"")</f>
        <v/>
      </c>
    </row>
    <row r="236" spans="9:21" ht="16.5" x14ac:dyDescent="0.2">
      <c r="I236" s="35">
        <v>200</v>
      </c>
      <c r="J236" s="15">
        <f t="shared" si="16"/>
        <v>1102010</v>
      </c>
      <c r="K236" s="15">
        <f t="shared" si="17"/>
        <v>4</v>
      </c>
      <c r="L236" s="15">
        <f t="shared" si="19"/>
        <v>11</v>
      </c>
      <c r="M236" s="15" t="str">
        <f t="shared" si="18"/>
        <v>蓝</v>
      </c>
      <c r="N236" s="15" t="str">
        <f t="shared" si="20"/>
        <v>金币</v>
      </c>
      <c r="O236" s="15">
        <f>IF(L236&gt;1,INDEX(挂机升级突破!$AI$35:$AI$55,卡牌消耗!L236),"")</f>
        <v>90000</v>
      </c>
      <c r="P236" s="15" t="str">
        <f>IF(L236&gt;1,INDEX(价值概述!$A$4:$A$8,INDEX(挂机升级突破!$W$35:$W$55,卡牌消耗!L236)),"")</f>
        <v>紫色基础材料</v>
      </c>
      <c r="Q236" s="15">
        <f>IF(L236&gt;1,INDEX(挂机升级突破!$Z$35:$AD$55,卡牌消耗!L236,INDEX(挂机升级突破!$W$35:$W$55,卡牌消耗!L236)),"")</f>
        <v>215</v>
      </c>
      <c r="R236" s="15" t="str">
        <f>IF(INDEX(挂机升级突破!$X$35:$X$55,卡牌消耗!L236)&gt;0,INDEX($G$2:$I$2,INDEX(挂机升级突破!$X$35:$X$55,卡牌消耗!L236))&amp;M236,"")</f>
        <v>中级蓝</v>
      </c>
      <c r="S236" s="15">
        <f>IF(R236="","",INDEX(挂机升级突破!$AE$35:$AG$55,卡牌消耗!L236,INDEX(挂机升级突破!$X$35:$X$55,卡牌消耗!L236)))</f>
        <v>145</v>
      </c>
      <c r="T236" s="15" t="str">
        <f>IF(INDEX(挂机升级突破!$Y$35:$Y$55,卡牌消耗!L236)&gt;0,"灵玉","")</f>
        <v/>
      </c>
      <c r="U236" s="15" t="str">
        <f>IF(INDEX(挂机升级突破!$Y$35:$Y$55,卡牌消耗!L236)&gt;0,INDEX(挂机升级突破!$AH$35:$AH$55,卡牌消耗!L236),"")</f>
        <v/>
      </c>
    </row>
    <row r="237" spans="9:21" ht="16.5" x14ac:dyDescent="0.2">
      <c r="I237" s="35">
        <v>201</v>
      </c>
      <c r="J237" s="15">
        <f t="shared" si="16"/>
        <v>1102010</v>
      </c>
      <c r="K237" s="15">
        <f t="shared" si="17"/>
        <v>4</v>
      </c>
      <c r="L237" s="15">
        <f t="shared" si="19"/>
        <v>12</v>
      </c>
      <c r="M237" s="15" t="str">
        <f t="shared" si="18"/>
        <v>蓝</v>
      </c>
      <c r="N237" s="15" t="str">
        <f t="shared" si="20"/>
        <v>金币</v>
      </c>
      <c r="O237" s="15">
        <f>IF(L237&gt;1,INDEX(挂机升级突破!$AI$35:$AI$55,卡牌消耗!L237),"")</f>
        <v>97000</v>
      </c>
      <c r="P237" s="15" t="str">
        <f>IF(L237&gt;1,INDEX(价值概述!$A$4:$A$8,INDEX(挂机升级突破!$W$35:$W$55,卡牌消耗!L237)),"")</f>
        <v>紫色基础材料</v>
      </c>
      <c r="Q237" s="15">
        <f>IF(L237&gt;1,INDEX(挂机升级突破!$Z$35:$AD$55,卡牌消耗!L237,INDEX(挂机升级突破!$W$35:$W$55,卡牌消耗!L237)),"")</f>
        <v>285</v>
      </c>
      <c r="R237" s="15" t="str">
        <f>IF(INDEX(挂机升级突破!$X$35:$X$55,卡牌消耗!L237)&gt;0,INDEX($G$2:$I$2,INDEX(挂机升级突破!$X$35:$X$55,卡牌消耗!L237))&amp;M237,"")</f>
        <v>中级蓝</v>
      </c>
      <c r="S237" s="15">
        <f>IF(R237="","",INDEX(挂机升级突破!$AE$35:$AG$55,卡牌消耗!L237,INDEX(挂机升级突破!$X$35:$X$55,卡牌消耗!L237)))</f>
        <v>185</v>
      </c>
      <c r="T237" s="15" t="str">
        <f>IF(INDEX(挂机升级突破!$Y$35:$Y$55,卡牌消耗!L237)&gt;0,"灵玉","")</f>
        <v/>
      </c>
      <c r="U237" s="15" t="str">
        <f>IF(INDEX(挂机升级突破!$Y$35:$Y$55,卡牌消耗!L237)&gt;0,INDEX(挂机升级突破!$AH$35:$AH$55,卡牌消耗!L237),"")</f>
        <v/>
      </c>
    </row>
    <row r="238" spans="9:21" ht="16.5" x14ac:dyDescent="0.2">
      <c r="I238" s="35">
        <v>202</v>
      </c>
      <c r="J238" s="15">
        <f t="shared" si="16"/>
        <v>1102010</v>
      </c>
      <c r="K238" s="15">
        <f t="shared" si="17"/>
        <v>4</v>
      </c>
      <c r="L238" s="15">
        <f t="shared" si="19"/>
        <v>13</v>
      </c>
      <c r="M238" s="15" t="str">
        <f t="shared" si="18"/>
        <v>蓝</v>
      </c>
      <c r="N238" s="15" t="str">
        <f t="shared" si="20"/>
        <v>金币</v>
      </c>
      <c r="O238" s="15">
        <f>IF(L238&gt;1,INDEX(挂机升级突破!$AI$35:$AI$55,卡牌消耗!L238),"")</f>
        <v>122000</v>
      </c>
      <c r="P238" s="15" t="str">
        <f>IF(L238&gt;1,INDEX(价值概述!$A$4:$A$8,INDEX(挂机升级突破!$W$35:$W$55,卡牌消耗!L238)),"")</f>
        <v>橙色基础材料</v>
      </c>
      <c r="Q238" s="15">
        <f>IF(L238&gt;1,INDEX(挂机升级突破!$Z$35:$AD$55,卡牌消耗!L238,INDEX(挂机升级突破!$W$35:$W$55,卡牌消耗!L238)),"")</f>
        <v>115</v>
      </c>
      <c r="R238" s="15" t="str">
        <f>IF(INDEX(挂机升级突破!$X$35:$X$55,卡牌消耗!L238)&gt;0,INDEX($G$2:$I$2,INDEX(挂机升级突破!$X$35:$X$55,卡牌消耗!L238))&amp;M238,"")</f>
        <v>中级蓝</v>
      </c>
      <c r="S238" s="15">
        <f>IF(R238="","",INDEX(挂机升级突破!$AE$35:$AG$55,卡牌消耗!L238,INDEX(挂机升级突破!$X$35:$X$55,卡牌消耗!L238)))</f>
        <v>225</v>
      </c>
      <c r="T238" s="15" t="str">
        <f>IF(INDEX(挂机升级突破!$Y$35:$Y$55,卡牌消耗!L238)&gt;0,"灵玉","")</f>
        <v/>
      </c>
      <c r="U238" s="15" t="str">
        <f>IF(INDEX(挂机升级突破!$Y$35:$Y$55,卡牌消耗!L238)&gt;0,INDEX(挂机升级突破!$AH$35:$AH$55,卡牌消耗!L238),"")</f>
        <v/>
      </c>
    </row>
    <row r="239" spans="9:21" ht="16.5" x14ac:dyDescent="0.2">
      <c r="I239" s="35">
        <v>203</v>
      </c>
      <c r="J239" s="15">
        <f t="shared" si="16"/>
        <v>1102010</v>
      </c>
      <c r="K239" s="15">
        <f t="shared" si="17"/>
        <v>4</v>
      </c>
      <c r="L239" s="15">
        <f t="shared" si="19"/>
        <v>14</v>
      </c>
      <c r="M239" s="15" t="str">
        <f t="shared" si="18"/>
        <v>蓝</v>
      </c>
      <c r="N239" s="15" t="str">
        <f t="shared" si="20"/>
        <v>金币</v>
      </c>
      <c r="O239" s="15">
        <f>IF(L239&gt;1,INDEX(挂机升级突破!$AI$35:$AI$55,卡牌消耗!L239),"")</f>
        <v>162500</v>
      </c>
      <c r="P239" s="15" t="str">
        <f>IF(L239&gt;1,INDEX(价值概述!$A$4:$A$8,INDEX(挂机升级突破!$W$35:$W$55,卡牌消耗!L239)),"")</f>
        <v>橙色基础材料</v>
      </c>
      <c r="Q239" s="15">
        <f>IF(L239&gt;1,INDEX(挂机升级突破!$Z$35:$AD$55,卡牌消耗!L239,INDEX(挂机升级突破!$W$35:$W$55,卡牌消耗!L239)),"")</f>
        <v>235</v>
      </c>
      <c r="R239" s="15" t="str">
        <f>IF(INDEX(挂机升级突破!$X$35:$X$55,卡牌消耗!L239)&gt;0,INDEX($G$2:$I$2,INDEX(挂机升级突破!$X$35:$X$55,卡牌消耗!L239))&amp;M239,"")</f>
        <v>中级蓝</v>
      </c>
      <c r="S239" s="15">
        <f>IF(R239="","",INDEX(挂机升级突破!$AE$35:$AG$55,卡牌消耗!L239,INDEX(挂机升级突破!$X$35:$X$55,卡牌消耗!L239)))</f>
        <v>265</v>
      </c>
      <c r="T239" s="15" t="str">
        <f>IF(INDEX(挂机升级突破!$Y$35:$Y$55,卡牌消耗!L239)&gt;0,"灵玉","")</f>
        <v/>
      </c>
      <c r="U239" s="15" t="str">
        <f>IF(INDEX(挂机升级突破!$Y$35:$Y$55,卡牌消耗!L239)&gt;0,INDEX(挂机升级突破!$AH$35:$AH$55,卡牌消耗!L239),"")</f>
        <v/>
      </c>
    </row>
    <row r="240" spans="9:21" ht="16.5" x14ac:dyDescent="0.2">
      <c r="I240" s="35">
        <v>204</v>
      </c>
      <c r="J240" s="15">
        <f t="shared" si="16"/>
        <v>1102010</v>
      </c>
      <c r="K240" s="15">
        <f t="shared" si="17"/>
        <v>4</v>
      </c>
      <c r="L240" s="15">
        <f t="shared" si="19"/>
        <v>15</v>
      </c>
      <c r="M240" s="15" t="str">
        <f t="shared" si="18"/>
        <v>蓝</v>
      </c>
      <c r="N240" s="15" t="str">
        <f t="shared" si="20"/>
        <v>金币</v>
      </c>
      <c r="O240" s="15">
        <f>IF(L240&gt;1,INDEX(挂机升级突破!$AI$35:$AI$55,卡牌消耗!L240),"")</f>
        <v>190000</v>
      </c>
      <c r="P240" s="15" t="str">
        <f>IF(L240&gt;1,INDEX(价值概述!$A$4:$A$8,INDEX(挂机升级突破!$W$35:$W$55,卡牌消耗!L240)),"")</f>
        <v>橙色基础材料</v>
      </c>
      <c r="Q240" s="15">
        <f>IF(L240&gt;1,INDEX(挂机升级突破!$Z$35:$AD$55,卡牌消耗!L240,INDEX(挂机升级突破!$W$35:$W$55,卡牌消耗!L240)),"")</f>
        <v>355</v>
      </c>
      <c r="R240" s="15" t="str">
        <f>IF(INDEX(挂机升级突破!$X$35:$X$55,卡牌消耗!L240)&gt;0,INDEX($G$2:$I$2,INDEX(挂机升级突破!$X$35:$X$55,卡牌消耗!L240))&amp;M240,"")</f>
        <v>高级蓝</v>
      </c>
      <c r="S240" s="15">
        <f>IF(R240="","",INDEX(挂机升级突破!$AE$35:$AG$55,卡牌消耗!L240,INDEX(挂机升级突破!$X$35:$X$55,卡牌消耗!L240)))</f>
        <v>45</v>
      </c>
      <c r="T240" s="15" t="str">
        <f>IF(INDEX(挂机升级突破!$Y$35:$Y$55,卡牌消耗!L240)&gt;0,"灵玉","")</f>
        <v/>
      </c>
      <c r="U240" s="15" t="str">
        <f>IF(INDEX(挂机升级突破!$Y$35:$Y$55,卡牌消耗!L240)&gt;0,INDEX(挂机升级突破!$AH$35:$AH$55,卡牌消耗!L240),"")</f>
        <v/>
      </c>
    </row>
    <row r="241" spans="9:21" ht="16.5" x14ac:dyDescent="0.2">
      <c r="I241" s="35">
        <v>205</v>
      </c>
      <c r="J241" s="15">
        <f t="shared" si="16"/>
        <v>1102010</v>
      </c>
      <c r="K241" s="15">
        <f t="shared" si="17"/>
        <v>4</v>
      </c>
      <c r="L241" s="15">
        <f t="shared" si="19"/>
        <v>16</v>
      </c>
      <c r="M241" s="15" t="str">
        <f t="shared" si="18"/>
        <v>蓝</v>
      </c>
      <c r="N241" s="15" t="str">
        <f t="shared" si="20"/>
        <v>金币</v>
      </c>
      <c r="O241" s="15">
        <f>IF(L241&gt;1,INDEX(挂机升级突破!$AI$35:$AI$55,卡牌消耗!L241),"")</f>
        <v>219000</v>
      </c>
      <c r="P241" s="15" t="str">
        <f>IF(L241&gt;1,INDEX(价值概述!$A$4:$A$8,INDEX(挂机升级突破!$W$35:$W$55,卡牌消耗!L241)),"")</f>
        <v>橙色基础材料</v>
      </c>
      <c r="Q241" s="15">
        <f>IF(L241&gt;1,INDEX(挂机升级突破!$Z$35:$AD$55,卡牌消耗!L241,INDEX(挂机升级突破!$W$35:$W$55,卡牌消耗!L241)),"")</f>
        <v>475</v>
      </c>
      <c r="R241" s="15" t="str">
        <f>IF(INDEX(挂机升级突破!$X$35:$X$55,卡牌消耗!L241)&gt;0,INDEX($G$2:$I$2,INDEX(挂机升级突破!$X$35:$X$55,卡牌消耗!L241))&amp;M241,"")</f>
        <v>高级蓝</v>
      </c>
      <c r="S241" s="15">
        <f>IF(R241="","",INDEX(挂机升级突破!$AE$35:$AG$55,卡牌消耗!L241,INDEX(挂机升级突破!$X$35:$X$55,卡牌消耗!L241)))</f>
        <v>70</v>
      </c>
      <c r="T241" s="15" t="str">
        <f>IF(INDEX(挂机升级突破!$Y$35:$Y$55,卡牌消耗!L241)&gt;0,"灵玉","")</f>
        <v/>
      </c>
      <c r="U241" s="15" t="str">
        <f>IF(INDEX(挂机升级突破!$Y$35:$Y$55,卡牌消耗!L241)&gt;0,INDEX(挂机升级突破!$AH$35:$AH$55,卡牌消耗!L241),"")</f>
        <v/>
      </c>
    </row>
    <row r="242" spans="9:21" ht="16.5" x14ac:dyDescent="0.2">
      <c r="I242" s="35">
        <v>206</v>
      </c>
      <c r="J242" s="15">
        <f t="shared" si="16"/>
        <v>1102010</v>
      </c>
      <c r="K242" s="15">
        <f t="shared" si="17"/>
        <v>4</v>
      </c>
      <c r="L242" s="15">
        <f t="shared" si="19"/>
        <v>17</v>
      </c>
      <c r="M242" s="15" t="str">
        <f t="shared" si="18"/>
        <v>蓝</v>
      </c>
      <c r="N242" s="15" t="str">
        <f t="shared" si="20"/>
        <v>金币</v>
      </c>
      <c r="O242" s="15">
        <f>IF(L242&gt;1,INDEX(挂机升级突破!$AI$35:$AI$55,卡牌消耗!L242),"")</f>
        <v>228000</v>
      </c>
      <c r="P242" s="15" t="str">
        <f>IF(L242&gt;1,INDEX(价值概述!$A$4:$A$8,INDEX(挂机升级突破!$W$35:$W$55,卡牌消耗!L242)),"")</f>
        <v>红色基础材料</v>
      </c>
      <c r="Q242" s="15">
        <f>IF(L242&gt;1,INDEX(挂机升级突破!$Z$35:$AD$55,卡牌消耗!L242,INDEX(挂机升级突破!$W$35:$W$55,卡牌消耗!L242)),"")</f>
        <v>45</v>
      </c>
      <c r="R242" s="15" t="str">
        <f>IF(INDEX(挂机升级突破!$X$35:$X$55,卡牌消耗!L242)&gt;0,INDEX($G$2:$I$2,INDEX(挂机升级突破!$X$35:$X$55,卡牌消耗!L242))&amp;M242,"")</f>
        <v>高级蓝</v>
      </c>
      <c r="S242" s="15">
        <f>IF(R242="","",INDEX(挂机升级突破!$AE$35:$AG$55,卡牌消耗!L242,INDEX(挂机升级突破!$X$35:$X$55,卡牌消耗!L242)))</f>
        <v>100</v>
      </c>
      <c r="T242" s="15" t="str">
        <f>IF(INDEX(挂机升级突破!$Y$35:$Y$55,卡牌消耗!L242)&gt;0,"灵玉","")</f>
        <v>灵玉</v>
      </c>
      <c r="U242" s="15">
        <f>IF(INDEX(挂机升级突破!$Y$35:$Y$55,卡牌消耗!L242)&gt;0,INDEX(挂机升级突破!$AH$35:$AH$55,卡牌消耗!L242),"")</f>
        <v>25</v>
      </c>
    </row>
    <row r="243" spans="9:21" ht="16.5" x14ac:dyDescent="0.2">
      <c r="I243" s="35">
        <v>207</v>
      </c>
      <c r="J243" s="15">
        <f t="shared" si="16"/>
        <v>1102010</v>
      </c>
      <c r="K243" s="15">
        <f t="shared" si="17"/>
        <v>4</v>
      </c>
      <c r="L243" s="15">
        <f t="shared" si="19"/>
        <v>18</v>
      </c>
      <c r="M243" s="15" t="str">
        <f t="shared" si="18"/>
        <v>蓝</v>
      </c>
      <c r="N243" s="15" t="str">
        <f t="shared" si="20"/>
        <v>金币</v>
      </c>
      <c r="O243" s="15">
        <f>IF(L243&gt;1,INDEX(挂机升级突破!$AI$35:$AI$55,卡牌消耗!L243),"")</f>
        <v>319500</v>
      </c>
      <c r="P243" s="15" t="str">
        <f>IF(L243&gt;1,INDEX(价值概述!$A$4:$A$8,INDEX(挂机升级突破!$W$35:$W$55,卡牌消耗!L243)),"")</f>
        <v>红色基础材料</v>
      </c>
      <c r="Q243" s="15">
        <f>IF(L243&gt;1,INDEX(挂机升级突破!$Z$35:$AD$55,卡牌消耗!L243,INDEX(挂机升级突破!$W$35:$W$55,卡牌消耗!L243)),"")</f>
        <v>65</v>
      </c>
      <c r="R243" s="15" t="str">
        <f>IF(INDEX(挂机升级突破!$X$35:$X$55,卡牌消耗!L243)&gt;0,INDEX($G$2:$I$2,INDEX(挂机升级突破!$X$35:$X$55,卡牌消耗!L243))&amp;M243,"")</f>
        <v>高级蓝</v>
      </c>
      <c r="S243" s="15">
        <f>IF(R243="","",INDEX(挂机升级突破!$AE$35:$AG$55,卡牌消耗!L243,INDEX(挂机升级突破!$X$35:$X$55,卡牌消耗!L243)))</f>
        <v>125</v>
      </c>
      <c r="T243" s="15" t="str">
        <f>IF(INDEX(挂机升级突破!$Y$35:$Y$55,卡牌消耗!L243)&gt;0,"灵玉","")</f>
        <v>灵玉</v>
      </c>
      <c r="U243" s="15">
        <f>IF(INDEX(挂机升级突破!$Y$35:$Y$55,卡牌消耗!L243)&gt;0,INDEX(挂机升级突破!$AH$35:$AH$55,卡牌消耗!L243),"")</f>
        <v>35</v>
      </c>
    </row>
    <row r="244" spans="9:21" ht="16.5" x14ac:dyDescent="0.2">
      <c r="I244" s="35">
        <v>208</v>
      </c>
      <c r="J244" s="15">
        <f t="shared" si="16"/>
        <v>1102010</v>
      </c>
      <c r="K244" s="15">
        <f t="shared" si="17"/>
        <v>4</v>
      </c>
      <c r="L244" s="15">
        <f t="shared" si="19"/>
        <v>19</v>
      </c>
      <c r="M244" s="15" t="str">
        <f t="shared" si="18"/>
        <v>蓝</v>
      </c>
      <c r="N244" s="15" t="str">
        <f t="shared" si="20"/>
        <v>金币</v>
      </c>
      <c r="O244" s="15">
        <f>IF(L244&gt;1,INDEX(挂机升级突破!$AI$35:$AI$55,卡牌消耗!L244),"")</f>
        <v>426000</v>
      </c>
      <c r="P244" s="15" t="str">
        <f>IF(L244&gt;1,INDEX(价值概述!$A$4:$A$8,INDEX(挂机升级突破!$W$35:$W$55,卡牌消耗!L244)),"")</f>
        <v>红色基础材料</v>
      </c>
      <c r="Q244" s="15">
        <f>IF(L244&gt;1,INDEX(挂机升级突破!$Z$35:$AD$55,卡牌消耗!L244,INDEX(挂机升级突破!$W$35:$W$55,卡牌消耗!L244)),"")</f>
        <v>90</v>
      </c>
      <c r="R244" s="15" t="str">
        <f>IF(INDEX(挂机升级突破!$X$35:$X$55,卡牌消耗!L244)&gt;0,INDEX($G$2:$I$2,INDEX(挂机升级突破!$X$35:$X$55,卡牌消耗!L244))&amp;M244,"")</f>
        <v>高级蓝</v>
      </c>
      <c r="S244" s="15">
        <f>IF(R244="","",INDEX(挂机升级突破!$AE$35:$AG$55,卡牌消耗!L244,INDEX(挂机升级突破!$X$35:$X$55,卡牌消耗!L244)))</f>
        <v>155</v>
      </c>
      <c r="T244" s="15" t="str">
        <f>IF(INDEX(挂机升级突破!$Y$35:$Y$55,卡牌消耗!L244)&gt;0,"灵玉","")</f>
        <v>灵玉</v>
      </c>
      <c r="U244" s="15">
        <f>IF(INDEX(挂机升级突破!$Y$35:$Y$55,卡牌消耗!L244)&gt;0,INDEX(挂机升级突破!$AH$35:$AH$55,卡牌消耗!L244),"")</f>
        <v>50</v>
      </c>
    </row>
    <row r="245" spans="9:21" ht="16.5" x14ac:dyDescent="0.2">
      <c r="I245" s="35">
        <v>209</v>
      </c>
      <c r="J245" s="15">
        <f t="shared" si="16"/>
        <v>1102010</v>
      </c>
      <c r="K245" s="15">
        <f t="shared" si="17"/>
        <v>4</v>
      </c>
      <c r="L245" s="15">
        <f t="shared" si="19"/>
        <v>20</v>
      </c>
      <c r="M245" s="15" t="str">
        <f t="shared" si="18"/>
        <v>蓝</v>
      </c>
      <c r="N245" s="15" t="str">
        <f t="shared" si="20"/>
        <v>金币</v>
      </c>
      <c r="O245" s="15">
        <f>IF(L245&gt;1,INDEX(挂机升级突破!$AI$35:$AI$55,卡牌消耗!L245),"")</f>
        <v>532500</v>
      </c>
      <c r="P245" s="15" t="str">
        <f>IF(L245&gt;1,INDEX(价值概述!$A$4:$A$8,INDEX(挂机升级突破!$W$35:$W$55,卡牌消耗!L245)),"")</f>
        <v>红色基础材料</v>
      </c>
      <c r="Q245" s="15">
        <f>IF(L245&gt;1,INDEX(挂机升级突破!$Z$35:$AD$55,卡牌消耗!L245,INDEX(挂机升级突破!$W$35:$W$55,卡牌消耗!L245)),"")</f>
        <v>110</v>
      </c>
      <c r="R245" s="15" t="str">
        <f>IF(INDEX(挂机升级突破!$X$35:$X$55,卡牌消耗!L245)&gt;0,INDEX($G$2:$I$2,INDEX(挂机升级突破!$X$35:$X$55,卡牌消耗!L245))&amp;M245,"")</f>
        <v>高级蓝</v>
      </c>
      <c r="S245" s="15">
        <f>IF(R245="","",INDEX(挂机升级突破!$AE$35:$AG$55,卡牌消耗!L245,INDEX(挂机升级突破!$X$35:$X$55,卡牌消耗!L245)))</f>
        <v>180</v>
      </c>
      <c r="T245" s="15" t="str">
        <f>IF(INDEX(挂机升级突破!$Y$35:$Y$55,卡牌消耗!L245)&gt;0,"灵玉","")</f>
        <v>灵玉</v>
      </c>
      <c r="U245" s="15">
        <f>IF(INDEX(挂机升级突破!$Y$35:$Y$55,卡牌消耗!L245)&gt;0,INDEX(挂机升级突破!$AH$35:$AH$55,卡牌消耗!L245),"")</f>
        <v>65</v>
      </c>
    </row>
    <row r="246" spans="9:21" ht="16.5" x14ac:dyDescent="0.2">
      <c r="I246" s="35">
        <v>210</v>
      </c>
      <c r="J246" s="15">
        <f t="shared" si="16"/>
        <v>1102010</v>
      </c>
      <c r="K246" s="15">
        <f t="shared" si="17"/>
        <v>4</v>
      </c>
      <c r="L246" s="15">
        <f t="shared" si="19"/>
        <v>21</v>
      </c>
      <c r="M246" s="15" t="str">
        <f t="shared" si="18"/>
        <v>蓝</v>
      </c>
      <c r="N246" s="15" t="str">
        <f t="shared" si="20"/>
        <v>金币</v>
      </c>
      <c r="O246" s="15">
        <f>IF(L246&gt;1,INDEX(挂机升级突破!$AI$35:$AI$55,卡牌消耗!L246),"")</f>
        <v>639000</v>
      </c>
      <c r="P246" s="15" t="str">
        <f>IF(L246&gt;1,INDEX(价值概述!$A$4:$A$8,INDEX(挂机升级突破!$W$35:$W$55,卡牌消耗!L246)),"")</f>
        <v>红色基础材料</v>
      </c>
      <c r="Q246" s="15">
        <f>IF(L246&gt;1,INDEX(挂机升级突破!$Z$35:$AD$55,卡牌消耗!L246,INDEX(挂机升级突破!$W$35:$W$55,卡牌消耗!L246)),"")</f>
        <v>135</v>
      </c>
      <c r="R246" s="15" t="str">
        <f>IF(INDEX(挂机升级突破!$X$35:$X$55,卡牌消耗!L246)&gt;0,INDEX($G$2:$I$2,INDEX(挂机升级突破!$X$35:$X$55,卡牌消耗!L246))&amp;M246,"")</f>
        <v>高级蓝</v>
      </c>
      <c r="S246" s="15">
        <f>IF(R246="","",INDEX(挂机升级突破!$AE$35:$AG$55,卡牌消耗!L246,INDEX(挂机升级突破!$X$35:$X$55,卡牌消耗!L246)))</f>
        <v>225</v>
      </c>
      <c r="T246" s="15" t="str">
        <f>IF(INDEX(挂机升级突破!$Y$35:$Y$55,卡牌消耗!L246)&gt;0,"灵玉","")</f>
        <v>灵玉</v>
      </c>
      <c r="U246" s="15">
        <f>IF(INDEX(挂机升级突破!$Y$35:$Y$55,卡牌消耗!L246)&gt;0,INDEX(挂机升级突破!$AH$35:$AH$55,卡牌消耗!L246),"")</f>
        <v>75</v>
      </c>
    </row>
    <row r="247" spans="9:21" ht="16.5" x14ac:dyDescent="0.2">
      <c r="I247" s="35">
        <v>211</v>
      </c>
      <c r="J247" s="15">
        <f t="shared" si="16"/>
        <v>1102011</v>
      </c>
      <c r="K247" s="15">
        <f t="shared" si="17"/>
        <v>4</v>
      </c>
      <c r="L247" s="15">
        <f t="shared" si="19"/>
        <v>1</v>
      </c>
      <c r="M247" s="15" t="str">
        <f t="shared" si="18"/>
        <v>黄</v>
      </c>
      <c r="N247" s="15" t="str">
        <f t="shared" si="20"/>
        <v/>
      </c>
      <c r="O247" s="15" t="str">
        <f>IF(L247&gt;1,INDEX(挂机升级突破!$AI$35:$AI$55,卡牌消耗!L247),"")</f>
        <v/>
      </c>
      <c r="P247" s="15" t="str">
        <f>IF(L247&gt;1,INDEX(价值概述!$A$4:$A$8,INDEX(挂机升级突破!$W$35:$W$55,卡牌消耗!L247)),"")</f>
        <v/>
      </c>
      <c r="Q247" s="15" t="str">
        <f>IF(L247&gt;1,INDEX(挂机升级突破!$Z$35:$AD$55,卡牌消耗!L247,INDEX(挂机升级突破!$W$35:$W$55,卡牌消耗!L247)),"")</f>
        <v/>
      </c>
      <c r="R247" s="15" t="str">
        <f>IF(INDEX(挂机升级突破!$X$35:$X$55,卡牌消耗!L247)&gt;0,INDEX($G$2:$I$2,INDEX(挂机升级突破!$X$35:$X$55,卡牌消耗!L247))&amp;M247,"")</f>
        <v/>
      </c>
      <c r="S247" s="15" t="str">
        <f>IF(R247="","",INDEX(挂机升级突破!$AE$35:$AG$55,卡牌消耗!L247,INDEX(挂机升级突破!$X$35:$X$55,卡牌消耗!L247)))</f>
        <v/>
      </c>
      <c r="T247" s="15" t="str">
        <f>IF(INDEX(挂机升级突破!$Y$35:$Y$55,卡牌消耗!L247)&gt;0,"灵玉","")</f>
        <v/>
      </c>
      <c r="U247" s="15" t="str">
        <f>IF(INDEX(挂机升级突破!$Y$35:$Y$55,卡牌消耗!L247)&gt;0,INDEX(挂机升级突破!$AH$35:$AH$55,卡牌消耗!L247),"")</f>
        <v/>
      </c>
    </row>
    <row r="248" spans="9:21" ht="16.5" x14ac:dyDescent="0.2">
      <c r="I248" s="35">
        <v>212</v>
      </c>
      <c r="J248" s="15">
        <f t="shared" si="16"/>
        <v>1102011</v>
      </c>
      <c r="K248" s="15">
        <f t="shared" si="17"/>
        <v>4</v>
      </c>
      <c r="L248" s="15">
        <f t="shared" si="19"/>
        <v>2</v>
      </c>
      <c r="M248" s="15" t="str">
        <f t="shared" si="18"/>
        <v>黄</v>
      </c>
      <c r="N248" s="15" t="str">
        <f t="shared" si="20"/>
        <v>金币</v>
      </c>
      <c r="O248" s="15">
        <f>IF(L248&gt;1,INDEX(挂机升级突破!$AI$35:$AI$55,卡牌消耗!L248),"")</f>
        <v>2500</v>
      </c>
      <c r="P248" s="15" t="str">
        <f>IF(L248&gt;1,INDEX(价值概述!$A$4:$A$8,INDEX(挂机升级突破!$W$35:$W$55,卡牌消耗!L248)),"")</f>
        <v>绿色基础材料</v>
      </c>
      <c r="Q248" s="15">
        <f>IF(L248&gt;1,INDEX(挂机升级突破!$Z$35:$AD$55,卡牌消耗!L248,INDEX(挂机升级突破!$W$35:$W$55,卡牌消耗!L248)),"")</f>
        <v>10</v>
      </c>
      <c r="R248" s="15" t="str">
        <f>IF(INDEX(挂机升级突破!$X$35:$X$55,卡牌消耗!L248)&gt;0,INDEX($G$2:$I$2,INDEX(挂机升级突破!$X$35:$X$55,卡牌消耗!L248))&amp;M248,"")</f>
        <v/>
      </c>
      <c r="S248" s="15" t="str">
        <f>IF(R248="","",INDEX(挂机升级突破!$AE$35:$AG$55,卡牌消耗!L248,INDEX(挂机升级突破!$X$35:$X$55,卡牌消耗!L248)))</f>
        <v/>
      </c>
      <c r="T248" s="15" t="str">
        <f>IF(INDEX(挂机升级突破!$Y$35:$Y$55,卡牌消耗!L248)&gt;0,"灵玉","")</f>
        <v/>
      </c>
      <c r="U248" s="15" t="str">
        <f>IF(INDEX(挂机升级突破!$Y$35:$Y$55,卡牌消耗!L248)&gt;0,INDEX(挂机升级突破!$AH$35:$AH$55,卡牌消耗!L248),"")</f>
        <v/>
      </c>
    </row>
    <row r="249" spans="9:21" ht="16.5" x14ac:dyDescent="0.2">
      <c r="I249" s="35">
        <v>213</v>
      </c>
      <c r="J249" s="15">
        <f t="shared" si="16"/>
        <v>1102011</v>
      </c>
      <c r="K249" s="15">
        <f t="shared" si="17"/>
        <v>4</v>
      </c>
      <c r="L249" s="15">
        <f t="shared" si="19"/>
        <v>3</v>
      </c>
      <c r="M249" s="15" t="str">
        <f t="shared" si="18"/>
        <v>黄</v>
      </c>
      <c r="N249" s="15" t="str">
        <f t="shared" si="20"/>
        <v>金币</v>
      </c>
      <c r="O249" s="15">
        <f>IF(L249&gt;1,INDEX(挂机升级突破!$AI$35:$AI$55,卡牌消耗!L249),"")</f>
        <v>8000</v>
      </c>
      <c r="P249" s="15" t="str">
        <f>IF(L249&gt;1,INDEX(价值概述!$A$4:$A$8,INDEX(挂机升级突破!$W$35:$W$55,卡牌消耗!L249)),"")</f>
        <v>绿色基础材料</v>
      </c>
      <c r="Q249" s="15">
        <f>IF(L249&gt;1,INDEX(挂机升级突破!$Z$35:$AD$55,卡牌消耗!L249,INDEX(挂机升级突破!$W$35:$W$55,卡牌消耗!L249)),"")</f>
        <v>40</v>
      </c>
      <c r="R249" s="15" t="str">
        <f>IF(INDEX(挂机升级突破!$X$35:$X$55,卡牌消耗!L249)&gt;0,INDEX($G$2:$I$2,INDEX(挂机升级突破!$X$35:$X$55,卡牌消耗!L249))&amp;M249,"")</f>
        <v/>
      </c>
      <c r="S249" s="15" t="str">
        <f>IF(R249="","",INDEX(挂机升级突破!$AE$35:$AG$55,卡牌消耗!L249,INDEX(挂机升级突破!$X$35:$X$55,卡牌消耗!L249)))</f>
        <v/>
      </c>
      <c r="T249" s="15" t="str">
        <f>IF(INDEX(挂机升级突破!$Y$35:$Y$55,卡牌消耗!L249)&gt;0,"灵玉","")</f>
        <v/>
      </c>
      <c r="U249" s="15" t="str">
        <f>IF(INDEX(挂机升级突破!$Y$35:$Y$55,卡牌消耗!L249)&gt;0,INDEX(挂机升级突破!$AH$35:$AH$55,卡牌消耗!L249),"")</f>
        <v/>
      </c>
    </row>
    <row r="250" spans="9:21" ht="16.5" x14ac:dyDescent="0.2">
      <c r="I250" s="35">
        <v>214</v>
      </c>
      <c r="J250" s="15">
        <f t="shared" si="16"/>
        <v>1102011</v>
      </c>
      <c r="K250" s="15">
        <f t="shared" si="17"/>
        <v>4</v>
      </c>
      <c r="L250" s="15">
        <f t="shared" si="19"/>
        <v>4</v>
      </c>
      <c r="M250" s="15" t="str">
        <f t="shared" si="18"/>
        <v>黄</v>
      </c>
      <c r="N250" s="15" t="str">
        <f t="shared" si="20"/>
        <v>金币</v>
      </c>
      <c r="O250" s="15">
        <f>IF(L250&gt;1,INDEX(挂机升级突破!$AI$35:$AI$55,卡牌消耗!L250),"")</f>
        <v>16500</v>
      </c>
      <c r="P250" s="15" t="str">
        <f>IF(L250&gt;1,INDEX(价值概述!$A$4:$A$8,INDEX(挂机升级突破!$W$35:$W$55,卡牌消耗!L250)),"")</f>
        <v>绿色基础材料</v>
      </c>
      <c r="Q250" s="15">
        <f>IF(L250&gt;1,INDEX(挂机升级突破!$Z$35:$AD$55,卡牌消耗!L250,INDEX(挂机升级突破!$W$35:$W$55,卡牌消耗!L250)),"")</f>
        <v>80</v>
      </c>
      <c r="R250" s="15" t="str">
        <f>IF(INDEX(挂机升级突破!$X$35:$X$55,卡牌消耗!L250)&gt;0,INDEX($G$2:$I$2,INDEX(挂机升级突破!$X$35:$X$55,卡牌消耗!L250))&amp;M250,"")</f>
        <v>初级黄</v>
      </c>
      <c r="S250" s="15">
        <f>IF(R250="","",INDEX(挂机升级突破!$AE$35:$AG$55,卡牌消耗!L250,INDEX(挂机升级突破!$X$35:$X$55,卡牌消耗!L250)))</f>
        <v>40</v>
      </c>
      <c r="T250" s="15" t="str">
        <f>IF(INDEX(挂机升级突破!$Y$35:$Y$55,卡牌消耗!L250)&gt;0,"灵玉","")</f>
        <v/>
      </c>
      <c r="U250" s="15" t="str">
        <f>IF(INDEX(挂机升级突破!$Y$35:$Y$55,卡牌消耗!L250)&gt;0,INDEX(挂机升级突破!$AH$35:$AH$55,卡牌消耗!L250),"")</f>
        <v/>
      </c>
    </row>
    <row r="251" spans="9:21" ht="16.5" x14ac:dyDescent="0.2">
      <c r="I251" s="35">
        <v>215</v>
      </c>
      <c r="J251" s="15">
        <f t="shared" si="16"/>
        <v>1102011</v>
      </c>
      <c r="K251" s="15">
        <f t="shared" si="17"/>
        <v>4</v>
      </c>
      <c r="L251" s="15">
        <f t="shared" si="19"/>
        <v>5</v>
      </c>
      <c r="M251" s="15" t="str">
        <f t="shared" si="18"/>
        <v>黄</v>
      </c>
      <c r="N251" s="15" t="str">
        <f t="shared" si="20"/>
        <v>金币</v>
      </c>
      <c r="O251" s="15">
        <f>IF(L251&gt;1,INDEX(挂机升级突破!$AI$35:$AI$55,卡牌消耗!L251),"")</f>
        <v>22500</v>
      </c>
      <c r="P251" s="15" t="str">
        <f>IF(L251&gt;1,INDEX(价值概述!$A$4:$A$8,INDEX(挂机升级突破!$W$35:$W$55,卡牌消耗!L251)),"")</f>
        <v>蓝色基础材料</v>
      </c>
      <c r="Q251" s="15">
        <f>IF(L251&gt;1,INDEX(挂机升级突破!$Z$35:$AD$55,卡牌消耗!L251,INDEX(挂机升级突破!$W$35:$W$55,卡牌消耗!L251)),"")</f>
        <v>35</v>
      </c>
      <c r="R251" s="15" t="str">
        <f>IF(INDEX(挂机升级突破!$X$35:$X$55,卡牌消耗!L251)&gt;0,INDEX($G$2:$I$2,INDEX(挂机升级突破!$X$35:$X$55,卡牌消耗!L251))&amp;M251,"")</f>
        <v>初级黄</v>
      </c>
      <c r="S251" s="15">
        <f>IF(R251="","",INDEX(挂机升级突破!$AE$35:$AG$55,卡牌消耗!L251,INDEX(挂机升级突破!$X$35:$X$55,卡牌消耗!L251)))</f>
        <v>65</v>
      </c>
      <c r="T251" s="15" t="str">
        <f>IF(INDEX(挂机升级突破!$Y$35:$Y$55,卡牌消耗!L251)&gt;0,"灵玉","")</f>
        <v/>
      </c>
      <c r="U251" s="15" t="str">
        <f>IF(INDEX(挂机升级突破!$Y$35:$Y$55,卡牌消耗!L251)&gt;0,INDEX(挂机升级突破!$AH$35:$AH$55,卡牌消耗!L251),"")</f>
        <v/>
      </c>
    </row>
    <row r="252" spans="9:21" ht="16.5" x14ac:dyDescent="0.2">
      <c r="I252" s="35">
        <v>216</v>
      </c>
      <c r="J252" s="15">
        <f t="shared" si="16"/>
        <v>1102011</v>
      </c>
      <c r="K252" s="15">
        <f t="shared" si="17"/>
        <v>4</v>
      </c>
      <c r="L252" s="15">
        <f t="shared" si="19"/>
        <v>6</v>
      </c>
      <c r="M252" s="15" t="str">
        <f t="shared" si="18"/>
        <v>黄</v>
      </c>
      <c r="N252" s="15" t="str">
        <f t="shared" si="20"/>
        <v>金币</v>
      </c>
      <c r="O252" s="15">
        <f>IF(L252&gt;1,INDEX(挂机升级突破!$AI$35:$AI$55,卡牌消耗!L252),"")</f>
        <v>53000</v>
      </c>
      <c r="P252" s="15" t="str">
        <f>IF(L252&gt;1,INDEX(价值概述!$A$4:$A$8,INDEX(挂机升级突破!$W$35:$W$55,卡牌消耗!L252)),"")</f>
        <v>蓝色基础材料</v>
      </c>
      <c r="Q252" s="15">
        <f>IF(L252&gt;1,INDEX(挂机升级突破!$Z$35:$AD$55,卡牌消耗!L252,INDEX(挂机升级突破!$W$35:$W$55,卡牌消耗!L252)),"")</f>
        <v>70</v>
      </c>
      <c r="R252" s="15" t="str">
        <f>IF(INDEX(挂机升级突破!$X$35:$X$55,卡牌消耗!L252)&gt;0,INDEX($G$2:$I$2,INDEX(挂机升级突破!$X$35:$X$55,卡牌消耗!L252))&amp;M252,"")</f>
        <v>初级黄</v>
      </c>
      <c r="S252" s="15">
        <f>IF(R252="","",INDEX(挂机升级突破!$AE$35:$AG$55,卡牌消耗!L252,INDEX(挂机升级突破!$X$35:$X$55,卡牌消耗!L252)))</f>
        <v>85</v>
      </c>
      <c r="T252" s="15" t="str">
        <f>IF(INDEX(挂机升级突破!$Y$35:$Y$55,卡牌消耗!L252)&gt;0,"灵玉","")</f>
        <v/>
      </c>
      <c r="U252" s="15" t="str">
        <f>IF(INDEX(挂机升级突破!$Y$35:$Y$55,卡牌消耗!L252)&gt;0,INDEX(挂机升级突破!$AH$35:$AH$55,卡牌消耗!L252),"")</f>
        <v/>
      </c>
    </row>
    <row r="253" spans="9:21" ht="16.5" x14ac:dyDescent="0.2">
      <c r="I253" s="35">
        <v>217</v>
      </c>
      <c r="J253" s="15">
        <f t="shared" si="16"/>
        <v>1102011</v>
      </c>
      <c r="K253" s="15">
        <f t="shared" si="17"/>
        <v>4</v>
      </c>
      <c r="L253" s="15">
        <f t="shared" si="19"/>
        <v>7</v>
      </c>
      <c r="M253" s="15" t="str">
        <f t="shared" si="18"/>
        <v>黄</v>
      </c>
      <c r="N253" s="15" t="str">
        <f t="shared" si="20"/>
        <v>金币</v>
      </c>
      <c r="O253" s="15">
        <f>IF(L253&gt;1,INDEX(挂机升级突破!$AI$35:$AI$55,卡牌消耗!L253),"")</f>
        <v>59500</v>
      </c>
      <c r="P253" s="15" t="str">
        <f>IF(L253&gt;1,INDEX(价值概述!$A$4:$A$8,INDEX(挂机升级突破!$W$35:$W$55,卡牌消耗!L253)),"")</f>
        <v>蓝色基础材料</v>
      </c>
      <c r="Q253" s="15">
        <f>IF(L253&gt;1,INDEX(挂机升级突破!$Z$35:$AD$55,卡牌消耗!L253,INDEX(挂机升级突破!$W$35:$W$55,卡牌消耗!L253)),"")</f>
        <v>110</v>
      </c>
      <c r="R253" s="15" t="str">
        <f>IF(INDEX(挂机升级突破!$X$35:$X$55,卡牌消耗!L253)&gt;0,INDEX($G$2:$I$2,INDEX(挂机升级突破!$X$35:$X$55,卡牌消耗!L253))&amp;M253,"")</f>
        <v>初级黄</v>
      </c>
      <c r="S253" s="15">
        <f>IF(R253="","",INDEX(挂机升级突破!$AE$35:$AG$55,卡牌消耗!L253,INDEX(挂机升级突破!$X$35:$X$55,卡牌消耗!L253)))</f>
        <v>110</v>
      </c>
      <c r="T253" s="15" t="str">
        <f>IF(INDEX(挂机升级突破!$Y$35:$Y$55,卡牌消耗!L253)&gt;0,"灵玉","")</f>
        <v/>
      </c>
      <c r="U253" s="15" t="str">
        <f>IF(INDEX(挂机升级突破!$Y$35:$Y$55,卡牌消耗!L253)&gt;0,INDEX(挂机升级突破!$AH$35:$AH$55,卡牌消耗!L253),"")</f>
        <v/>
      </c>
    </row>
    <row r="254" spans="9:21" ht="16.5" x14ac:dyDescent="0.2">
      <c r="I254" s="35">
        <v>218</v>
      </c>
      <c r="J254" s="15">
        <f t="shared" si="16"/>
        <v>1102011</v>
      </c>
      <c r="K254" s="15">
        <f t="shared" si="17"/>
        <v>4</v>
      </c>
      <c r="L254" s="15">
        <f t="shared" si="19"/>
        <v>8</v>
      </c>
      <c r="M254" s="15" t="str">
        <f t="shared" si="18"/>
        <v>黄</v>
      </c>
      <c r="N254" s="15" t="str">
        <f t="shared" si="20"/>
        <v>金币</v>
      </c>
      <c r="O254" s="15">
        <f>IF(L254&gt;1,INDEX(挂机升级突破!$AI$35:$AI$55,卡牌消耗!L254),"")</f>
        <v>65500</v>
      </c>
      <c r="P254" s="15" t="str">
        <f>IF(L254&gt;1,INDEX(价值概述!$A$4:$A$8,INDEX(挂机升级突破!$W$35:$W$55,卡牌消耗!L254)),"")</f>
        <v>蓝色基础材料</v>
      </c>
      <c r="Q254" s="15">
        <f>IF(L254&gt;1,INDEX(挂机升级突破!$Z$35:$AD$55,卡牌消耗!L254,INDEX(挂机升级突破!$W$35:$W$55,卡牌消耗!L254)),"")</f>
        <v>145</v>
      </c>
      <c r="R254" s="15" t="str">
        <f>IF(INDEX(挂机升级突破!$X$35:$X$55,卡牌消耗!L254)&gt;0,INDEX($G$2:$I$2,INDEX(挂机升级突破!$X$35:$X$55,卡牌消耗!L254))&amp;M254,"")</f>
        <v>初级黄</v>
      </c>
      <c r="S254" s="15">
        <f>IF(R254="","",INDEX(挂机升级突破!$AE$35:$AG$55,卡牌消耗!L254,INDEX(挂机升级突破!$X$35:$X$55,卡牌消耗!L254)))</f>
        <v>130</v>
      </c>
      <c r="T254" s="15" t="str">
        <f>IF(INDEX(挂机升级突破!$Y$35:$Y$55,卡牌消耗!L254)&gt;0,"灵玉","")</f>
        <v/>
      </c>
      <c r="U254" s="15" t="str">
        <f>IF(INDEX(挂机升级突破!$Y$35:$Y$55,卡牌消耗!L254)&gt;0,INDEX(挂机升级突破!$AH$35:$AH$55,卡牌消耗!L254),"")</f>
        <v/>
      </c>
    </row>
    <row r="255" spans="9:21" ht="16.5" x14ac:dyDescent="0.2">
      <c r="I255" s="35">
        <v>219</v>
      </c>
      <c r="J255" s="15">
        <f t="shared" si="16"/>
        <v>1102011</v>
      </c>
      <c r="K255" s="15">
        <f t="shared" si="17"/>
        <v>4</v>
      </c>
      <c r="L255" s="15">
        <f t="shared" si="19"/>
        <v>9</v>
      </c>
      <c r="M255" s="15" t="str">
        <f t="shared" si="18"/>
        <v>黄</v>
      </c>
      <c r="N255" s="15" t="str">
        <f t="shared" si="20"/>
        <v>金币</v>
      </c>
      <c r="O255" s="15">
        <f>IF(L255&gt;1,INDEX(挂机升级突破!$AI$35:$AI$55,卡牌消耗!L255),"")</f>
        <v>76000</v>
      </c>
      <c r="P255" s="15" t="str">
        <f>IF(L255&gt;1,INDEX(价值概述!$A$4:$A$8,INDEX(挂机升级突破!$W$35:$W$55,卡牌消耗!L255)),"")</f>
        <v>紫色基础材料</v>
      </c>
      <c r="Q255" s="15">
        <f>IF(L255&gt;1,INDEX(挂机升级突破!$Z$35:$AD$55,卡牌消耗!L255,INDEX(挂机升级突破!$W$35:$W$55,卡牌消耗!L255)),"")</f>
        <v>70</v>
      </c>
      <c r="R255" s="15" t="str">
        <f>IF(INDEX(挂机升级突破!$X$35:$X$55,卡牌消耗!L255)&gt;0,INDEX($G$2:$I$2,INDEX(挂机升级突破!$X$35:$X$55,卡牌消耗!L255))&amp;M255,"")</f>
        <v>中级黄</v>
      </c>
      <c r="S255" s="15">
        <f>IF(R255="","",INDEX(挂机升级突破!$AE$35:$AG$55,卡牌消耗!L255,INDEX(挂机升级突破!$X$35:$X$55,卡牌消耗!L255)))</f>
        <v>55</v>
      </c>
      <c r="T255" s="15" t="str">
        <f>IF(INDEX(挂机升级突破!$Y$35:$Y$55,卡牌消耗!L255)&gt;0,"灵玉","")</f>
        <v/>
      </c>
      <c r="U255" s="15" t="str">
        <f>IF(INDEX(挂机升级突破!$Y$35:$Y$55,卡牌消耗!L255)&gt;0,INDEX(挂机升级突破!$AH$35:$AH$55,卡牌消耗!L255),"")</f>
        <v/>
      </c>
    </row>
    <row r="256" spans="9:21" ht="16.5" x14ac:dyDescent="0.2">
      <c r="I256" s="35">
        <v>220</v>
      </c>
      <c r="J256" s="15">
        <f t="shared" si="16"/>
        <v>1102011</v>
      </c>
      <c r="K256" s="15">
        <f t="shared" si="17"/>
        <v>4</v>
      </c>
      <c r="L256" s="15">
        <f t="shared" si="19"/>
        <v>10</v>
      </c>
      <c r="M256" s="15" t="str">
        <f t="shared" si="18"/>
        <v>黄</v>
      </c>
      <c r="N256" s="15" t="str">
        <f t="shared" si="20"/>
        <v>金币</v>
      </c>
      <c r="O256" s="15">
        <f>IF(L256&gt;1,INDEX(挂机升级突破!$AI$35:$AI$55,卡牌消耗!L256),"")</f>
        <v>83000</v>
      </c>
      <c r="P256" s="15" t="str">
        <f>IF(L256&gt;1,INDEX(价值概述!$A$4:$A$8,INDEX(挂机升级突破!$W$35:$W$55,卡牌消耗!L256)),"")</f>
        <v>紫色基础材料</v>
      </c>
      <c r="Q256" s="15">
        <f>IF(L256&gt;1,INDEX(挂机升级突破!$Z$35:$AD$55,卡牌消耗!L256,INDEX(挂机升级突破!$W$35:$W$55,卡牌消耗!L256)),"")</f>
        <v>140</v>
      </c>
      <c r="R256" s="15" t="str">
        <f>IF(INDEX(挂机升级突破!$X$35:$X$55,卡牌消耗!L256)&gt;0,INDEX($G$2:$I$2,INDEX(挂机升级突破!$X$35:$X$55,卡牌消耗!L256))&amp;M256,"")</f>
        <v>中级黄</v>
      </c>
      <c r="S256" s="15">
        <f>IF(R256="","",INDEX(挂机升级突破!$AE$35:$AG$55,卡牌消耗!L256,INDEX(挂机升级突破!$X$35:$X$55,卡牌消耗!L256)))</f>
        <v>95</v>
      </c>
      <c r="T256" s="15" t="str">
        <f>IF(INDEX(挂机升级突破!$Y$35:$Y$55,卡牌消耗!L256)&gt;0,"灵玉","")</f>
        <v/>
      </c>
      <c r="U256" s="15" t="str">
        <f>IF(INDEX(挂机升级突破!$Y$35:$Y$55,卡牌消耗!L256)&gt;0,INDEX(挂机升级突破!$AH$35:$AH$55,卡牌消耗!L256),"")</f>
        <v/>
      </c>
    </row>
    <row r="257" spans="9:21" ht="16.5" x14ac:dyDescent="0.2">
      <c r="I257" s="35">
        <v>221</v>
      </c>
      <c r="J257" s="15">
        <f t="shared" si="16"/>
        <v>1102011</v>
      </c>
      <c r="K257" s="15">
        <f t="shared" si="17"/>
        <v>4</v>
      </c>
      <c r="L257" s="15">
        <f t="shared" si="19"/>
        <v>11</v>
      </c>
      <c r="M257" s="15" t="str">
        <f t="shared" si="18"/>
        <v>黄</v>
      </c>
      <c r="N257" s="15" t="str">
        <f t="shared" si="20"/>
        <v>金币</v>
      </c>
      <c r="O257" s="15">
        <f>IF(L257&gt;1,INDEX(挂机升级突破!$AI$35:$AI$55,卡牌消耗!L257),"")</f>
        <v>90000</v>
      </c>
      <c r="P257" s="15" t="str">
        <f>IF(L257&gt;1,INDEX(价值概述!$A$4:$A$8,INDEX(挂机升级突破!$W$35:$W$55,卡牌消耗!L257)),"")</f>
        <v>紫色基础材料</v>
      </c>
      <c r="Q257" s="15">
        <f>IF(L257&gt;1,INDEX(挂机升级突破!$Z$35:$AD$55,卡牌消耗!L257,INDEX(挂机升级突破!$W$35:$W$55,卡牌消耗!L257)),"")</f>
        <v>215</v>
      </c>
      <c r="R257" s="15" t="str">
        <f>IF(INDEX(挂机升级突破!$X$35:$X$55,卡牌消耗!L257)&gt;0,INDEX($G$2:$I$2,INDEX(挂机升级突破!$X$35:$X$55,卡牌消耗!L257))&amp;M257,"")</f>
        <v>中级黄</v>
      </c>
      <c r="S257" s="15">
        <f>IF(R257="","",INDEX(挂机升级突破!$AE$35:$AG$55,卡牌消耗!L257,INDEX(挂机升级突破!$X$35:$X$55,卡牌消耗!L257)))</f>
        <v>145</v>
      </c>
      <c r="T257" s="15" t="str">
        <f>IF(INDEX(挂机升级突破!$Y$35:$Y$55,卡牌消耗!L257)&gt;0,"灵玉","")</f>
        <v/>
      </c>
      <c r="U257" s="15" t="str">
        <f>IF(INDEX(挂机升级突破!$Y$35:$Y$55,卡牌消耗!L257)&gt;0,INDEX(挂机升级突破!$AH$35:$AH$55,卡牌消耗!L257),"")</f>
        <v/>
      </c>
    </row>
    <row r="258" spans="9:21" ht="16.5" x14ac:dyDescent="0.2">
      <c r="I258" s="35">
        <v>222</v>
      </c>
      <c r="J258" s="15">
        <f t="shared" si="16"/>
        <v>1102011</v>
      </c>
      <c r="K258" s="15">
        <f t="shared" si="17"/>
        <v>4</v>
      </c>
      <c r="L258" s="15">
        <f t="shared" si="19"/>
        <v>12</v>
      </c>
      <c r="M258" s="15" t="str">
        <f t="shared" si="18"/>
        <v>黄</v>
      </c>
      <c r="N258" s="15" t="str">
        <f t="shared" si="20"/>
        <v>金币</v>
      </c>
      <c r="O258" s="15">
        <f>IF(L258&gt;1,INDEX(挂机升级突破!$AI$35:$AI$55,卡牌消耗!L258),"")</f>
        <v>97000</v>
      </c>
      <c r="P258" s="15" t="str">
        <f>IF(L258&gt;1,INDEX(价值概述!$A$4:$A$8,INDEX(挂机升级突破!$W$35:$W$55,卡牌消耗!L258)),"")</f>
        <v>紫色基础材料</v>
      </c>
      <c r="Q258" s="15">
        <f>IF(L258&gt;1,INDEX(挂机升级突破!$Z$35:$AD$55,卡牌消耗!L258,INDEX(挂机升级突破!$W$35:$W$55,卡牌消耗!L258)),"")</f>
        <v>285</v>
      </c>
      <c r="R258" s="15" t="str">
        <f>IF(INDEX(挂机升级突破!$X$35:$X$55,卡牌消耗!L258)&gt;0,INDEX($G$2:$I$2,INDEX(挂机升级突破!$X$35:$X$55,卡牌消耗!L258))&amp;M258,"")</f>
        <v>中级黄</v>
      </c>
      <c r="S258" s="15">
        <f>IF(R258="","",INDEX(挂机升级突破!$AE$35:$AG$55,卡牌消耗!L258,INDEX(挂机升级突破!$X$35:$X$55,卡牌消耗!L258)))</f>
        <v>185</v>
      </c>
      <c r="T258" s="15" t="str">
        <f>IF(INDEX(挂机升级突破!$Y$35:$Y$55,卡牌消耗!L258)&gt;0,"灵玉","")</f>
        <v/>
      </c>
      <c r="U258" s="15" t="str">
        <f>IF(INDEX(挂机升级突破!$Y$35:$Y$55,卡牌消耗!L258)&gt;0,INDEX(挂机升级突破!$AH$35:$AH$55,卡牌消耗!L258),"")</f>
        <v/>
      </c>
    </row>
    <row r="259" spans="9:21" ht="16.5" x14ac:dyDescent="0.2">
      <c r="I259" s="35">
        <v>223</v>
      </c>
      <c r="J259" s="15">
        <f t="shared" si="16"/>
        <v>1102011</v>
      </c>
      <c r="K259" s="15">
        <f t="shared" si="17"/>
        <v>4</v>
      </c>
      <c r="L259" s="15">
        <f t="shared" si="19"/>
        <v>13</v>
      </c>
      <c r="M259" s="15" t="str">
        <f t="shared" si="18"/>
        <v>黄</v>
      </c>
      <c r="N259" s="15" t="str">
        <f t="shared" si="20"/>
        <v>金币</v>
      </c>
      <c r="O259" s="15">
        <f>IF(L259&gt;1,INDEX(挂机升级突破!$AI$35:$AI$55,卡牌消耗!L259),"")</f>
        <v>122000</v>
      </c>
      <c r="P259" s="15" t="str">
        <f>IF(L259&gt;1,INDEX(价值概述!$A$4:$A$8,INDEX(挂机升级突破!$W$35:$W$55,卡牌消耗!L259)),"")</f>
        <v>橙色基础材料</v>
      </c>
      <c r="Q259" s="15">
        <f>IF(L259&gt;1,INDEX(挂机升级突破!$Z$35:$AD$55,卡牌消耗!L259,INDEX(挂机升级突破!$W$35:$W$55,卡牌消耗!L259)),"")</f>
        <v>115</v>
      </c>
      <c r="R259" s="15" t="str">
        <f>IF(INDEX(挂机升级突破!$X$35:$X$55,卡牌消耗!L259)&gt;0,INDEX($G$2:$I$2,INDEX(挂机升级突破!$X$35:$X$55,卡牌消耗!L259))&amp;M259,"")</f>
        <v>中级黄</v>
      </c>
      <c r="S259" s="15">
        <f>IF(R259="","",INDEX(挂机升级突破!$AE$35:$AG$55,卡牌消耗!L259,INDEX(挂机升级突破!$X$35:$X$55,卡牌消耗!L259)))</f>
        <v>225</v>
      </c>
      <c r="T259" s="15" t="str">
        <f>IF(INDEX(挂机升级突破!$Y$35:$Y$55,卡牌消耗!L259)&gt;0,"灵玉","")</f>
        <v/>
      </c>
      <c r="U259" s="15" t="str">
        <f>IF(INDEX(挂机升级突破!$Y$35:$Y$55,卡牌消耗!L259)&gt;0,INDEX(挂机升级突破!$AH$35:$AH$55,卡牌消耗!L259),"")</f>
        <v/>
      </c>
    </row>
    <row r="260" spans="9:21" ht="16.5" x14ac:dyDescent="0.2">
      <c r="I260" s="35">
        <v>224</v>
      </c>
      <c r="J260" s="15">
        <f t="shared" si="16"/>
        <v>1102011</v>
      </c>
      <c r="K260" s="15">
        <f t="shared" si="17"/>
        <v>4</v>
      </c>
      <c r="L260" s="15">
        <f t="shared" si="19"/>
        <v>14</v>
      </c>
      <c r="M260" s="15" t="str">
        <f t="shared" si="18"/>
        <v>黄</v>
      </c>
      <c r="N260" s="15" t="str">
        <f t="shared" si="20"/>
        <v>金币</v>
      </c>
      <c r="O260" s="15">
        <f>IF(L260&gt;1,INDEX(挂机升级突破!$AI$35:$AI$55,卡牌消耗!L260),"")</f>
        <v>162500</v>
      </c>
      <c r="P260" s="15" t="str">
        <f>IF(L260&gt;1,INDEX(价值概述!$A$4:$A$8,INDEX(挂机升级突破!$W$35:$W$55,卡牌消耗!L260)),"")</f>
        <v>橙色基础材料</v>
      </c>
      <c r="Q260" s="15">
        <f>IF(L260&gt;1,INDEX(挂机升级突破!$Z$35:$AD$55,卡牌消耗!L260,INDEX(挂机升级突破!$W$35:$W$55,卡牌消耗!L260)),"")</f>
        <v>235</v>
      </c>
      <c r="R260" s="15" t="str">
        <f>IF(INDEX(挂机升级突破!$X$35:$X$55,卡牌消耗!L260)&gt;0,INDEX($G$2:$I$2,INDEX(挂机升级突破!$X$35:$X$55,卡牌消耗!L260))&amp;M260,"")</f>
        <v>中级黄</v>
      </c>
      <c r="S260" s="15">
        <f>IF(R260="","",INDEX(挂机升级突破!$AE$35:$AG$55,卡牌消耗!L260,INDEX(挂机升级突破!$X$35:$X$55,卡牌消耗!L260)))</f>
        <v>265</v>
      </c>
      <c r="T260" s="15" t="str">
        <f>IF(INDEX(挂机升级突破!$Y$35:$Y$55,卡牌消耗!L260)&gt;0,"灵玉","")</f>
        <v/>
      </c>
      <c r="U260" s="15" t="str">
        <f>IF(INDEX(挂机升级突破!$Y$35:$Y$55,卡牌消耗!L260)&gt;0,INDEX(挂机升级突破!$AH$35:$AH$55,卡牌消耗!L260),"")</f>
        <v/>
      </c>
    </row>
    <row r="261" spans="9:21" ht="16.5" x14ac:dyDescent="0.2">
      <c r="I261" s="35">
        <v>225</v>
      </c>
      <c r="J261" s="15">
        <f t="shared" si="16"/>
        <v>1102011</v>
      </c>
      <c r="K261" s="15">
        <f t="shared" si="17"/>
        <v>4</v>
      </c>
      <c r="L261" s="15">
        <f t="shared" si="19"/>
        <v>15</v>
      </c>
      <c r="M261" s="15" t="str">
        <f t="shared" si="18"/>
        <v>黄</v>
      </c>
      <c r="N261" s="15" t="str">
        <f t="shared" si="20"/>
        <v>金币</v>
      </c>
      <c r="O261" s="15">
        <f>IF(L261&gt;1,INDEX(挂机升级突破!$AI$35:$AI$55,卡牌消耗!L261),"")</f>
        <v>190000</v>
      </c>
      <c r="P261" s="15" t="str">
        <f>IF(L261&gt;1,INDEX(价值概述!$A$4:$A$8,INDEX(挂机升级突破!$W$35:$W$55,卡牌消耗!L261)),"")</f>
        <v>橙色基础材料</v>
      </c>
      <c r="Q261" s="15">
        <f>IF(L261&gt;1,INDEX(挂机升级突破!$Z$35:$AD$55,卡牌消耗!L261,INDEX(挂机升级突破!$W$35:$W$55,卡牌消耗!L261)),"")</f>
        <v>355</v>
      </c>
      <c r="R261" s="15" t="str">
        <f>IF(INDEX(挂机升级突破!$X$35:$X$55,卡牌消耗!L261)&gt;0,INDEX($G$2:$I$2,INDEX(挂机升级突破!$X$35:$X$55,卡牌消耗!L261))&amp;M261,"")</f>
        <v>高级黄</v>
      </c>
      <c r="S261" s="15">
        <f>IF(R261="","",INDEX(挂机升级突破!$AE$35:$AG$55,卡牌消耗!L261,INDEX(挂机升级突破!$X$35:$X$55,卡牌消耗!L261)))</f>
        <v>45</v>
      </c>
      <c r="T261" s="15" t="str">
        <f>IF(INDEX(挂机升级突破!$Y$35:$Y$55,卡牌消耗!L261)&gt;0,"灵玉","")</f>
        <v/>
      </c>
      <c r="U261" s="15" t="str">
        <f>IF(INDEX(挂机升级突破!$Y$35:$Y$55,卡牌消耗!L261)&gt;0,INDEX(挂机升级突破!$AH$35:$AH$55,卡牌消耗!L261),"")</f>
        <v/>
      </c>
    </row>
    <row r="262" spans="9:21" ht="16.5" x14ac:dyDescent="0.2">
      <c r="I262" s="35">
        <v>226</v>
      </c>
      <c r="J262" s="15">
        <f t="shared" si="16"/>
        <v>1102011</v>
      </c>
      <c r="K262" s="15">
        <f t="shared" si="17"/>
        <v>4</v>
      </c>
      <c r="L262" s="15">
        <f t="shared" si="19"/>
        <v>16</v>
      </c>
      <c r="M262" s="15" t="str">
        <f t="shared" si="18"/>
        <v>黄</v>
      </c>
      <c r="N262" s="15" t="str">
        <f t="shared" si="20"/>
        <v>金币</v>
      </c>
      <c r="O262" s="15">
        <f>IF(L262&gt;1,INDEX(挂机升级突破!$AI$35:$AI$55,卡牌消耗!L262),"")</f>
        <v>219000</v>
      </c>
      <c r="P262" s="15" t="str">
        <f>IF(L262&gt;1,INDEX(价值概述!$A$4:$A$8,INDEX(挂机升级突破!$W$35:$W$55,卡牌消耗!L262)),"")</f>
        <v>橙色基础材料</v>
      </c>
      <c r="Q262" s="15">
        <f>IF(L262&gt;1,INDEX(挂机升级突破!$Z$35:$AD$55,卡牌消耗!L262,INDEX(挂机升级突破!$W$35:$W$55,卡牌消耗!L262)),"")</f>
        <v>475</v>
      </c>
      <c r="R262" s="15" t="str">
        <f>IF(INDEX(挂机升级突破!$X$35:$X$55,卡牌消耗!L262)&gt;0,INDEX($G$2:$I$2,INDEX(挂机升级突破!$X$35:$X$55,卡牌消耗!L262))&amp;M262,"")</f>
        <v>高级黄</v>
      </c>
      <c r="S262" s="15">
        <f>IF(R262="","",INDEX(挂机升级突破!$AE$35:$AG$55,卡牌消耗!L262,INDEX(挂机升级突破!$X$35:$X$55,卡牌消耗!L262)))</f>
        <v>70</v>
      </c>
      <c r="T262" s="15" t="str">
        <f>IF(INDEX(挂机升级突破!$Y$35:$Y$55,卡牌消耗!L262)&gt;0,"灵玉","")</f>
        <v/>
      </c>
      <c r="U262" s="15" t="str">
        <f>IF(INDEX(挂机升级突破!$Y$35:$Y$55,卡牌消耗!L262)&gt;0,INDEX(挂机升级突破!$AH$35:$AH$55,卡牌消耗!L262),"")</f>
        <v/>
      </c>
    </row>
    <row r="263" spans="9:21" ht="16.5" x14ac:dyDescent="0.2">
      <c r="I263" s="35">
        <v>227</v>
      </c>
      <c r="J263" s="15">
        <f t="shared" si="16"/>
        <v>1102011</v>
      </c>
      <c r="K263" s="15">
        <f t="shared" si="17"/>
        <v>4</v>
      </c>
      <c r="L263" s="15">
        <f t="shared" si="19"/>
        <v>17</v>
      </c>
      <c r="M263" s="15" t="str">
        <f t="shared" si="18"/>
        <v>黄</v>
      </c>
      <c r="N263" s="15" t="str">
        <f t="shared" si="20"/>
        <v>金币</v>
      </c>
      <c r="O263" s="15">
        <f>IF(L263&gt;1,INDEX(挂机升级突破!$AI$35:$AI$55,卡牌消耗!L263),"")</f>
        <v>228000</v>
      </c>
      <c r="P263" s="15" t="str">
        <f>IF(L263&gt;1,INDEX(价值概述!$A$4:$A$8,INDEX(挂机升级突破!$W$35:$W$55,卡牌消耗!L263)),"")</f>
        <v>红色基础材料</v>
      </c>
      <c r="Q263" s="15">
        <f>IF(L263&gt;1,INDEX(挂机升级突破!$Z$35:$AD$55,卡牌消耗!L263,INDEX(挂机升级突破!$W$35:$W$55,卡牌消耗!L263)),"")</f>
        <v>45</v>
      </c>
      <c r="R263" s="15" t="str">
        <f>IF(INDEX(挂机升级突破!$X$35:$X$55,卡牌消耗!L263)&gt;0,INDEX($G$2:$I$2,INDEX(挂机升级突破!$X$35:$X$55,卡牌消耗!L263))&amp;M263,"")</f>
        <v>高级黄</v>
      </c>
      <c r="S263" s="15">
        <f>IF(R263="","",INDEX(挂机升级突破!$AE$35:$AG$55,卡牌消耗!L263,INDEX(挂机升级突破!$X$35:$X$55,卡牌消耗!L263)))</f>
        <v>100</v>
      </c>
      <c r="T263" s="15" t="str">
        <f>IF(INDEX(挂机升级突破!$Y$35:$Y$55,卡牌消耗!L263)&gt;0,"灵玉","")</f>
        <v>灵玉</v>
      </c>
      <c r="U263" s="15">
        <f>IF(INDEX(挂机升级突破!$Y$35:$Y$55,卡牌消耗!L263)&gt;0,INDEX(挂机升级突破!$AH$35:$AH$55,卡牌消耗!L263),"")</f>
        <v>25</v>
      </c>
    </row>
    <row r="264" spans="9:21" ht="16.5" x14ac:dyDescent="0.2">
      <c r="I264" s="35">
        <v>228</v>
      </c>
      <c r="J264" s="15">
        <f t="shared" si="16"/>
        <v>1102011</v>
      </c>
      <c r="K264" s="15">
        <f t="shared" si="17"/>
        <v>4</v>
      </c>
      <c r="L264" s="15">
        <f t="shared" si="19"/>
        <v>18</v>
      </c>
      <c r="M264" s="15" t="str">
        <f t="shared" si="18"/>
        <v>黄</v>
      </c>
      <c r="N264" s="15" t="str">
        <f t="shared" si="20"/>
        <v>金币</v>
      </c>
      <c r="O264" s="15">
        <f>IF(L264&gt;1,INDEX(挂机升级突破!$AI$35:$AI$55,卡牌消耗!L264),"")</f>
        <v>319500</v>
      </c>
      <c r="P264" s="15" t="str">
        <f>IF(L264&gt;1,INDEX(价值概述!$A$4:$A$8,INDEX(挂机升级突破!$W$35:$W$55,卡牌消耗!L264)),"")</f>
        <v>红色基础材料</v>
      </c>
      <c r="Q264" s="15">
        <f>IF(L264&gt;1,INDEX(挂机升级突破!$Z$35:$AD$55,卡牌消耗!L264,INDEX(挂机升级突破!$W$35:$W$55,卡牌消耗!L264)),"")</f>
        <v>65</v>
      </c>
      <c r="R264" s="15" t="str">
        <f>IF(INDEX(挂机升级突破!$X$35:$X$55,卡牌消耗!L264)&gt;0,INDEX($G$2:$I$2,INDEX(挂机升级突破!$X$35:$X$55,卡牌消耗!L264))&amp;M264,"")</f>
        <v>高级黄</v>
      </c>
      <c r="S264" s="15">
        <f>IF(R264="","",INDEX(挂机升级突破!$AE$35:$AG$55,卡牌消耗!L264,INDEX(挂机升级突破!$X$35:$X$55,卡牌消耗!L264)))</f>
        <v>125</v>
      </c>
      <c r="T264" s="15" t="str">
        <f>IF(INDEX(挂机升级突破!$Y$35:$Y$55,卡牌消耗!L264)&gt;0,"灵玉","")</f>
        <v>灵玉</v>
      </c>
      <c r="U264" s="15">
        <f>IF(INDEX(挂机升级突破!$Y$35:$Y$55,卡牌消耗!L264)&gt;0,INDEX(挂机升级突破!$AH$35:$AH$55,卡牌消耗!L264),"")</f>
        <v>35</v>
      </c>
    </row>
    <row r="265" spans="9:21" ht="16.5" x14ac:dyDescent="0.2">
      <c r="I265" s="35">
        <v>229</v>
      </c>
      <c r="J265" s="15">
        <f t="shared" si="16"/>
        <v>1102011</v>
      </c>
      <c r="K265" s="15">
        <f t="shared" si="17"/>
        <v>4</v>
      </c>
      <c r="L265" s="15">
        <f t="shared" si="19"/>
        <v>19</v>
      </c>
      <c r="M265" s="15" t="str">
        <f t="shared" si="18"/>
        <v>黄</v>
      </c>
      <c r="N265" s="15" t="str">
        <f t="shared" si="20"/>
        <v>金币</v>
      </c>
      <c r="O265" s="15">
        <f>IF(L265&gt;1,INDEX(挂机升级突破!$AI$35:$AI$55,卡牌消耗!L265),"")</f>
        <v>426000</v>
      </c>
      <c r="P265" s="15" t="str">
        <f>IF(L265&gt;1,INDEX(价值概述!$A$4:$A$8,INDEX(挂机升级突破!$W$35:$W$55,卡牌消耗!L265)),"")</f>
        <v>红色基础材料</v>
      </c>
      <c r="Q265" s="15">
        <f>IF(L265&gt;1,INDEX(挂机升级突破!$Z$35:$AD$55,卡牌消耗!L265,INDEX(挂机升级突破!$W$35:$W$55,卡牌消耗!L265)),"")</f>
        <v>90</v>
      </c>
      <c r="R265" s="15" t="str">
        <f>IF(INDEX(挂机升级突破!$X$35:$X$55,卡牌消耗!L265)&gt;0,INDEX($G$2:$I$2,INDEX(挂机升级突破!$X$35:$X$55,卡牌消耗!L265))&amp;M265,"")</f>
        <v>高级黄</v>
      </c>
      <c r="S265" s="15">
        <f>IF(R265="","",INDEX(挂机升级突破!$AE$35:$AG$55,卡牌消耗!L265,INDEX(挂机升级突破!$X$35:$X$55,卡牌消耗!L265)))</f>
        <v>155</v>
      </c>
      <c r="T265" s="15" t="str">
        <f>IF(INDEX(挂机升级突破!$Y$35:$Y$55,卡牌消耗!L265)&gt;0,"灵玉","")</f>
        <v>灵玉</v>
      </c>
      <c r="U265" s="15">
        <f>IF(INDEX(挂机升级突破!$Y$35:$Y$55,卡牌消耗!L265)&gt;0,INDEX(挂机升级突破!$AH$35:$AH$55,卡牌消耗!L265),"")</f>
        <v>50</v>
      </c>
    </row>
    <row r="266" spans="9:21" ht="16.5" x14ac:dyDescent="0.2">
      <c r="I266" s="35">
        <v>230</v>
      </c>
      <c r="J266" s="15">
        <f t="shared" si="16"/>
        <v>1102011</v>
      </c>
      <c r="K266" s="15">
        <f t="shared" si="17"/>
        <v>4</v>
      </c>
      <c r="L266" s="15">
        <f t="shared" si="19"/>
        <v>20</v>
      </c>
      <c r="M266" s="15" t="str">
        <f t="shared" si="18"/>
        <v>黄</v>
      </c>
      <c r="N266" s="15" t="str">
        <f t="shared" si="20"/>
        <v>金币</v>
      </c>
      <c r="O266" s="15">
        <f>IF(L266&gt;1,INDEX(挂机升级突破!$AI$35:$AI$55,卡牌消耗!L266),"")</f>
        <v>532500</v>
      </c>
      <c r="P266" s="15" t="str">
        <f>IF(L266&gt;1,INDEX(价值概述!$A$4:$A$8,INDEX(挂机升级突破!$W$35:$W$55,卡牌消耗!L266)),"")</f>
        <v>红色基础材料</v>
      </c>
      <c r="Q266" s="15">
        <f>IF(L266&gt;1,INDEX(挂机升级突破!$Z$35:$AD$55,卡牌消耗!L266,INDEX(挂机升级突破!$W$35:$W$55,卡牌消耗!L266)),"")</f>
        <v>110</v>
      </c>
      <c r="R266" s="15" t="str">
        <f>IF(INDEX(挂机升级突破!$X$35:$X$55,卡牌消耗!L266)&gt;0,INDEX($G$2:$I$2,INDEX(挂机升级突破!$X$35:$X$55,卡牌消耗!L266))&amp;M266,"")</f>
        <v>高级黄</v>
      </c>
      <c r="S266" s="15">
        <f>IF(R266="","",INDEX(挂机升级突破!$AE$35:$AG$55,卡牌消耗!L266,INDEX(挂机升级突破!$X$35:$X$55,卡牌消耗!L266)))</f>
        <v>180</v>
      </c>
      <c r="T266" s="15" t="str">
        <f>IF(INDEX(挂机升级突破!$Y$35:$Y$55,卡牌消耗!L266)&gt;0,"灵玉","")</f>
        <v>灵玉</v>
      </c>
      <c r="U266" s="15">
        <f>IF(INDEX(挂机升级突破!$Y$35:$Y$55,卡牌消耗!L266)&gt;0,INDEX(挂机升级突破!$AH$35:$AH$55,卡牌消耗!L266),"")</f>
        <v>65</v>
      </c>
    </row>
    <row r="267" spans="9:21" ht="16.5" x14ac:dyDescent="0.2">
      <c r="I267" s="35">
        <v>231</v>
      </c>
      <c r="J267" s="15">
        <f t="shared" si="16"/>
        <v>1102011</v>
      </c>
      <c r="K267" s="15">
        <f t="shared" si="17"/>
        <v>4</v>
      </c>
      <c r="L267" s="15">
        <f t="shared" si="19"/>
        <v>21</v>
      </c>
      <c r="M267" s="15" t="str">
        <f t="shared" si="18"/>
        <v>黄</v>
      </c>
      <c r="N267" s="15" t="str">
        <f t="shared" si="20"/>
        <v>金币</v>
      </c>
      <c r="O267" s="15">
        <f>IF(L267&gt;1,INDEX(挂机升级突破!$AI$35:$AI$55,卡牌消耗!L267),"")</f>
        <v>639000</v>
      </c>
      <c r="P267" s="15" t="str">
        <f>IF(L267&gt;1,INDEX(价值概述!$A$4:$A$8,INDEX(挂机升级突破!$W$35:$W$55,卡牌消耗!L267)),"")</f>
        <v>红色基础材料</v>
      </c>
      <c r="Q267" s="15">
        <f>IF(L267&gt;1,INDEX(挂机升级突破!$Z$35:$AD$55,卡牌消耗!L267,INDEX(挂机升级突破!$W$35:$W$55,卡牌消耗!L267)),"")</f>
        <v>135</v>
      </c>
      <c r="R267" s="15" t="str">
        <f>IF(INDEX(挂机升级突破!$X$35:$X$55,卡牌消耗!L267)&gt;0,INDEX($G$2:$I$2,INDEX(挂机升级突破!$X$35:$X$55,卡牌消耗!L267))&amp;M267,"")</f>
        <v>高级黄</v>
      </c>
      <c r="S267" s="15">
        <f>IF(R267="","",INDEX(挂机升级突破!$AE$35:$AG$55,卡牌消耗!L267,INDEX(挂机升级突破!$X$35:$X$55,卡牌消耗!L267)))</f>
        <v>225</v>
      </c>
      <c r="T267" s="15" t="str">
        <f>IF(INDEX(挂机升级突破!$Y$35:$Y$55,卡牌消耗!L267)&gt;0,"灵玉","")</f>
        <v>灵玉</v>
      </c>
      <c r="U267" s="15">
        <f>IF(INDEX(挂机升级突破!$Y$35:$Y$55,卡牌消耗!L267)&gt;0,INDEX(挂机升级突破!$AH$35:$AH$55,卡牌消耗!L267),"")</f>
        <v>75</v>
      </c>
    </row>
    <row r="268" spans="9:21" ht="16.5" x14ac:dyDescent="0.2">
      <c r="I268" s="35">
        <v>232</v>
      </c>
      <c r="J268" s="15">
        <f t="shared" si="16"/>
        <v>1102012</v>
      </c>
      <c r="K268" s="15">
        <f t="shared" si="17"/>
        <v>4</v>
      </c>
      <c r="L268" s="15">
        <f t="shared" si="19"/>
        <v>1</v>
      </c>
      <c r="M268" s="15" t="str">
        <f t="shared" si="18"/>
        <v>红</v>
      </c>
      <c r="N268" s="15" t="str">
        <f t="shared" si="20"/>
        <v/>
      </c>
      <c r="O268" s="15" t="str">
        <f>IF(L268&gt;1,INDEX(挂机升级突破!$AI$35:$AI$55,卡牌消耗!L268),"")</f>
        <v/>
      </c>
      <c r="P268" s="15" t="str">
        <f>IF(L268&gt;1,INDEX(价值概述!$A$4:$A$8,INDEX(挂机升级突破!$W$35:$W$55,卡牌消耗!L268)),"")</f>
        <v/>
      </c>
      <c r="Q268" s="15" t="str">
        <f>IF(L268&gt;1,INDEX(挂机升级突破!$Z$35:$AD$55,卡牌消耗!L268,INDEX(挂机升级突破!$W$35:$W$55,卡牌消耗!L268)),"")</f>
        <v/>
      </c>
      <c r="R268" s="15" t="str">
        <f>IF(INDEX(挂机升级突破!$X$35:$X$55,卡牌消耗!L268)&gt;0,INDEX($G$2:$I$2,INDEX(挂机升级突破!$X$35:$X$55,卡牌消耗!L268))&amp;M268,"")</f>
        <v/>
      </c>
      <c r="S268" s="15" t="str">
        <f>IF(R268="","",INDEX(挂机升级突破!$AE$35:$AG$55,卡牌消耗!L268,INDEX(挂机升级突破!$X$35:$X$55,卡牌消耗!L268)))</f>
        <v/>
      </c>
      <c r="T268" s="15" t="str">
        <f>IF(INDEX(挂机升级突破!$Y$35:$Y$55,卡牌消耗!L268)&gt;0,"灵玉","")</f>
        <v/>
      </c>
      <c r="U268" s="15" t="str">
        <f>IF(INDEX(挂机升级突破!$Y$35:$Y$55,卡牌消耗!L268)&gt;0,INDEX(挂机升级突破!$AH$35:$AH$55,卡牌消耗!L268),"")</f>
        <v/>
      </c>
    </row>
    <row r="269" spans="9:21" ht="16.5" x14ac:dyDescent="0.2">
      <c r="I269" s="35">
        <v>233</v>
      </c>
      <c r="J269" s="15">
        <f t="shared" si="16"/>
        <v>1102012</v>
      </c>
      <c r="K269" s="15">
        <f t="shared" si="17"/>
        <v>4</v>
      </c>
      <c r="L269" s="15">
        <f t="shared" si="19"/>
        <v>2</v>
      </c>
      <c r="M269" s="15" t="str">
        <f t="shared" si="18"/>
        <v>红</v>
      </c>
      <c r="N269" s="15" t="str">
        <f t="shared" si="20"/>
        <v>金币</v>
      </c>
      <c r="O269" s="15">
        <f>IF(L269&gt;1,INDEX(挂机升级突破!$AI$35:$AI$55,卡牌消耗!L269),"")</f>
        <v>2500</v>
      </c>
      <c r="P269" s="15" t="str">
        <f>IF(L269&gt;1,INDEX(价值概述!$A$4:$A$8,INDEX(挂机升级突破!$W$35:$W$55,卡牌消耗!L269)),"")</f>
        <v>绿色基础材料</v>
      </c>
      <c r="Q269" s="15">
        <f>IF(L269&gt;1,INDEX(挂机升级突破!$Z$35:$AD$55,卡牌消耗!L269,INDEX(挂机升级突破!$W$35:$W$55,卡牌消耗!L269)),"")</f>
        <v>10</v>
      </c>
      <c r="R269" s="15" t="str">
        <f>IF(INDEX(挂机升级突破!$X$35:$X$55,卡牌消耗!L269)&gt;0,INDEX($G$2:$I$2,INDEX(挂机升级突破!$X$35:$X$55,卡牌消耗!L269))&amp;M269,"")</f>
        <v/>
      </c>
      <c r="S269" s="15" t="str">
        <f>IF(R269="","",INDEX(挂机升级突破!$AE$35:$AG$55,卡牌消耗!L269,INDEX(挂机升级突破!$X$35:$X$55,卡牌消耗!L269)))</f>
        <v/>
      </c>
      <c r="T269" s="15" t="str">
        <f>IF(INDEX(挂机升级突破!$Y$35:$Y$55,卡牌消耗!L269)&gt;0,"灵玉","")</f>
        <v/>
      </c>
      <c r="U269" s="15" t="str">
        <f>IF(INDEX(挂机升级突破!$Y$35:$Y$55,卡牌消耗!L269)&gt;0,INDEX(挂机升级突破!$AH$35:$AH$55,卡牌消耗!L269),"")</f>
        <v/>
      </c>
    </row>
    <row r="270" spans="9:21" ht="16.5" x14ac:dyDescent="0.2">
      <c r="I270" s="35">
        <v>234</v>
      </c>
      <c r="J270" s="15">
        <f t="shared" si="16"/>
        <v>1102012</v>
      </c>
      <c r="K270" s="15">
        <f t="shared" si="17"/>
        <v>4</v>
      </c>
      <c r="L270" s="15">
        <f t="shared" si="19"/>
        <v>3</v>
      </c>
      <c r="M270" s="15" t="str">
        <f t="shared" si="18"/>
        <v>红</v>
      </c>
      <c r="N270" s="15" t="str">
        <f t="shared" si="20"/>
        <v>金币</v>
      </c>
      <c r="O270" s="15">
        <f>IF(L270&gt;1,INDEX(挂机升级突破!$AI$35:$AI$55,卡牌消耗!L270),"")</f>
        <v>8000</v>
      </c>
      <c r="P270" s="15" t="str">
        <f>IF(L270&gt;1,INDEX(价值概述!$A$4:$A$8,INDEX(挂机升级突破!$W$35:$W$55,卡牌消耗!L270)),"")</f>
        <v>绿色基础材料</v>
      </c>
      <c r="Q270" s="15">
        <f>IF(L270&gt;1,INDEX(挂机升级突破!$Z$35:$AD$55,卡牌消耗!L270,INDEX(挂机升级突破!$W$35:$W$55,卡牌消耗!L270)),"")</f>
        <v>40</v>
      </c>
      <c r="R270" s="15" t="str">
        <f>IF(INDEX(挂机升级突破!$X$35:$X$55,卡牌消耗!L270)&gt;0,INDEX($G$2:$I$2,INDEX(挂机升级突破!$X$35:$X$55,卡牌消耗!L270))&amp;M270,"")</f>
        <v/>
      </c>
      <c r="S270" s="15" t="str">
        <f>IF(R270="","",INDEX(挂机升级突破!$AE$35:$AG$55,卡牌消耗!L270,INDEX(挂机升级突破!$X$35:$X$55,卡牌消耗!L270)))</f>
        <v/>
      </c>
      <c r="T270" s="15" t="str">
        <f>IF(INDEX(挂机升级突破!$Y$35:$Y$55,卡牌消耗!L270)&gt;0,"灵玉","")</f>
        <v/>
      </c>
      <c r="U270" s="15" t="str">
        <f>IF(INDEX(挂机升级突破!$Y$35:$Y$55,卡牌消耗!L270)&gt;0,INDEX(挂机升级突破!$AH$35:$AH$55,卡牌消耗!L270),"")</f>
        <v/>
      </c>
    </row>
    <row r="271" spans="9:21" ht="16.5" x14ac:dyDescent="0.2">
      <c r="I271" s="35">
        <v>235</v>
      </c>
      <c r="J271" s="15">
        <f t="shared" si="16"/>
        <v>1102012</v>
      </c>
      <c r="K271" s="15">
        <f t="shared" si="17"/>
        <v>4</v>
      </c>
      <c r="L271" s="15">
        <f t="shared" si="19"/>
        <v>4</v>
      </c>
      <c r="M271" s="15" t="str">
        <f t="shared" si="18"/>
        <v>红</v>
      </c>
      <c r="N271" s="15" t="str">
        <f t="shared" si="20"/>
        <v>金币</v>
      </c>
      <c r="O271" s="15">
        <f>IF(L271&gt;1,INDEX(挂机升级突破!$AI$35:$AI$55,卡牌消耗!L271),"")</f>
        <v>16500</v>
      </c>
      <c r="P271" s="15" t="str">
        <f>IF(L271&gt;1,INDEX(价值概述!$A$4:$A$8,INDEX(挂机升级突破!$W$35:$W$55,卡牌消耗!L271)),"")</f>
        <v>绿色基础材料</v>
      </c>
      <c r="Q271" s="15">
        <f>IF(L271&gt;1,INDEX(挂机升级突破!$Z$35:$AD$55,卡牌消耗!L271,INDEX(挂机升级突破!$W$35:$W$55,卡牌消耗!L271)),"")</f>
        <v>80</v>
      </c>
      <c r="R271" s="15" t="str">
        <f>IF(INDEX(挂机升级突破!$X$35:$X$55,卡牌消耗!L271)&gt;0,INDEX($G$2:$I$2,INDEX(挂机升级突破!$X$35:$X$55,卡牌消耗!L271))&amp;M271,"")</f>
        <v>初级红</v>
      </c>
      <c r="S271" s="15">
        <f>IF(R271="","",INDEX(挂机升级突破!$AE$35:$AG$55,卡牌消耗!L271,INDEX(挂机升级突破!$X$35:$X$55,卡牌消耗!L271)))</f>
        <v>40</v>
      </c>
      <c r="T271" s="15" t="str">
        <f>IF(INDEX(挂机升级突破!$Y$35:$Y$55,卡牌消耗!L271)&gt;0,"灵玉","")</f>
        <v/>
      </c>
      <c r="U271" s="15" t="str">
        <f>IF(INDEX(挂机升级突破!$Y$35:$Y$55,卡牌消耗!L271)&gt;0,INDEX(挂机升级突破!$AH$35:$AH$55,卡牌消耗!L271),"")</f>
        <v/>
      </c>
    </row>
    <row r="272" spans="9:21" ht="16.5" x14ac:dyDescent="0.2">
      <c r="I272" s="35">
        <v>236</v>
      </c>
      <c r="J272" s="15">
        <f t="shared" si="16"/>
        <v>1102012</v>
      </c>
      <c r="K272" s="15">
        <f t="shared" si="17"/>
        <v>4</v>
      </c>
      <c r="L272" s="15">
        <f t="shared" si="19"/>
        <v>5</v>
      </c>
      <c r="M272" s="15" t="str">
        <f t="shared" si="18"/>
        <v>红</v>
      </c>
      <c r="N272" s="15" t="str">
        <f t="shared" si="20"/>
        <v>金币</v>
      </c>
      <c r="O272" s="15">
        <f>IF(L272&gt;1,INDEX(挂机升级突破!$AI$35:$AI$55,卡牌消耗!L272),"")</f>
        <v>22500</v>
      </c>
      <c r="P272" s="15" t="str">
        <f>IF(L272&gt;1,INDEX(价值概述!$A$4:$A$8,INDEX(挂机升级突破!$W$35:$W$55,卡牌消耗!L272)),"")</f>
        <v>蓝色基础材料</v>
      </c>
      <c r="Q272" s="15">
        <f>IF(L272&gt;1,INDEX(挂机升级突破!$Z$35:$AD$55,卡牌消耗!L272,INDEX(挂机升级突破!$W$35:$W$55,卡牌消耗!L272)),"")</f>
        <v>35</v>
      </c>
      <c r="R272" s="15" t="str">
        <f>IF(INDEX(挂机升级突破!$X$35:$X$55,卡牌消耗!L272)&gt;0,INDEX($G$2:$I$2,INDEX(挂机升级突破!$X$35:$X$55,卡牌消耗!L272))&amp;M272,"")</f>
        <v>初级红</v>
      </c>
      <c r="S272" s="15">
        <f>IF(R272="","",INDEX(挂机升级突破!$AE$35:$AG$55,卡牌消耗!L272,INDEX(挂机升级突破!$X$35:$X$55,卡牌消耗!L272)))</f>
        <v>65</v>
      </c>
      <c r="T272" s="15" t="str">
        <f>IF(INDEX(挂机升级突破!$Y$35:$Y$55,卡牌消耗!L272)&gt;0,"灵玉","")</f>
        <v/>
      </c>
      <c r="U272" s="15" t="str">
        <f>IF(INDEX(挂机升级突破!$Y$35:$Y$55,卡牌消耗!L272)&gt;0,INDEX(挂机升级突破!$AH$35:$AH$55,卡牌消耗!L272),"")</f>
        <v/>
      </c>
    </row>
    <row r="273" spans="9:21" ht="16.5" x14ac:dyDescent="0.2">
      <c r="I273" s="35">
        <v>237</v>
      </c>
      <c r="J273" s="15">
        <f t="shared" si="16"/>
        <v>1102012</v>
      </c>
      <c r="K273" s="15">
        <f t="shared" si="17"/>
        <v>4</v>
      </c>
      <c r="L273" s="15">
        <f t="shared" si="19"/>
        <v>6</v>
      </c>
      <c r="M273" s="15" t="str">
        <f t="shared" si="18"/>
        <v>红</v>
      </c>
      <c r="N273" s="15" t="str">
        <f t="shared" si="20"/>
        <v>金币</v>
      </c>
      <c r="O273" s="15">
        <f>IF(L273&gt;1,INDEX(挂机升级突破!$AI$35:$AI$55,卡牌消耗!L273),"")</f>
        <v>53000</v>
      </c>
      <c r="P273" s="15" t="str">
        <f>IF(L273&gt;1,INDEX(价值概述!$A$4:$A$8,INDEX(挂机升级突破!$W$35:$W$55,卡牌消耗!L273)),"")</f>
        <v>蓝色基础材料</v>
      </c>
      <c r="Q273" s="15">
        <f>IF(L273&gt;1,INDEX(挂机升级突破!$Z$35:$AD$55,卡牌消耗!L273,INDEX(挂机升级突破!$W$35:$W$55,卡牌消耗!L273)),"")</f>
        <v>70</v>
      </c>
      <c r="R273" s="15" t="str">
        <f>IF(INDEX(挂机升级突破!$X$35:$X$55,卡牌消耗!L273)&gt;0,INDEX($G$2:$I$2,INDEX(挂机升级突破!$X$35:$X$55,卡牌消耗!L273))&amp;M273,"")</f>
        <v>初级红</v>
      </c>
      <c r="S273" s="15">
        <f>IF(R273="","",INDEX(挂机升级突破!$AE$35:$AG$55,卡牌消耗!L273,INDEX(挂机升级突破!$X$35:$X$55,卡牌消耗!L273)))</f>
        <v>85</v>
      </c>
      <c r="T273" s="15" t="str">
        <f>IF(INDEX(挂机升级突破!$Y$35:$Y$55,卡牌消耗!L273)&gt;0,"灵玉","")</f>
        <v/>
      </c>
      <c r="U273" s="15" t="str">
        <f>IF(INDEX(挂机升级突破!$Y$35:$Y$55,卡牌消耗!L273)&gt;0,INDEX(挂机升级突破!$AH$35:$AH$55,卡牌消耗!L273),"")</f>
        <v/>
      </c>
    </row>
    <row r="274" spans="9:21" ht="16.5" x14ac:dyDescent="0.2">
      <c r="I274" s="35">
        <v>238</v>
      </c>
      <c r="J274" s="15">
        <f t="shared" si="16"/>
        <v>1102012</v>
      </c>
      <c r="K274" s="15">
        <f t="shared" si="17"/>
        <v>4</v>
      </c>
      <c r="L274" s="15">
        <f t="shared" si="19"/>
        <v>7</v>
      </c>
      <c r="M274" s="15" t="str">
        <f t="shared" si="18"/>
        <v>红</v>
      </c>
      <c r="N274" s="15" t="str">
        <f t="shared" si="20"/>
        <v>金币</v>
      </c>
      <c r="O274" s="15">
        <f>IF(L274&gt;1,INDEX(挂机升级突破!$AI$35:$AI$55,卡牌消耗!L274),"")</f>
        <v>59500</v>
      </c>
      <c r="P274" s="15" t="str">
        <f>IF(L274&gt;1,INDEX(价值概述!$A$4:$A$8,INDEX(挂机升级突破!$W$35:$W$55,卡牌消耗!L274)),"")</f>
        <v>蓝色基础材料</v>
      </c>
      <c r="Q274" s="15">
        <f>IF(L274&gt;1,INDEX(挂机升级突破!$Z$35:$AD$55,卡牌消耗!L274,INDEX(挂机升级突破!$W$35:$W$55,卡牌消耗!L274)),"")</f>
        <v>110</v>
      </c>
      <c r="R274" s="15" t="str">
        <f>IF(INDEX(挂机升级突破!$X$35:$X$55,卡牌消耗!L274)&gt;0,INDEX($G$2:$I$2,INDEX(挂机升级突破!$X$35:$X$55,卡牌消耗!L274))&amp;M274,"")</f>
        <v>初级红</v>
      </c>
      <c r="S274" s="15">
        <f>IF(R274="","",INDEX(挂机升级突破!$AE$35:$AG$55,卡牌消耗!L274,INDEX(挂机升级突破!$X$35:$X$55,卡牌消耗!L274)))</f>
        <v>110</v>
      </c>
      <c r="T274" s="15" t="str">
        <f>IF(INDEX(挂机升级突破!$Y$35:$Y$55,卡牌消耗!L274)&gt;0,"灵玉","")</f>
        <v/>
      </c>
      <c r="U274" s="15" t="str">
        <f>IF(INDEX(挂机升级突破!$Y$35:$Y$55,卡牌消耗!L274)&gt;0,INDEX(挂机升级突破!$AH$35:$AH$55,卡牌消耗!L274),"")</f>
        <v/>
      </c>
    </row>
    <row r="275" spans="9:21" ht="16.5" x14ac:dyDescent="0.2">
      <c r="I275" s="35">
        <v>239</v>
      </c>
      <c r="J275" s="15">
        <f t="shared" si="16"/>
        <v>1102012</v>
      </c>
      <c r="K275" s="15">
        <f t="shared" si="17"/>
        <v>4</v>
      </c>
      <c r="L275" s="15">
        <f t="shared" si="19"/>
        <v>8</v>
      </c>
      <c r="M275" s="15" t="str">
        <f t="shared" si="18"/>
        <v>红</v>
      </c>
      <c r="N275" s="15" t="str">
        <f t="shared" si="20"/>
        <v>金币</v>
      </c>
      <c r="O275" s="15">
        <f>IF(L275&gt;1,INDEX(挂机升级突破!$AI$35:$AI$55,卡牌消耗!L275),"")</f>
        <v>65500</v>
      </c>
      <c r="P275" s="15" t="str">
        <f>IF(L275&gt;1,INDEX(价值概述!$A$4:$A$8,INDEX(挂机升级突破!$W$35:$W$55,卡牌消耗!L275)),"")</f>
        <v>蓝色基础材料</v>
      </c>
      <c r="Q275" s="15">
        <f>IF(L275&gt;1,INDEX(挂机升级突破!$Z$35:$AD$55,卡牌消耗!L275,INDEX(挂机升级突破!$W$35:$W$55,卡牌消耗!L275)),"")</f>
        <v>145</v>
      </c>
      <c r="R275" s="15" t="str">
        <f>IF(INDEX(挂机升级突破!$X$35:$X$55,卡牌消耗!L275)&gt;0,INDEX($G$2:$I$2,INDEX(挂机升级突破!$X$35:$X$55,卡牌消耗!L275))&amp;M275,"")</f>
        <v>初级红</v>
      </c>
      <c r="S275" s="15">
        <f>IF(R275="","",INDEX(挂机升级突破!$AE$35:$AG$55,卡牌消耗!L275,INDEX(挂机升级突破!$X$35:$X$55,卡牌消耗!L275)))</f>
        <v>130</v>
      </c>
      <c r="T275" s="15" t="str">
        <f>IF(INDEX(挂机升级突破!$Y$35:$Y$55,卡牌消耗!L275)&gt;0,"灵玉","")</f>
        <v/>
      </c>
      <c r="U275" s="15" t="str">
        <f>IF(INDEX(挂机升级突破!$Y$35:$Y$55,卡牌消耗!L275)&gt;0,INDEX(挂机升级突破!$AH$35:$AH$55,卡牌消耗!L275),"")</f>
        <v/>
      </c>
    </row>
    <row r="276" spans="9:21" ht="16.5" x14ac:dyDescent="0.2">
      <c r="I276" s="35">
        <v>240</v>
      </c>
      <c r="J276" s="15">
        <f t="shared" si="16"/>
        <v>1102012</v>
      </c>
      <c r="K276" s="15">
        <f t="shared" si="17"/>
        <v>4</v>
      </c>
      <c r="L276" s="15">
        <f t="shared" si="19"/>
        <v>9</v>
      </c>
      <c r="M276" s="15" t="str">
        <f t="shared" si="18"/>
        <v>红</v>
      </c>
      <c r="N276" s="15" t="str">
        <f t="shared" si="20"/>
        <v>金币</v>
      </c>
      <c r="O276" s="15">
        <f>IF(L276&gt;1,INDEX(挂机升级突破!$AI$35:$AI$55,卡牌消耗!L276),"")</f>
        <v>76000</v>
      </c>
      <c r="P276" s="15" t="str">
        <f>IF(L276&gt;1,INDEX(价值概述!$A$4:$A$8,INDEX(挂机升级突破!$W$35:$W$55,卡牌消耗!L276)),"")</f>
        <v>紫色基础材料</v>
      </c>
      <c r="Q276" s="15">
        <f>IF(L276&gt;1,INDEX(挂机升级突破!$Z$35:$AD$55,卡牌消耗!L276,INDEX(挂机升级突破!$W$35:$W$55,卡牌消耗!L276)),"")</f>
        <v>70</v>
      </c>
      <c r="R276" s="15" t="str">
        <f>IF(INDEX(挂机升级突破!$X$35:$X$55,卡牌消耗!L276)&gt;0,INDEX($G$2:$I$2,INDEX(挂机升级突破!$X$35:$X$55,卡牌消耗!L276))&amp;M276,"")</f>
        <v>中级红</v>
      </c>
      <c r="S276" s="15">
        <f>IF(R276="","",INDEX(挂机升级突破!$AE$35:$AG$55,卡牌消耗!L276,INDEX(挂机升级突破!$X$35:$X$55,卡牌消耗!L276)))</f>
        <v>55</v>
      </c>
      <c r="T276" s="15" t="str">
        <f>IF(INDEX(挂机升级突破!$Y$35:$Y$55,卡牌消耗!L276)&gt;0,"灵玉","")</f>
        <v/>
      </c>
      <c r="U276" s="15" t="str">
        <f>IF(INDEX(挂机升级突破!$Y$35:$Y$55,卡牌消耗!L276)&gt;0,INDEX(挂机升级突破!$AH$35:$AH$55,卡牌消耗!L276),"")</f>
        <v/>
      </c>
    </row>
    <row r="277" spans="9:21" ht="16.5" x14ac:dyDescent="0.2">
      <c r="I277" s="35">
        <v>241</v>
      </c>
      <c r="J277" s="15">
        <f t="shared" si="16"/>
        <v>1102012</v>
      </c>
      <c r="K277" s="15">
        <f t="shared" si="17"/>
        <v>4</v>
      </c>
      <c r="L277" s="15">
        <f t="shared" si="19"/>
        <v>10</v>
      </c>
      <c r="M277" s="15" t="str">
        <f t="shared" si="18"/>
        <v>红</v>
      </c>
      <c r="N277" s="15" t="str">
        <f t="shared" si="20"/>
        <v>金币</v>
      </c>
      <c r="O277" s="15">
        <f>IF(L277&gt;1,INDEX(挂机升级突破!$AI$35:$AI$55,卡牌消耗!L277),"")</f>
        <v>83000</v>
      </c>
      <c r="P277" s="15" t="str">
        <f>IF(L277&gt;1,INDEX(价值概述!$A$4:$A$8,INDEX(挂机升级突破!$W$35:$W$55,卡牌消耗!L277)),"")</f>
        <v>紫色基础材料</v>
      </c>
      <c r="Q277" s="15">
        <f>IF(L277&gt;1,INDEX(挂机升级突破!$Z$35:$AD$55,卡牌消耗!L277,INDEX(挂机升级突破!$W$35:$W$55,卡牌消耗!L277)),"")</f>
        <v>140</v>
      </c>
      <c r="R277" s="15" t="str">
        <f>IF(INDEX(挂机升级突破!$X$35:$X$55,卡牌消耗!L277)&gt;0,INDEX($G$2:$I$2,INDEX(挂机升级突破!$X$35:$X$55,卡牌消耗!L277))&amp;M277,"")</f>
        <v>中级红</v>
      </c>
      <c r="S277" s="15">
        <f>IF(R277="","",INDEX(挂机升级突破!$AE$35:$AG$55,卡牌消耗!L277,INDEX(挂机升级突破!$X$35:$X$55,卡牌消耗!L277)))</f>
        <v>95</v>
      </c>
      <c r="T277" s="15" t="str">
        <f>IF(INDEX(挂机升级突破!$Y$35:$Y$55,卡牌消耗!L277)&gt;0,"灵玉","")</f>
        <v/>
      </c>
      <c r="U277" s="15" t="str">
        <f>IF(INDEX(挂机升级突破!$Y$35:$Y$55,卡牌消耗!L277)&gt;0,INDEX(挂机升级突破!$AH$35:$AH$55,卡牌消耗!L277),"")</f>
        <v/>
      </c>
    </row>
    <row r="278" spans="9:21" ht="16.5" x14ac:dyDescent="0.2">
      <c r="I278" s="35">
        <v>242</v>
      </c>
      <c r="J278" s="15">
        <f t="shared" si="16"/>
        <v>1102012</v>
      </c>
      <c r="K278" s="15">
        <f t="shared" si="17"/>
        <v>4</v>
      </c>
      <c r="L278" s="15">
        <f t="shared" si="19"/>
        <v>11</v>
      </c>
      <c r="M278" s="15" t="str">
        <f t="shared" si="18"/>
        <v>红</v>
      </c>
      <c r="N278" s="15" t="str">
        <f t="shared" si="20"/>
        <v>金币</v>
      </c>
      <c r="O278" s="15">
        <f>IF(L278&gt;1,INDEX(挂机升级突破!$AI$35:$AI$55,卡牌消耗!L278),"")</f>
        <v>90000</v>
      </c>
      <c r="P278" s="15" t="str">
        <f>IF(L278&gt;1,INDEX(价值概述!$A$4:$A$8,INDEX(挂机升级突破!$W$35:$W$55,卡牌消耗!L278)),"")</f>
        <v>紫色基础材料</v>
      </c>
      <c r="Q278" s="15">
        <f>IF(L278&gt;1,INDEX(挂机升级突破!$Z$35:$AD$55,卡牌消耗!L278,INDEX(挂机升级突破!$W$35:$W$55,卡牌消耗!L278)),"")</f>
        <v>215</v>
      </c>
      <c r="R278" s="15" t="str">
        <f>IF(INDEX(挂机升级突破!$X$35:$X$55,卡牌消耗!L278)&gt;0,INDEX($G$2:$I$2,INDEX(挂机升级突破!$X$35:$X$55,卡牌消耗!L278))&amp;M278,"")</f>
        <v>中级红</v>
      </c>
      <c r="S278" s="15">
        <f>IF(R278="","",INDEX(挂机升级突破!$AE$35:$AG$55,卡牌消耗!L278,INDEX(挂机升级突破!$X$35:$X$55,卡牌消耗!L278)))</f>
        <v>145</v>
      </c>
      <c r="T278" s="15" t="str">
        <f>IF(INDEX(挂机升级突破!$Y$35:$Y$55,卡牌消耗!L278)&gt;0,"灵玉","")</f>
        <v/>
      </c>
      <c r="U278" s="15" t="str">
        <f>IF(INDEX(挂机升级突破!$Y$35:$Y$55,卡牌消耗!L278)&gt;0,INDEX(挂机升级突破!$AH$35:$AH$55,卡牌消耗!L278),"")</f>
        <v/>
      </c>
    </row>
    <row r="279" spans="9:21" ht="16.5" x14ac:dyDescent="0.2">
      <c r="I279" s="35">
        <v>243</v>
      </c>
      <c r="J279" s="15">
        <f t="shared" si="16"/>
        <v>1102012</v>
      </c>
      <c r="K279" s="15">
        <f t="shared" si="17"/>
        <v>4</v>
      </c>
      <c r="L279" s="15">
        <f t="shared" si="19"/>
        <v>12</v>
      </c>
      <c r="M279" s="15" t="str">
        <f t="shared" si="18"/>
        <v>红</v>
      </c>
      <c r="N279" s="15" t="str">
        <f t="shared" si="20"/>
        <v>金币</v>
      </c>
      <c r="O279" s="15">
        <f>IF(L279&gt;1,INDEX(挂机升级突破!$AI$35:$AI$55,卡牌消耗!L279),"")</f>
        <v>97000</v>
      </c>
      <c r="P279" s="15" t="str">
        <f>IF(L279&gt;1,INDEX(价值概述!$A$4:$A$8,INDEX(挂机升级突破!$W$35:$W$55,卡牌消耗!L279)),"")</f>
        <v>紫色基础材料</v>
      </c>
      <c r="Q279" s="15">
        <f>IF(L279&gt;1,INDEX(挂机升级突破!$Z$35:$AD$55,卡牌消耗!L279,INDEX(挂机升级突破!$W$35:$W$55,卡牌消耗!L279)),"")</f>
        <v>285</v>
      </c>
      <c r="R279" s="15" t="str">
        <f>IF(INDEX(挂机升级突破!$X$35:$X$55,卡牌消耗!L279)&gt;0,INDEX($G$2:$I$2,INDEX(挂机升级突破!$X$35:$X$55,卡牌消耗!L279))&amp;M279,"")</f>
        <v>中级红</v>
      </c>
      <c r="S279" s="15">
        <f>IF(R279="","",INDEX(挂机升级突破!$AE$35:$AG$55,卡牌消耗!L279,INDEX(挂机升级突破!$X$35:$X$55,卡牌消耗!L279)))</f>
        <v>185</v>
      </c>
      <c r="T279" s="15" t="str">
        <f>IF(INDEX(挂机升级突破!$Y$35:$Y$55,卡牌消耗!L279)&gt;0,"灵玉","")</f>
        <v/>
      </c>
      <c r="U279" s="15" t="str">
        <f>IF(INDEX(挂机升级突破!$Y$35:$Y$55,卡牌消耗!L279)&gt;0,INDEX(挂机升级突破!$AH$35:$AH$55,卡牌消耗!L279),"")</f>
        <v/>
      </c>
    </row>
    <row r="280" spans="9:21" ht="16.5" x14ac:dyDescent="0.2">
      <c r="I280" s="35">
        <v>244</v>
      </c>
      <c r="J280" s="15">
        <f t="shared" si="16"/>
        <v>1102012</v>
      </c>
      <c r="K280" s="15">
        <f t="shared" si="17"/>
        <v>4</v>
      </c>
      <c r="L280" s="15">
        <f t="shared" si="19"/>
        <v>13</v>
      </c>
      <c r="M280" s="15" t="str">
        <f t="shared" si="18"/>
        <v>红</v>
      </c>
      <c r="N280" s="15" t="str">
        <f t="shared" si="20"/>
        <v>金币</v>
      </c>
      <c r="O280" s="15">
        <f>IF(L280&gt;1,INDEX(挂机升级突破!$AI$35:$AI$55,卡牌消耗!L280),"")</f>
        <v>122000</v>
      </c>
      <c r="P280" s="15" t="str">
        <f>IF(L280&gt;1,INDEX(价值概述!$A$4:$A$8,INDEX(挂机升级突破!$W$35:$W$55,卡牌消耗!L280)),"")</f>
        <v>橙色基础材料</v>
      </c>
      <c r="Q280" s="15">
        <f>IF(L280&gt;1,INDEX(挂机升级突破!$Z$35:$AD$55,卡牌消耗!L280,INDEX(挂机升级突破!$W$35:$W$55,卡牌消耗!L280)),"")</f>
        <v>115</v>
      </c>
      <c r="R280" s="15" t="str">
        <f>IF(INDEX(挂机升级突破!$X$35:$X$55,卡牌消耗!L280)&gt;0,INDEX($G$2:$I$2,INDEX(挂机升级突破!$X$35:$X$55,卡牌消耗!L280))&amp;M280,"")</f>
        <v>中级红</v>
      </c>
      <c r="S280" s="15">
        <f>IF(R280="","",INDEX(挂机升级突破!$AE$35:$AG$55,卡牌消耗!L280,INDEX(挂机升级突破!$X$35:$X$55,卡牌消耗!L280)))</f>
        <v>225</v>
      </c>
      <c r="T280" s="15" t="str">
        <f>IF(INDEX(挂机升级突破!$Y$35:$Y$55,卡牌消耗!L280)&gt;0,"灵玉","")</f>
        <v/>
      </c>
      <c r="U280" s="15" t="str">
        <f>IF(INDEX(挂机升级突破!$Y$35:$Y$55,卡牌消耗!L280)&gt;0,INDEX(挂机升级突破!$AH$35:$AH$55,卡牌消耗!L280),"")</f>
        <v/>
      </c>
    </row>
    <row r="281" spans="9:21" ht="16.5" x14ac:dyDescent="0.2">
      <c r="I281" s="35">
        <v>245</v>
      </c>
      <c r="J281" s="15">
        <f t="shared" si="16"/>
        <v>1102012</v>
      </c>
      <c r="K281" s="15">
        <f t="shared" si="17"/>
        <v>4</v>
      </c>
      <c r="L281" s="15">
        <f t="shared" si="19"/>
        <v>14</v>
      </c>
      <c r="M281" s="15" t="str">
        <f t="shared" si="18"/>
        <v>红</v>
      </c>
      <c r="N281" s="15" t="str">
        <f t="shared" si="20"/>
        <v>金币</v>
      </c>
      <c r="O281" s="15">
        <f>IF(L281&gt;1,INDEX(挂机升级突破!$AI$35:$AI$55,卡牌消耗!L281),"")</f>
        <v>162500</v>
      </c>
      <c r="P281" s="15" t="str">
        <f>IF(L281&gt;1,INDEX(价值概述!$A$4:$A$8,INDEX(挂机升级突破!$W$35:$W$55,卡牌消耗!L281)),"")</f>
        <v>橙色基础材料</v>
      </c>
      <c r="Q281" s="15">
        <f>IF(L281&gt;1,INDEX(挂机升级突破!$Z$35:$AD$55,卡牌消耗!L281,INDEX(挂机升级突破!$W$35:$W$55,卡牌消耗!L281)),"")</f>
        <v>235</v>
      </c>
      <c r="R281" s="15" t="str">
        <f>IF(INDEX(挂机升级突破!$X$35:$X$55,卡牌消耗!L281)&gt;0,INDEX($G$2:$I$2,INDEX(挂机升级突破!$X$35:$X$55,卡牌消耗!L281))&amp;M281,"")</f>
        <v>中级红</v>
      </c>
      <c r="S281" s="15">
        <f>IF(R281="","",INDEX(挂机升级突破!$AE$35:$AG$55,卡牌消耗!L281,INDEX(挂机升级突破!$X$35:$X$55,卡牌消耗!L281)))</f>
        <v>265</v>
      </c>
      <c r="T281" s="15" t="str">
        <f>IF(INDEX(挂机升级突破!$Y$35:$Y$55,卡牌消耗!L281)&gt;0,"灵玉","")</f>
        <v/>
      </c>
      <c r="U281" s="15" t="str">
        <f>IF(INDEX(挂机升级突破!$Y$35:$Y$55,卡牌消耗!L281)&gt;0,INDEX(挂机升级突破!$AH$35:$AH$55,卡牌消耗!L281),"")</f>
        <v/>
      </c>
    </row>
    <row r="282" spans="9:21" ht="16.5" x14ac:dyDescent="0.2">
      <c r="I282" s="35">
        <v>246</v>
      </c>
      <c r="J282" s="15">
        <f t="shared" si="16"/>
        <v>1102012</v>
      </c>
      <c r="K282" s="15">
        <f t="shared" si="17"/>
        <v>4</v>
      </c>
      <c r="L282" s="15">
        <f t="shared" si="19"/>
        <v>15</v>
      </c>
      <c r="M282" s="15" t="str">
        <f t="shared" si="18"/>
        <v>红</v>
      </c>
      <c r="N282" s="15" t="str">
        <f t="shared" si="20"/>
        <v>金币</v>
      </c>
      <c r="O282" s="15">
        <f>IF(L282&gt;1,INDEX(挂机升级突破!$AI$35:$AI$55,卡牌消耗!L282),"")</f>
        <v>190000</v>
      </c>
      <c r="P282" s="15" t="str">
        <f>IF(L282&gt;1,INDEX(价值概述!$A$4:$A$8,INDEX(挂机升级突破!$W$35:$W$55,卡牌消耗!L282)),"")</f>
        <v>橙色基础材料</v>
      </c>
      <c r="Q282" s="15">
        <f>IF(L282&gt;1,INDEX(挂机升级突破!$Z$35:$AD$55,卡牌消耗!L282,INDEX(挂机升级突破!$W$35:$W$55,卡牌消耗!L282)),"")</f>
        <v>355</v>
      </c>
      <c r="R282" s="15" t="str">
        <f>IF(INDEX(挂机升级突破!$X$35:$X$55,卡牌消耗!L282)&gt;0,INDEX($G$2:$I$2,INDEX(挂机升级突破!$X$35:$X$55,卡牌消耗!L282))&amp;M282,"")</f>
        <v>高级红</v>
      </c>
      <c r="S282" s="15">
        <f>IF(R282="","",INDEX(挂机升级突破!$AE$35:$AG$55,卡牌消耗!L282,INDEX(挂机升级突破!$X$35:$X$55,卡牌消耗!L282)))</f>
        <v>45</v>
      </c>
      <c r="T282" s="15" t="str">
        <f>IF(INDEX(挂机升级突破!$Y$35:$Y$55,卡牌消耗!L282)&gt;0,"灵玉","")</f>
        <v/>
      </c>
      <c r="U282" s="15" t="str">
        <f>IF(INDEX(挂机升级突破!$Y$35:$Y$55,卡牌消耗!L282)&gt;0,INDEX(挂机升级突破!$AH$35:$AH$55,卡牌消耗!L282),"")</f>
        <v/>
      </c>
    </row>
    <row r="283" spans="9:21" ht="16.5" x14ac:dyDescent="0.2">
      <c r="I283" s="35">
        <v>247</v>
      </c>
      <c r="J283" s="15">
        <f t="shared" si="16"/>
        <v>1102012</v>
      </c>
      <c r="K283" s="15">
        <f t="shared" si="17"/>
        <v>4</v>
      </c>
      <c r="L283" s="15">
        <f t="shared" si="19"/>
        <v>16</v>
      </c>
      <c r="M283" s="15" t="str">
        <f t="shared" si="18"/>
        <v>红</v>
      </c>
      <c r="N283" s="15" t="str">
        <f t="shared" si="20"/>
        <v>金币</v>
      </c>
      <c r="O283" s="15">
        <f>IF(L283&gt;1,INDEX(挂机升级突破!$AI$35:$AI$55,卡牌消耗!L283),"")</f>
        <v>219000</v>
      </c>
      <c r="P283" s="15" t="str">
        <f>IF(L283&gt;1,INDEX(价值概述!$A$4:$A$8,INDEX(挂机升级突破!$W$35:$W$55,卡牌消耗!L283)),"")</f>
        <v>橙色基础材料</v>
      </c>
      <c r="Q283" s="15">
        <f>IF(L283&gt;1,INDEX(挂机升级突破!$Z$35:$AD$55,卡牌消耗!L283,INDEX(挂机升级突破!$W$35:$W$55,卡牌消耗!L283)),"")</f>
        <v>475</v>
      </c>
      <c r="R283" s="15" t="str">
        <f>IF(INDEX(挂机升级突破!$X$35:$X$55,卡牌消耗!L283)&gt;0,INDEX($G$2:$I$2,INDEX(挂机升级突破!$X$35:$X$55,卡牌消耗!L283))&amp;M283,"")</f>
        <v>高级红</v>
      </c>
      <c r="S283" s="15">
        <f>IF(R283="","",INDEX(挂机升级突破!$AE$35:$AG$55,卡牌消耗!L283,INDEX(挂机升级突破!$X$35:$X$55,卡牌消耗!L283)))</f>
        <v>70</v>
      </c>
      <c r="T283" s="15" t="str">
        <f>IF(INDEX(挂机升级突破!$Y$35:$Y$55,卡牌消耗!L283)&gt;0,"灵玉","")</f>
        <v/>
      </c>
      <c r="U283" s="15" t="str">
        <f>IF(INDEX(挂机升级突破!$Y$35:$Y$55,卡牌消耗!L283)&gt;0,INDEX(挂机升级突破!$AH$35:$AH$55,卡牌消耗!L283),"")</f>
        <v/>
      </c>
    </row>
    <row r="284" spans="9:21" ht="16.5" x14ac:dyDescent="0.2">
      <c r="I284" s="35">
        <v>248</v>
      </c>
      <c r="J284" s="15">
        <f t="shared" si="16"/>
        <v>1102012</v>
      </c>
      <c r="K284" s="15">
        <f t="shared" si="17"/>
        <v>4</v>
      </c>
      <c r="L284" s="15">
        <f t="shared" si="19"/>
        <v>17</v>
      </c>
      <c r="M284" s="15" t="str">
        <f t="shared" si="18"/>
        <v>红</v>
      </c>
      <c r="N284" s="15" t="str">
        <f t="shared" si="20"/>
        <v>金币</v>
      </c>
      <c r="O284" s="15">
        <f>IF(L284&gt;1,INDEX(挂机升级突破!$AI$35:$AI$55,卡牌消耗!L284),"")</f>
        <v>228000</v>
      </c>
      <c r="P284" s="15" t="str">
        <f>IF(L284&gt;1,INDEX(价值概述!$A$4:$A$8,INDEX(挂机升级突破!$W$35:$W$55,卡牌消耗!L284)),"")</f>
        <v>红色基础材料</v>
      </c>
      <c r="Q284" s="15">
        <f>IF(L284&gt;1,INDEX(挂机升级突破!$Z$35:$AD$55,卡牌消耗!L284,INDEX(挂机升级突破!$W$35:$W$55,卡牌消耗!L284)),"")</f>
        <v>45</v>
      </c>
      <c r="R284" s="15" t="str">
        <f>IF(INDEX(挂机升级突破!$X$35:$X$55,卡牌消耗!L284)&gt;0,INDEX($G$2:$I$2,INDEX(挂机升级突破!$X$35:$X$55,卡牌消耗!L284))&amp;M284,"")</f>
        <v>高级红</v>
      </c>
      <c r="S284" s="15">
        <f>IF(R284="","",INDEX(挂机升级突破!$AE$35:$AG$55,卡牌消耗!L284,INDEX(挂机升级突破!$X$35:$X$55,卡牌消耗!L284)))</f>
        <v>100</v>
      </c>
      <c r="T284" s="15" t="str">
        <f>IF(INDEX(挂机升级突破!$Y$35:$Y$55,卡牌消耗!L284)&gt;0,"灵玉","")</f>
        <v>灵玉</v>
      </c>
      <c r="U284" s="15">
        <f>IF(INDEX(挂机升级突破!$Y$35:$Y$55,卡牌消耗!L284)&gt;0,INDEX(挂机升级突破!$AH$35:$AH$55,卡牌消耗!L284),"")</f>
        <v>25</v>
      </c>
    </row>
    <row r="285" spans="9:21" ht="16.5" x14ac:dyDescent="0.2">
      <c r="I285" s="35">
        <v>249</v>
      </c>
      <c r="J285" s="15">
        <f t="shared" si="16"/>
        <v>1102012</v>
      </c>
      <c r="K285" s="15">
        <f t="shared" si="17"/>
        <v>4</v>
      </c>
      <c r="L285" s="15">
        <f t="shared" si="19"/>
        <v>18</v>
      </c>
      <c r="M285" s="15" t="str">
        <f t="shared" si="18"/>
        <v>红</v>
      </c>
      <c r="N285" s="15" t="str">
        <f t="shared" si="20"/>
        <v>金币</v>
      </c>
      <c r="O285" s="15">
        <f>IF(L285&gt;1,INDEX(挂机升级突破!$AI$35:$AI$55,卡牌消耗!L285),"")</f>
        <v>319500</v>
      </c>
      <c r="P285" s="15" t="str">
        <f>IF(L285&gt;1,INDEX(价值概述!$A$4:$A$8,INDEX(挂机升级突破!$W$35:$W$55,卡牌消耗!L285)),"")</f>
        <v>红色基础材料</v>
      </c>
      <c r="Q285" s="15">
        <f>IF(L285&gt;1,INDEX(挂机升级突破!$Z$35:$AD$55,卡牌消耗!L285,INDEX(挂机升级突破!$W$35:$W$55,卡牌消耗!L285)),"")</f>
        <v>65</v>
      </c>
      <c r="R285" s="15" t="str">
        <f>IF(INDEX(挂机升级突破!$X$35:$X$55,卡牌消耗!L285)&gt;0,INDEX($G$2:$I$2,INDEX(挂机升级突破!$X$35:$X$55,卡牌消耗!L285))&amp;M285,"")</f>
        <v>高级红</v>
      </c>
      <c r="S285" s="15">
        <f>IF(R285="","",INDEX(挂机升级突破!$AE$35:$AG$55,卡牌消耗!L285,INDEX(挂机升级突破!$X$35:$X$55,卡牌消耗!L285)))</f>
        <v>125</v>
      </c>
      <c r="T285" s="15" t="str">
        <f>IF(INDEX(挂机升级突破!$Y$35:$Y$55,卡牌消耗!L285)&gt;0,"灵玉","")</f>
        <v>灵玉</v>
      </c>
      <c r="U285" s="15">
        <f>IF(INDEX(挂机升级突破!$Y$35:$Y$55,卡牌消耗!L285)&gt;0,INDEX(挂机升级突破!$AH$35:$AH$55,卡牌消耗!L285),"")</f>
        <v>35</v>
      </c>
    </row>
    <row r="286" spans="9:21" ht="16.5" x14ac:dyDescent="0.2">
      <c r="I286" s="35">
        <v>250</v>
      </c>
      <c r="J286" s="15">
        <f t="shared" si="16"/>
        <v>1102012</v>
      </c>
      <c r="K286" s="15">
        <f t="shared" si="17"/>
        <v>4</v>
      </c>
      <c r="L286" s="15">
        <f t="shared" si="19"/>
        <v>19</v>
      </c>
      <c r="M286" s="15" t="str">
        <f t="shared" si="18"/>
        <v>红</v>
      </c>
      <c r="N286" s="15" t="str">
        <f t="shared" si="20"/>
        <v>金币</v>
      </c>
      <c r="O286" s="15">
        <f>IF(L286&gt;1,INDEX(挂机升级突破!$AI$35:$AI$55,卡牌消耗!L286),"")</f>
        <v>426000</v>
      </c>
      <c r="P286" s="15" t="str">
        <f>IF(L286&gt;1,INDEX(价值概述!$A$4:$A$8,INDEX(挂机升级突破!$W$35:$W$55,卡牌消耗!L286)),"")</f>
        <v>红色基础材料</v>
      </c>
      <c r="Q286" s="15">
        <f>IF(L286&gt;1,INDEX(挂机升级突破!$Z$35:$AD$55,卡牌消耗!L286,INDEX(挂机升级突破!$W$35:$W$55,卡牌消耗!L286)),"")</f>
        <v>90</v>
      </c>
      <c r="R286" s="15" t="str">
        <f>IF(INDEX(挂机升级突破!$X$35:$X$55,卡牌消耗!L286)&gt;0,INDEX($G$2:$I$2,INDEX(挂机升级突破!$X$35:$X$55,卡牌消耗!L286))&amp;M286,"")</f>
        <v>高级红</v>
      </c>
      <c r="S286" s="15">
        <f>IF(R286="","",INDEX(挂机升级突破!$AE$35:$AG$55,卡牌消耗!L286,INDEX(挂机升级突破!$X$35:$X$55,卡牌消耗!L286)))</f>
        <v>155</v>
      </c>
      <c r="T286" s="15" t="str">
        <f>IF(INDEX(挂机升级突破!$Y$35:$Y$55,卡牌消耗!L286)&gt;0,"灵玉","")</f>
        <v>灵玉</v>
      </c>
      <c r="U286" s="15">
        <f>IF(INDEX(挂机升级突破!$Y$35:$Y$55,卡牌消耗!L286)&gt;0,INDEX(挂机升级突破!$AH$35:$AH$55,卡牌消耗!L286),"")</f>
        <v>50</v>
      </c>
    </row>
    <row r="287" spans="9:21" ht="16.5" x14ac:dyDescent="0.2">
      <c r="I287" s="35">
        <v>251</v>
      </c>
      <c r="J287" s="15">
        <f t="shared" si="16"/>
        <v>1102012</v>
      </c>
      <c r="K287" s="15">
        <f t="shared" si="17"/>
        <v>4</v>
      </c>
      <c r="L287" s="15">
        <f t="shared" si="19"/>
        <v>20</v>
      </c>
      <c r="M287" s="15" t="str">
        <f t="shared" si="18"/>
        <v>红</v>
      </c>
      <c r="N287" s="15" t="str">
        <f t="shared" si="20"/>
        <v>金币</v>
      </c>
      <c r="O287" s="15">
        <f>IF(L287&gt;1,INDEX(挂机升级突破!$AI$35:$AI$55,卡牌消耗!L287),"")</f>
        <v>532500</v>
      </c>
      <c r="P287" s="15" t="str">
        <f>IF(L287&gt;1,INDEX(价值概述!$A$4:$A$8,INDEX(挂机升级突破!$W$35:$W$55,卡牌消耗!L287)),"")</f>
        <v>红色基础材料</v>
      </c>
      <c r="Q287" s="15">
        <f>IF(L287&gt;1,INDEX(挂机升级突破!$Z$35:$AD$55,卡牌消耗!L287,INDEX(挂机升级突破!$W$35:$W$55,卡牌消耗!L287)),"")</f>
        <v>110</v>
      </c>
      <c r="R287" s="15" t="str">
        <f>IF(INDEX(挂机升级突破!$X$35:$X$55,卡牌消耗!L287)&gt;0,INDEX($G$2:$I$2,INDEX(挂机升级突破!$X$35:$X$55,卡牌消耗!L287))&amp;M287,"")</f>
        <v>高级红</v>
      </c>
      <c r="S287" s="15">
        <f>IF(R287="","",INDEX(挂机升级突破!$AE$35:$AG$55,卡牌消耗!L287,INDEX(挂机升级突破!$X$35:$X$55,卡牌消耗!L287)))</f>
        <v>180</v>
      </c>
      <c r="T287" s="15" t="str">
        <f>IF(INDEX(挂机升级突破!$Y$35:$Y$55,卡牌消耗!L287)&gt;0,"灵玉","")</f>
        <v>灵玉</v>
      </c>
      <c r="U287" s="15">
        <f>IF(INDEX(挂机升级突破!$Y$35:$Y$55,卡牌消耗!L287)&gt;0,INDEX(挂机升级突破!$AH$35:$AH$55,卡牌消耗!L287),"")</f>
        <v>65</v>
      </c>
    </row>
    <row r="288" spans="9:21" ht="16.5" x14ac:dyDescent="0.2">
      <c r="I288" s="35">
        <v>252</v>
      </c>
      <c r="J288" s="15">
        <f t="shared" si="16"/>
        <v>1102012</v>
      </c>
      <c r="K288" s="15">
        <f t="shared" si="17"/>
        <v>4</v>
      </c>
      <c r="L288" s="15">
        <f t="shared" si="19"/>
        <v>21</v>
      </c>
      <c r="M288" s="15" t="str">
        <f t="shared" si="18"/>
        <v>红</v>
      </c>
      <c r="N288" s="15" t="str">
        <f t="shared" si="20"/>
        <v>金币</v>
      </c>
      <c r="O288" s="15">
        <f>IF(L288&gt;1,INDEX(挂机升级突破!$AI$35:$AI$55,卡牌消耗!L288),"")</f>
        <v>639000</v>
      </c>
      <c r="P288" s="15" t="str">
        <f>IF(L288&gt;1,INDEX(价值概述!$A$4:$A$8,INDEX(挂机升级突破!$W$35:$W$55,卡牌消耗!L288)),"")</f>
        <v>红色基础材料</v>
      </c>
      <c r="Q288" s="15">
        <f>IF(L288&gt;1,INDEX(挂机升级突破!$Z$35:$AD$55,卡牌消耗!L288,INDEX(挂机升级突破!$W$35:$W$55,卡牌消耗!L288)),"")</f>
        <v>135</v>
      </c>
      <c r="R288" s="15" t="str">
        <f>IF(INDEX(挂机升级突破!$X$35:$X$55,卡牌消耗!L288)&gt;0,INDEX($G$2:$I$2,INDEX(挂机升级突破!$X$35:$X$55,卡牌消耗!L288))&amp;M288,"")</f>
        <v>高级红</v>
      </c>
      <c r="S288" s="15">
        <f>IF(R288="","",INDEX(挂机升级突破!$AE$35:$AG$55,卡牌消耗!L288,INDEX(挂机升级突破!$X$35:$X$55,卡牌消耗!L288)))</f>
        <v>225</v>
      </c>
      <c r="T288" s="15" t="str">
        <f>IF(INDEX(挂机升级突破!$Y$35:$Y$55,卡牌消耗!L288)&gt;0,"灵玉","")</f>
        <v>灵玉</v>
      </c>
      <c r="U288" s="15">
        <f>IF(INDEX(挂机升级突破!$Y$35:$Y$55,卡牌消耗!L288)&gt;0,INDEX(挂机升级突破!$AH$35:$AH$55,卡牌消耗!L288),"")</f>
        <v>75</v>
      </c>
    </row>
    <row r="289" spans="9:21" ht="16.5" x14ac:dyDescent="0.2">
      <c r="I289" s="35">
        <v>253</v>
      </c>
      <c r="J289" s="15">
        <f t="shared" si="16"/>
        <v>1102013</v>
      </c>
      <c r="K289" s="15">
        <f t="shared" si="17"/>
        <v>2</v>
      </c>
      <c r="L289" s="15">
        <f t="shared" si="19"/>
        <v>1</v>
      </c>
      <c r="M289" s="15" t="str">
        <f t="shared" si="18"/>
        <v>蓝</v>
      </c>
      <c r="N289" s="15" t="str">
        <f t="shared" si="20"/>
        <v/>
      </c>
      <c r="O289" s="15" t="str">
        <f>IF(L289&gt;1,INDEX(挂机升级突破!$AI$35:$AI$55,卡牌消耗!L289),"")</f>
        <v/>
      </c>
      <c r="P289" s="15" t="str">
        <f>IF(L289&gt;1,INDEX(价值概述!$A$4:$A$8,INDEX(挂机升级突破!$W$35:$W$55,卡牌消耗!L289)),"")</f>
        <v/>
      </c>
      <c r="Q289" s="15" t="str">
        <f>IF(L289&gt;1,INDEX(挂机升级突破!$Z$35:$AD$55,卡牌消耗!L289,INDEX(挂机升级突破!$W$35:$W$55,卡牌消耗!L289)),"")</f>
        <v/>
      </c>
      <c r="R289" s="15" t="str">
        <f>IF(INDEX(挂机升级突破!$X$35:$X$55,卡牌消耗!L289)&gt;0,INDEX($G$2:$I$2,INDEX(挂机升级突破!$X$35:$X$55,卡牌消耗!L289))&amp;M289,"")</f>
        <v/>
      </c>
      <c r="S289" s="15" t="str">
        <f>IF(R289="","",INDEX(挂机升级突破!$AE$35:$AG$55,卡牌消耗!L289,INDEX(挂机升级突破!$X$35:$X$55,卡牌消耗!L289)))</f>
        <v/>
      </c>
      <c r="T289" s="15" t="str">
        <f>IF(INDEX(挂机升级突破!$Y$35:$Y$55,卡牌消耗!L289)&gt;0,"灵玉","")</f>
        <v/>
      </c>
      <c r="U289" s="15" t="str">
        <f>IF(INDEX(挂机升级突破!$Y$35:$Y$55,卡牌消耗!L289)&gt;0,INDEX(挂机升级突破!$AH$35:$AH$55,卡牌消耗!L289),"")</f>
        <v/>
      </c>
    </row>
    <row r="290" spans="9:21" ht="16.5" x14ac:dyDescent="0.2">
      <c r="I290" s="35">
        <v>254</v>
      </c>
      <c r="J290" s="15">
        <f t="shared" si="16"/>
        <v>1102013</v>
      </c>
      <c r="K290" s="15">
        <f t="shared" si="17"/>
        <v>2</v>
      </c>
      <c r="L290" s="15">
        <f t="shared" si="19"/>
        <v>2</v>
      </c>
      <c r="M290" s="15" t="str">
        <f t="shared" si="18"/>
        <v>蓝</v>
      </c>
      <c r="N290" s="15" t="str">
        <f t="shared" si="20"/>
        <v>金币</v>
      </c>
      <c r="O290" s="15">
        <f>IF(L290&gt;1,INDEX(挂机升级突破!$AI$35:$AI$55,卡牌消耗!L290),"")</f>
        <v>2500</v>
      </c>
      <c r="P290" s="15" t="str">
        <f>IF(L290&gt;1,INDEX(价值概述!$A$4:$A$8,INDEX(挂机升级突破!$W$35:$W$55,卡牌消耗!L290)),"")</f>
        <v>绿色基础材料</v>
      </c>
      <c r="Q290" s="15">
        <f>IF(L290&gt;1,INDEX(挂机升级突破!$Z$35:$AD$55,卡牌消耗!L290,INDEX(挂机升级突破!$W$35:$W$55,卡牌消耗!L290)),"")</f>
        <v>10</v>
      </c>
      <c r="R290" s="15" t="str">
        <f>IF(INDEX(挂机升级突破!$X$35:$X$55,卡牌消耗!L290)&gt;0,INDEX($G$2:$I$2,INDEX(挂机升级突破!$X$35:$X$55,卡牌消耗!L290))&amp;M290,"")</f>
        <v/>
      </c>
      <c r="S290" s="15" t="str">
        <f>IF(R290="","",INDEX(挂机升级突破!$AE$35:$AG$55,卡牌消耗!L290,INDEX(挂机升级突破!$X$35:$X$55,卡牌消耗!L290)))</f>
        <v/>
      </c>
      <c r="T290" s="15" t="str">
        <f>IF(INDEX(挂机升级突破!$Y$35:$Y$55,卡牌消耗!L290)&gt;0,"灵玉","")</f>
        <v/>
      </c>
      <c r="U290" s="15" t="str">
        <f>IF(INDEX(挂机升级突破!$Y$35:$Y$55,卡牌消耗!L290)&gt;0,INDEX(挂机升级突破!$AH$35:$AH$55,卡牌消耗!L290),"")</f>
        <v/>
      </c>
    </row>
    <row r="291" spans="9:21" ht="16.5" x14ac:dyDescent="0.2">
      <c r="I291" s="35">
        <v>255</v>
      </c>
      <c r="J291" s="15">
        <f t="shared" si="16"/>
        <v>1102013</v>
      </c>
      <c r="K291" s="15">
        <f t="shared" si="17"/>
        <v>2</v>
      </c>
      <c r="L291" s="15">
        <f t="shared" si="19"/>
        <v>3</v>
      </c>
      <c r="M291" s="15" t="str">
        <f t="shared" si="18"/>
        <v>蓝</v>
      </c>
      <c r="N291" s="15" t="str">
        <f t="shared" si="20"/>
        <v>金币</v>
      </c>
      <c r="O291" s="15">
        <f>IF(L291&gt;1,INDEX(挂机升级突破!$AI$35:$AI$55,卡牌消耗!L291),"")</f>
        <v>8000</v>
      </c>
      <c r="P291" s="15" t="str">
        <f>IF(L291&gt;1,INDEX(价值概述!$A$4:$A$8,INDEX(挂机升级突破!$W$35:$W$55,卡牌消耗!L291)),"")</f>
        <v>绿色基础材料</v>
      </c>
      <c r="Q291" s="15">
        <f>IF(L291&gt;1,INDEX(挂机升级突破!$Z$35:$AD$55,卡牌消耗!L291,INDEX(挂机升级突破!$W$35:$W$55,卡牌消耗!L291)),"")</f>
        <v>40</v>
      </c>
      <c r="R291" s="15" t="str">
        <f>IF(INDEX(挂机升级突破!$X$35:$X$55,卡牌消耗!L291)&gt;0,INDEX($G$2:$I$2,INDEX(挂机升级突破!$X$35:$X$55,卡牌消耗!L291))&amp;M291,"")</f>
        <v/>
      </c>
      <c r="S291" s="15" t="str">
        <f>IF(R291="","",INDEX(挂机升级突破!$AE$35:$AG$55,卡牌消耗!L291,INDEX(挂机升级突破!$X$35:$X$55,卡牌消耗!L291)))</f>
        <v/>
      </c>
      <c r="T291" s="15" t="str">
        <f>IF(INDEX(挂机升级突破!$Y$35:$Y$55,卡牌消耗!L291)&gt;0,"灵玉","")</f>
        <v/>
      </c>
      <c r="U291" s="15" t="str">
        <f>IF(INDEX(挂机升级突破!$Y$35:$Y$55,卡牌消耗!L291)&gt;0,INDEX(挂机升级突破!$AH$35:$AH$55,卡牌消耗!L291),"")</f>
        <v/>
      </c>
    </row>
    <row r="292" spans="9:21" ht="16.5" x14ac:dyDescent="0.2">
      <c r="I292" s="35">
        <v>256</v>
      </c>
      <c r="J292" s="15">
        <f t="shared" si="16"/>
        <v>1102013</v>
      </c>
      <c r="K292" s="15">
        <f t="shared" si="17"/>
        <v>2</v>
      </c>
      <c r="L292" s="15">
        <f t="shared" si="19"/>
        <v>4</v>
      </c>
      <c r="M292" s="15" t="str">
        <f t="shared" si="18"/>
        <v>蓝</v>
      </c>
      <c r="N292" s="15" t="str">
        <f t="shared" si="20"/>
        <v>金币</v>
      </c>
      <c r="O292" s="15">
        <f>IF(L292&gt;1,INDEX(挂机升级突破!$AI$35:$AI$55,卡牌消耗!L292),"")</f>
        <v>16500</v>
      </c>
      <c r="P292" s="15" t="str">
        <f>IF(L292&gt;1,INDEX(价值概述!$A$4:$A$8,INDEX(挂机升级突破!$W$35:$W$55,卡牌消耗!L292)),"")</f>
        <v>绿色基础材料</v>
      </c>
      <c r="Q292" s="15">
        <f>IF(L292&gt;1,INDEX(挂机升级突破!$Z$35:$AD$55,卡牌消耗!L292,INDEX(挂机升级突破!$W$35:$W$55,卡牌消耗!L292)),"")</f>
        <v>80</v>
      </c>
      <c r="R292" s="15" t="str">
        <f>IF(INDEX(挂机升级突破!$X$35:$X$55,卡牌消耗!L292)&gt;0,INDEX($G$2:$I$2,INDEX(挂机升级突破!$X$35:$X$55,卡牌消耗!L292))&amp;M292,"")</f>
        <v>初级蓝</v>
      </c>
      <c r="S292" s="15">
        <f>IF(R292="","",INDEX(挂机升级突破!$AE$35:$AG$55,卡牌消耗!L292,INDEX(挂机升级突破!$X$35:$X$55,卡牌消耗!L292)))</f>
        <v>40</v>
      </c>
      <c r="T292" s="15" t="str">
        <f>IF(INDEX(挂机升级突破!$Y$35:$Y$55,卡牌消耗!L292)&gt;0,"灵玉","")</f>
        <v/>
      </c>
      <c r="U292" s="15" t="str">
        <f>IF(INDEX(挂机升级突破!$Y$35:$Y$55,卡牌消耗!L292)&gt;0,INDEX(挂机升级突破!$AH$35:$AH$55,卡牌消耗!L292),"")</f>
        <v/>
      </c>
    </row>
    <row r="293" spans="9:21" ht="16.5" x14ac:dyDescent="0.2">
      <c r="I293" s="35">
        <v>257</v>
      </c>
      <c r="J293" s="15">
        <f t="shared" ref="J293:J356" si="21">INDEX($A$13:$A$33,INT((I293-1)/21)+1)</f>
        <v>1102013</v>
      </c>
      <c r="K293" s="15">
        <f t="shared" ref="K293:K356" si="22">VLOOKUP(J293,$A$13:$D$33,3)</f>
        <v>2</v>
      </c>
      <c r="L293" s="15">
        <f t="shared" si="19"/>
        <v>5</v>
      </c>
      <c r="M293" s="15" t="str">
        <f t="shared" ref="M293:M356" si="23">INDEX($J$2:$L$2,INDEX($E$13:$E$33,INT((I293-1)/21)+1))</f>
        <v>蓝</v>
      </c>
      <c r="N293" s="15" t="str">
        <f t="shared" si="20"/>
        <v>金币</v>
      </c>
      <c r="O293" s="15">
        <f>IF(L293&gt;1,INDEX(挂机升级突破!$AI$35:$AI$55,卡牌消耗!L293),"")</f>
        <v>22500</v>
      </c>
      <c r="P293" s="15" t="str">
        <f>IF(L293&gt;1,INDEX(价值概述!$A$4:$A$8,INDEX(挂机升级突破!$W$35:$W$55,卡牌消耗!L293)),"")</f>
        <v>蓝色基础材料</v>
      </c>
      <c r="Q293" s="15">
        <f>IF(L293&gt;1,INDEX(挂机升级突破!$Z$35:$AD$55,卡牌消耗!L293,INDEX(挂机升级突破!$W$35:$W$55,卡牌消耗!L293)),"")</f>
        <v>35</v>
      </c>
      <c r="R293" s="15" t="str">
        <f>IF(INDEX(挂机升级突破!$X$35:$X$55,卡牌消耗!L293)&gt;0,INDEX($G$2:$I$2,INDEX(挂机升级突破!$X$35:$X$55,卡牌消耗!L293))&amp;M293,"")</f>
        <v>初级蓝</v>
      </c>
      <c r="S293" s="15">
        <f>IF(R293="","",INDEX(挂机升级突破!$AE$35:$AG$55,卡牌消耗!L293,INDEX(挂机升级突破!$X$35:$X$55,卡牌消耗!L293)))</f>
        <v>65</v>
      </c>
      <c r="T293" s="15" t="str">
        <f>IF(INDEX(挂机升级突破!$Y$35:$Y$55,卡牌消耗!L293)&gt;0,"灵玉","")</f>
        <v/>
      </c>
      <c r="U293" s="15" t="str">
        <f>IF(INDEX(挂机升级突破!$Y$35:$Y$55,卡牌消耗!L293)&gt;0,INDEX(挂机升级突破!$AH$35:$AH$55,卡牌消耗!L293),"")</f>
        <v/>
      </c>
    </row>
    <row r="294" spans="9:21" ht="16.5" x14ac:dyDescent="0.2">
      <c r="I294" s="35">
        <v>258</v>
      </c>
      <c r="J294" s="15">
        <f t="shared" si="21"/>
        <v>1102013</v>
      </c>
      <c r="K294" s="15">
        <f t="shared" si="22"/>
        <v>2</v>
      </c>
      <c r="L294" s="15">
        <f t="shared" ref="L294:L357" si="24">MOD((I294-1),21)+1</f>
        <v>6</v>
      </c>
      <c r="M294" s="15" t="str">
        <f t="shared" si="23"/>
        <v>蓝</v>
      </c>
      <c r="N294" s="15" t="str">
        <f t="shared" ref="N294:N357" si="25">IF(L294&gt;1,"金币","")</f>
        <v>金币</v>
      </c>
      <c r="O294" s="15">
        <f>IF(L294&gt;1,INDEX(挂机升级突破!$AI$35:$AI$55,卡牌消耗!L294),"")</f>
        <v>53000</v>
      </c>
      <c r="P294" s="15" t="str">
        <f>IF(L294&gt;1,INDEX(价值概述!$A$4:$A$8,INDEX(挂机升级突破!$W$35:$W$55,卡牌消耗!L294)),"")</f>
        <v>蓝色基础材料</v>
      </c>
      <c r="Q294" s="15">
        <f>IF(L294&gt;1,INDEX(挂机升级突破!$Z$35:$AD$55,卡牌消耗!L294,INDEX(挂机升级突破!$W$35:$W$55,卡牌消耗!L294)),"")</f>
        <v>70</v>
      </c>
      <c r="R294" s="15" t="str">
        <f>IF(INDEX(挂机升级突破!$X$35:$X$55,卡牌消耗!L294)&gt;0,INDEX($G$2:$I$2,INDEX(挂机升级突破!$X$35:$X$55,卡牌消耗!L294))&amp;M294,"")</f>
        <v>初级蓝</v>
      </c>
      <c r="S294" s="15">
        <f>IF(R294="","",INDEX(挂机升级突破!$AE$35:$AG$55,卡牌消耗!L294,INDEX(挂机升级突破!$X$35:$X$55,卡牌消耗!L294)))</f>
        <v>85</v>
      </c>
      <c r="T294" s="15" t="str">
        <f>IF(INDEX(挂机升级突破!$Y$35:$Y$55,卡牌消耗!L294)&gt;0,"灵玉","")</f>
        <v/>
      </c>
      <c r="U294" s="15" t="str">
        <f>IF(INDEX(挂机升级突破!$Y$35:$Y$55,卡牌消耗!L294)&gt;0,INDEX(挂机升级突破!$AH$35:$AH$55,卡牌消耗!L294),"")</f>
        <v/>
      </c>
    </row>
    <row r="295" spans="9:21" ht="16.5" x14ac:dyDescent="0.2">
      <c r="I295" s="35">
        <v>259</v>
      </c>
      <c r="J295" s="15">
        <f t="shared" si="21"/>
        <v>1102013</v>
      </c>
      <c r="K295" s="15">
        <f t="shared" si="22"/>
        <v>2</v>
      </c>
      <c r="L295" s="15">
        <f t="shared" si="24"/>
        <v>7</v>
      </c>
      <c r="M295" s="15" t="str">
        <f t="shared" si="23"/>
        <v>蓝</v>
      </c>
      <c r="N295" s="15" t="str">
        <f t="shared" si="25"/>
        <v>金币</v>
      </c>
      <c r="O295" s="15">
        <f>IF(L295&gt;1,INDEX(挂机升级突破!$AI$35:$AI$55,卡牌消耗!L295),"")</f>
        <v>59500</v>
      </c>
      <c r="P295" s="15" t="str">
        <f>IF(L295&gt;1,INDEX(价值概述!$A$4:$A$8,INDEX(挂机升级突破!$W$35:$W$55,卡牌消耗!L295)),"")</f>
        <v>蓝色基础材料</v>
      </c>
      <c r="Q295" s="15">
        <f>IF(L295&gt;1,INDEX(挂机升级突破!$Z$35:$AD$55,卡牌消耗!L295,INDEX(挂机升级突破!$W$35:$W$55,卡牌消耗!L295)),"")</f>
        <v>110</v>
      </c>
      <c r="R295" s="15" t="str">
        <f>IF(INDEX(挂机升级突破!$X$35:$X$55,卡牌消耗!L295)&gt;0,INDEX($G$2:$I$2,INDEX(挂机升级突破!$X$35:$X$55,卡牌消耗!L295))&amp;M295,"")</f>
        <v>初级蓝</v>
      </c>
      <c r="S295" s="15">
        <f>IF(R295="","",INDEX(挂机升级突破!$AE$35:$AG$55,卡牌消耗!L295,INDEX(挂机升级突破!$X$35:$X$55,卡牌消耗!L295)))</f>
        <v>110</v>
      </c>
      <c r="T295" s="15" t="str">
        <f>IF(INDEX(挂机升级突破!$Y$35:$Y$55,卡牌消耗!L295)&gt;0,"灵玉","")</f>
        <v/>
      </c>
      <c r="U295" s="15" t="str">
        <f>IF(INDEX(挂机升级突破!$Y$35:$Y$55,卡牌消耗!L295)&gt;0,INDEX(挂机升级突破!$AH$35:$AH$55,卡牌消耗!L295),"")</f>
        <v/>
      </c>
    </row>
    <row r="296" spans="9:21" ht="16.5" x14ac:dyDescent="0.2">
      <c r="I296" s="35">
        <v>260</v>
      </c>
      <c r="J296" s="15">
        <f t="shared" si="21"/>
        <v>1102013</v>
      </c>
      <c r="K296" s="15">
        <f t="shared" si="22"/>
        <v>2</v>
      </c>
      <c r="L296" s="15">
        <f t="shared" si="24"/>
        <v>8</v>
      </c>
      <c r="M296" s="15" t="str">
        <f t="shared" si="23"/>
        <v>蓝</v>
      </c>
      <c r="N296" s="15" t="str">
        <f t="shared" si="25"/>
        <v>金币</v>
      </c>
      <c r="O296" s="15">
        <f>IF(L296&gt;1,INDEX(挂机升级突破!$AI$35:$AI$55,卡牌消耗!L296),"")</f>
        <v>65500</v>
      </c>
      <c r="P296" s="15" t="str">
        <f>IF(L296&gt;1,INDEX(价值概述!$A$4:$A$8,INDEX(挂机升级突破!$W$35:$W$55,卡牌消耗!L296)),"")</f>
        <v>蓝色基础材料</v>
      </c>
      <c r="Q296" s="15">
        <f>IF(L296&gt;1,INDEX(挂机升级突破!$Z$35:$AD$55,卡牌消耗!L296,INDEX(挂机升级突破!$W$35:$W$55,卡牌消耗!L296)),"")</f>
        <v>145</v>
      </c>
      <c r="R296" s="15" t="str">
        <f>IF(INDEX(挂机升级突破!$X$35:$X$55,卡牌消耗!L296)&gt;0,INDEX($G$2:$I$2,INDEX(挂机升级突破!$X$35:$X$55,卡牌消耗!L296))&amp;M296,"")</f>
        <v>初级蓝</v>
      </c>
      <c r="S296" s="15">
        <f>IF(R296="","",INDEX(挂机升级突破!$AE$35:$AG$55,卡牌消耗!L296,INDEX(挂机升级突破!$X$35:$X$55,卡牌消耗!L296)))</f>
        <v>130</v>
      </c>
      <c r="T296" s="15" t="str">
        <f>IF(INDEX(挂机升级突破!$Y$35:$Y$55,卡牌消耗!L296)&gt;0,"灵玉","")</f>
        <v/>
      </c>
      <c r="U296" s="15" t="str">
        <f>IF(INDEX(挂机升级突破!$Y$35:$Y$55,卡牌消耗!L296)&gt;0,INDEX(挂机升级突破!$AH$35:$AH$55,卡牌消耗!L296),"")</f>
        <v/>
      </c>
    </row>
    <row r="297" spans="9:21" ht="16.5" x14ac:dyDescent="0.2">
      <c r="I297" s="35">
        <v>261</v>
      </c>
      <c r="J297" s="15">
        <f t="shared" si="21"/>
        <v>1102013</v>
      </c>
      <c r="K297" s="15">
        <f t="shared" si="22"/>
        <v>2</v>
      </c>
      <c r="L297" s="15">
        <f t="shared" si="24"/>
        <v>9</v>
      </c>
      <c r="M297" s="15" t="str">
        <f t="shared" si="23"/>
        <v>蓝</v>
      </c>
      <c r="N297" s="15" t="str">
        <f t="shared" si="25"/>
        <v>金币</v>
      </c>
      <c r="O297" s="15">
        <f>IF(L297&gt;1,INDEX(挂机升级突破!$AI$35:$AI$55,卡牌消耗!L297),"")</f>
        <v>76000</v>
      </c>
      <c r="P297" s="15" t="str">
        <f>IF(L297&gt;1,INDEX(价值概述!$A$4:$A$8,INDEX(挂机升级突破!$W$35:$W$55,卡牌消耗!L297)),"")</f>
        <v>紫色基础材料</v>
      </c>
      <c r="Q297" s="15">
        <f>IF(L297&gt;1,INDEX(挂机升级突破!$Z$35:$AD$55,卡牌消耗!L297,INDEX(挂机升级突破!$W$35:$W$55,卡牌消耗!L297)),"")</f>
        <v>70</v>
      </c>
      <c r="R297" s="15" t="str">
        <f>IF(INDEX(挂机升级突破!$X$35:$X$55,卡牌消耗!L297)&gt;0,INDEX($G$2:$I$2,INDEX(挂机升级突破!$X$35:$X$55,卡牌消耗!L297))&amp;M297,"")</f>
        <v>中级蓝</v>
      </c>
      <c r="S297" s="15">
        <f>IF(R297="","",INDEX(挂机升级突破!$AE$35:$AG$55,卡牌消耗!L297,INDEX(挂机升级突破!$X$35:$X$55,卡牌消耗!L297)))</f>
        <v>55</v>
      </c>
      <c r="T297" s="15" t="str">
        <f>IF(INDEX(挂机升级突破!$Y$35:$Y$55,卡牌消耗!L297)&gt;0,"灵玉","")</f>
        <v/>
      </c>
      <c r="U297" s="15" t="str">
        <f>IF(INDEX(挂机升级突破!$Y$35:$Y$55,卡牌消耗!L297)&gt;0,INDEX(挂机升级突破!$AH$35:$AH$55,卡牌消耗!L297),"")</f>
        <v/>
      </c>
    </row>
    <row r="298" spans="9:21" ht="16.5" x14ac:dyDescent="0.2">
      <c r="I298" s="35">
        <v>262</v>
      </c>
      <c r="J298" s="15">
        <f t="shared" si="21"/>
        <v>1102013</v>
      </c>
      <c r="K298" s="15">
        <f t="shared" si="22"/>
        <v>2</v>
      </c>
      <c r="L298" s="15">
        <f t="shared" si="24"/>
        <v>10</v>
      </c>
      <c r="M298" s="15" t="str">
        <f t="shared" si="23"/>
        <v>蓝</v>
      </c>
      <c r="N298" s="15" t="str">
        <f t="shared" si="25"/>
        <v>金币</v>
      </c>
      <c r="O298" s="15">
        <f>IF(L298&gt;1,INDEX(挂机升级突破!$AI$35:$AI$55,卡牌消耗!L298),"")</f>
        <v>83000</v>
      </c>
      <c r="P298" s="15" t="str">
        <f>IF(L298&gt;1,INDEX(价值概述!$A$4:$A$8,INDEX(挂机升级突破!$W$35:$W$55,卡牌消耗!L298)),"")</f>
        <v>紫色基础材料</v>
      </c>
      <c r="Q298" s="15">
        <f>IF(L298&gt;1,INDEX(挂机升级突破!$Z$35:$AD$55,卡牌消耗!L298,INDEX(挂机升级突破!$W$35:$W$55,卡牌消耗!L298)),"")</f>
        <v>140</v>
      </c>
      <c r="R298" s="15" t="str">
        <f>IF(INDEX(挂机升级突破!$X$35:$X$55,卡牌消耗!L298)&gt;0,INDEX($G$2:$I$2,INDEX(挂机升级突破!$X$35:$X$55,卡牌消耗!L298))&amp;M298,"")</f>
        <v>中级蓝</v>
      </c>
      <c r="S298" s="15">
        <f>IF(R298="","",INDEX(挂机升级突破!$AE$35:$AG$55,卡牌消耗!L298,INDEX(挂机升级突破!$X$35:$X$55,卡牌消耗!L298)))</f>
        <v>95</v>
      </c>
      <c r="T298" s="15" t="str">
        <f>IF(INDEX(挂机升级突破!$Y$35:$Y$55,卡牌消耗!L298)&gt;0,"灵玉","")</f>
        <v/>
      </c>
      <c r="U298" s="15" t="str">
        <f>IF(INDEX(挂机升级突破!$Y$35:$Y$55,卡牌消耗!L298)&gt;0,INDEX(挂机升级突破!$AH$35:$AH$55,卡牌消耗!L298),"")</f>
        <v/>
      </c>
    </row>
    <row r="299" spans="9:21" ht="16.5" x14ac:dyDescent="0.2">
      <c r="I299" s="35">
        <v>263</v>
      </c>
      <c r="J299" s="15">
        <f t="shared" si="21"/>
        <v>1102013</v>
      </c>
      <c r="K299" s="15">
        <f t="shared" si="22"/>
        <v>2</v>
      </c>
      <c r="L299" s="15">
        <f t="shared" si="24"/>
        <v>11</v>
      </c>
      <c r="M299" s="15" t="str">
        <f t="shared" si="23"/>
        <v>蓝</v>
      </c>
      <c r="N299" s="15" t="str">
        <f t="shared" si="25"/>
        <v>金币</v>
      </c>
      <c r="O299" s="15">
        <f>IF(L299&gt;1,INDEX(挂机升级突破!$AI$35:$AI$55,卡牌消耗!L299),"")</f>
        <v>90000</v>
      </c>
      <c r="P299" s="15" t="str">
        <f>IF(L299&gt;1,INDEX(价值概述!$A$4:$A$8,INDEX(挂机升级突破!$W$35:$W$55,卡牌消耗!L299)),"")</f>
        <v>紫色基础材料</v>
      </c>
      <c r="Q299" s="15">
        <f>IF(L299&gt;1,INDEX(挂机升级突破!$Z$35:$AD$55,卡牌消耗!L299,INDEX(挂机升级突破!$W$35:$W$55,卡牌消耗!L299)),"")</f>
        <v>215</v>
      </c>
      <c r="R299" s="15" t="str">
        <f>IF(INDEX(挂机升级突破!$X$35:$X$55,卡牌消耗!L299)&gt;0,INDEX($G$2:$I$2,INDEX(挂机升级突破!$X$35:$X$55,卡牌消耗!L299))&amp;M299,"")</f>
        <v>中级蓝</v>
      </c>
      <c r="S299" s="15">
        <f>IF(R299="","",INDEX(挂机升级突破!$AE$35:$AG$55,卡牌消耗!L299,INDEX(挂机升级突破!$X$35:$X$55,卡牌消耗!L299)))</f>
        <v>145</v>
      </c>
      <c r="T299" s="15" t="str">
        <f>IF(INDEX(挂机升级突破!$Y$35:$Y$55,卡牌消耗!L299)&gt;0,"灵玉","")</f>
        <v/>
      </c>
      <c r="U299" s="15" t="str">
        <f>IF(INDEX(挂机升级突破!$Y$35:$Y$55,卡牌消耗!L299)&gt;0,INDEX(挂机升级突破!$AH$35:$AH$55,卡牌消耗!L299),"")</f>
        <v/>
      </c>
    </row>
    <row r="300" spans="9:21" ht="16.5" x14ac:dyDescent="0.2">
      <c r="I300" s="35">
        <v>264</v>
      </c>
      <c r="J300" s="15">
        <f t="shared" si="21"/>
        <v>1102013</v>
      </c>
      <c r="K300" s="15">
        <f t="shared" si="22"/>
        <v>2</v>
      </c>
      <c r="L300" s="15">
        <f t="shared" si="24"/>
        <v>12</v>
      </c>
      <c r="M300" s="15" t="str">
        <f t="shared" si="23"/>
        <v>蓝</v>
      </c>
      <c r="N300" s="15" t="str">
        <f t="shared" si="25"/>
        <v>金币</v>
      </c>
      <c r="O300" s="15">
        <f>IF(L300&gt;1,INDEX(挂机升级突破!$AI$35:$AI$55,卡牌消耗!L300),"")</f>
        <v>97000</v>
      </c>
      <c r="P300" s="15" t="str">
        <f>IF(L300&gt;1,INDEX(价值概述!$A$4:$A$8,INDEX(挂机升级突破!$W$35:$W$55,卡牌消耗!L300)),"")</f>
        <v>紫色基础材料</v>
      </c>
      <c r="Q300" s="15">
        <f>IF(L300&gt;1,INDEX(挂机升级突破!$Z$35:$AD$55,卡牌消耗!L300,INDEX(挂机升级突破!$W$35:$W$55,卡牌消耗!L300)),"")</f>
        <v>285</v>
      </c>
      <c r="R300" s="15" t="str">
        <f>IF(INDEX(挂机升级突破!$X$35:$X$55,卡牌消耗!L300)&gt;0,INDEX($G$2:$I$2,INDEX(挂机升级突破!$X$35:$X$55,卡牌消耗!L300))&amp;M300,"")</f>
        <v>中级蓝</v>
      </c>
      <c r="S300" s="15">
        <f>IF(R300="","",INDEX(挂机升级突破!$AE$35:$AG$55,卡牌消耗!L300,INDEX(挂机升级突破!$X$35:$X$55,卡牌消耗!L300)))</f>
        <v>185</v>
      </c>
      <c r="T300" s="15" t="str">
        <f>IF(INDEX(挂机升级突破!$Y$35:$Y$55,卡牌消耗!L300)&gt;0,"灵玉","")</f>
        <v/>
      </c>
      <c r="U300" s="15" t="str">
        <f>IF(INDEX(挂机升级突破!$Y$35:$Y$55,卡牌消耗!L300)&gt;0,INDEX(挂机升级突破!$AH$35:$AH$55,卡牌消耗!L300),"")</f>
        <v/>
      </c>
    </row>
    <row r="301" spans="9:21" ht="16.5" x14ac:dyDescent="0.2">
      <c r="I301" s="35">
        <v>265</v>
      </c>
      <c r="J301" s="15">
        <f t="shared" si="21"/>
        <v>1102013</v>
      </c>
      <c r="K301" s="15">
        <f t="shared" si="22"/>
        <v>2</v>
      </c>
      <c r="L301" s="15">
        <f t="shared" si="24"/>
        <v>13</v>
      </c>
      <c r="M301" s="15" t="str">
        <f t="shared" si="23"/>
        <v>蓝</v>
      </c>
      <c r="N301" s="15" t="str">
        <f t="shared" si="25"/>
        <v>金币</v>
      </c>
      <c r="O301" s="15">
        <f>IF(L301&gt;1,INDEX(挂机升级突破!$AI$35:$AI$55,卡牌消耗!L301),"")</f>
        <v>122000</v>
      </c>
      <c r="P301" s="15" t="str">
        <f>IF(L301&gt;1,INDEX(价值概述!$A$4:$A$8,INDEX(挂机升级突破!$W$35:$W$55,卡牌消耗!L301)),"")</f>
        <v>橙色基础材料</v>
      </c>
      <c r="Q301" s="15">
        <f>IF(L301&gt;1,INDEX(挂机升级突破!$Z$35:$AD$55,卡牌消耗!L301,INDEX(挂机升级突破!$W$35:$W$55,卡牌消耗!L301)),"")</f>
        <v>115</v>
      </c>
      <c r="R301" s="15" t="str">
        <f>IF(INDEX(挂机升级突破!$X$35:$X$55,卡牌消耗!L301)&gt;0,INDEX($G$2:$I$2,INDEX(挂机升级突破!$X$35:$X$55,卡牌消耗!L301))&amp;M301,"")</f>
        <v>中级蓝</v>
      </c>
      <c r="S301" s="15">
        <f>IF(R301="","",INDEX(挂机升级突破!$AE$35:$AG$55,卡牌消耗!L301,INDEX(挂机升级突破!$X$35:$X$55,卡牌消耗!L301)))</f>
        <v>225</v>
      </c>
      <c r="T301" s="15" t="str">
        <f>IF(INDEX(挂机升级突破!$Y$35:$Y$55,卡牌消耗!L301)&gt;0,"灵玉","")</f>
        <v/>
      </c>
      <c r="U301" s="15" t="str">
        <f>IF(INDEX(挂机升级突破!$Y$35:$Y$55,卡牌消耗!L301)&gt;0,INDEX(挂机升级突破!$AH$35:$AH$55,卡牌消耗!L301),"")</f>
        <v/>
      </c>
    </row>
    <row r="302" spans="9:21" ht="16.5" x14ac:dyDescent="0.2">
      <c r="I302" s="35">
        <v>266</v>
      </c>
      <c r="J302" s="15">
        <f t="shared" si="21"/>
        <v>1102013</v>
      </c>
      <c r="K302" s="15">
        <f t="shared" si="22"/>
        <v>2</v>
      </c>
      <c r="L302" s="15">
        <f t="shared" si="24"/>
        <v>14</v>
      </c>
      <c r="M302" s="15" t="str">
        <f t="shared" si="23"/>
        <v>蓝</v>
      </c>
      <c r="N302" s="15" t="str">
        <f t="shared" si="25"/>
        <v>金币</v>
      </c>
      <c r="O302" s="15">
        <f>IF(L302&gt;1,INDEX(挂机升级突破!$AI$35:$AI$55,卡牌消耗!L302),"")</f>
        <v>162500</v>
      </c>
      <c r="P302" s="15" t="str">
        <f>IF(L302&gt;1,INDEX(价值概述!$A$4:$A$8,INDEX(挂机升级突破!$W$35:$W$55,卡牌消耗!L302)),"")</f>
        <v>橙色基础材料</v>
      </c>
      <c r="Q302" s="15">
        <f>IF(L302&gt;1,INDEX(挂机升级突破!$Z$35:$AD$55,卡牌消耗!L302,INDEX(挂机升级突破!$W$35:$W$55,卡牌消耗!L302)),"")</f>
        <v>235</v>
      </c>
      <c r="R302" s="15" t="str">
        <f>IF(INDEX(挂机升级突破!$X$35:$X$55,卡牌消耗!L302)&gt;0,INDEX($G$2:$I$2,INDEX(挂机升级突破!$X$35:$X$55,卡牌消耗!L302))&amp;M302,"")</f>
        <v>中级蓝</v>
      </c>
      <c r="S302" s="15">
        <f>IF(R302="","",INDEX(挂机升级突破!$AE$35:$AG$55,卡牌消耗!L302,INDEX(挂机升级突破!$X$35:$X$55,卡牌消耗!L302)))</f>
        <v>265</v>
      </c>
      <c r="T302" s="15" t="str">
        <f>IF(INDEX(挂机升级突破!$Y$35:$Y$55,卡牌消耗!L302)&gt;0,"灵玉","")</f>
        <v/>
      </c>
      <c r="U302" s="15" t="str">
        <f>IF(INDEX(挂机升级突破!$Y$35:$Y$55,卡牌消耗!L302)&gt;0,INDEX(挂机升级突破!$AH$35:$AH$55,卡牌消耗!L302),"")</f>
        <v/>
      </c>
    </row>
    <row r="303" spans="9:21" ht="16.5" x14ac:dyDescent="0.2">
      <c r="I303" s="35">
        <v>267</v>
      </c>
      <c r="J303" s="15">
        <f t="shared" si="21"/>
        <v>1102013</v>
      </c>
      <c r="K303" s="15">
        <f t="shared" si="22"/>
        <v>2</v>
      </c>
      <c r="L303" s="15">
        <f t="shared" si="24"/>
        <v>15</v>
      </c>
      <c r="M303" s="15" t="str">
        <f t="shared" si="23"/>
        <v>蓝</v>
      </c>
      <c r="N303" s="15" t="str">
        <f t="shared" si="25"/>
        <v>金币</v>
      </c>
      <c r="O303" s="15">
        <f>IF(L303&gt;1,INDEX(挂机升级突破!$AI$35:$AI$55,卡牌消耗!L303),"")</f>
        <v>190000</v>
      </c>
      <c r="P303" s="15" t="str">
        <f>IF(L303&gt;1,INDEX(价值概述!$A$4:$A$8,INDEX(挂机升级突破!$W$35:$W$55,卡牌消耗!L303)),"")</f>
        <v>橙色基础材料</v>
      </c>
      <c r="Q303" s="15">
        <f>IF(L303&gt;1,INDEX(挂机升级突破!$Z$35:$AD$55,卡牌消耗!L303,INDEX(挂机升级突破!$W$35:$W$55,卡牌消耗!L303)),"")</f>
        <v>355</v>
      </c>
      <c r="R303" s="15" t="str">
        <f>IF(INDEX(挂机升级突破!$X$35:$X$55,卡牌消耗!L303)&gt;0,INDEX($G$2:$I$2,INDEX(挂机升级突破!$X$35:$X$55,卡牌消耗!L303))&amp;M303,"")</f>
        <v>高级蓝</v>
      </c>
      <c r="S303" s="15">
        <f>IF(R303="","",INDEX(挂机升级突破!$AE$35:$AG$55,卡牌消耗!L303,INDEX(挂机升级突破!$X$35:$X$55,卡牌消耗!L303)))</f>
        <v>45</v>
      </c>
      <c r="T303" s="15" t="str">
        <f>IF(INDEX(挂机升级突破!$Y$35:$Y$55,卡牌消耗!L303)&gt;0,"灵玉","")</f>
        <v/>
      </c>
      <c r="U303" s="15" t="str">
        <f>IF(INDEX(挂机升级突破!$Y$35:$Y$55,卡牌消耗!L303)&gt;0,INDEX(挂机升级突破!$AH$35:$AH$55,卡牌消耗!L303),"")</f>
        <v/>
      </c>
    </row>
    <row r="304" spans="9:21" ht="16.5" x14ac:dyDescent="0.2">
      <c r="I304" s="35">
        <v>268</v>
      </c>
      <c r="J304" s="15">
        <f t="shared" si="21"/>
        <v>1102013</v>
      </c>
      <c r="K304" s="15">
        <f t="shared" si="22"/>
        <v>2</v>
      </c>
      <c r="L304" s="15">
        <f t="shared" si="24"/>
        <v>16</v>
      </c>
      <c r="M304" s="15" t="str">
        <f t="shared" si="23"/>
        <v>蓝</v>
      </c>
      <c r="N304" s="15" t="str">
        <f t="shared" si="25"/>
        <v>金币</v>
      </c>
      <c r="O304" s="15">
        <f>IF(L304&gt;1,INDEX(挂机升级突破!$AI$35:$AI$55,卡牌消耗!L304),"")</f>
        <v>219000</v>
      </c>
      <c r="P304" s="15" t="str">
        <f>IF(L304&gt;1,INDEX(价值概述!$A$4:$A$8,INDEX(挂机升级突破!$W$35:$W$55,卡牌消耗!L304)),"")</f>
        <v>橙色基础材料</v>
      </c>
      <c r="Q304" s="15">
        <f>IF(L304&gt;1,INDEX(挂机升级突破!$Z$35:$AD$55,卡牌消耗!L304,INDEX(挂机升级突破!$W$35:$W$55,卡牌消耗!L304)),"")</f>
        <v>475</v>
      </c>
      <c r="R304" s="15" t="str">
        <f>IF(INDEX(挂机升级突破!$X$35:$X$55,卡牌消耗!L304)&gt;0,INDEX($G$2:$I$2,INDEX(挂机升级突破!$X$35:$X$55,卡牌消耗!L304))&amp;M304,"")</f>
        <v>高级蓝</v>
      </c>
      <c r="S304" s="15">
        <f>IF(R304="","",INDEX(挂机升级突破!$AE$35:$AG$55,卡牌消耗!L304,INDEX(挂机升级突破!$X$35:$X$55,卡牌消耗!L304)))</f>
        <v>70</v>
      </c>
      <c r="T304" s="15" t="str">
        <f>IF(INDEX(挂机升级突破!$Y$35:$Y$55,卡牌消耗!L304)&gt;0,"灵玉","")</f>
        <v/>
      </c>
      <c r="U304" s="15" t="str">
        <f>IF(INDEX(挂机升级突破!$Y$35:$Y$55,卡牌消耗!L304)&gt;0,INDEX(挂机升级突破!$AH$35:$AH$55,卡牌消耗!L304),"")</f>
        <v/>
      </c>
    </row>
    <row r="305" spans="9:21" ht="16.5" x14ac:dyDescent="0.2">
      <c r="I305" s="35">
        <v>269</v>
      </c>
      <c r="J305" s="15">
        <f t="shared" si="21"/>
        <v>1102013</v>
      </c>
      <c r="K305" s="15">
        <f t="shared" si="22"/>
        <v>2</v>
      </c>
      <c r="L305" s="15">
        <f t="shared" si="24"/>
        <v>17</v>
      </c>
      <c r="M305" s="15" t="str">
        <f t="shared" si="23"/>
        <v>蓝</v>
      </c>
      <c r="N305" s="15" t="str">
        <f t="shared" si="25"/>
        <v>金币</v>
      </c>
      <c r="O305" s="15">
        <f>IF(L305&gt;1,INDEX(挂机升级突破!$AI$35:$AI$55,卡牌消耗!L305),"")</f>
        <v>228000</v>
      </c>
      <c r="P305" s="15" t="str">
        <f>IF(L305&gt;1,INDEX(价值概述!$A$4:$A$8,INDEX(挂机升级突破!$W$35:$W$55,卡牌消耗!L305)),"")</f>
        <v>红色基础材料</v>
      </c>
      <c r="Q305" s="15">
        <f>IF(L305&gt;1,INDEX(挂机升级突破!$Z$35:$AD$55,卡牌消耗!L305,INDEX(挂机升级突破!$W$35:$W$55,卡牌消耗!L305)),"")</f>
        <v>45</v>
      </c>
      <c r="R305" s="15" t="str">
        <f>IF(INDEX(挂机升级突破!$X$35:$X$55,卡牌消耗!L305)&gt;0,INDEX($G$2:$I$2,INDEX(挂机升级突破!$X$35:$X$55,卡牌消耗!L305))&amp;M305,"")</f>
        <v>高级蓝</v>
      </c>
      <c r="S305" s="15">
        <f>IF(R305="","",INDEX(挂机升级突破!$AE$35:$AG$55,卡牌消耗!L305,INDEX(挂机升级突破!$X$35:$X$55,卡牌消耗!L305)))</f>
        <v>100</v>
      </c>
      <c r="T305" s="15" t="str">
        <f>IF(INDEX(挂机升级突破!$Y$35:$Y$55,卡牌消耗!L305)&gt;0,"灵玉","")</f>
        <v>灵玉</v>
      </c>
      <c r="U305" s="15">
        <f>IF(INDEX(挂机升级突破!$Y$35:$Y$55,卡牌消耗!L305)&gt;0,INDEX(挂机升级突破!$AH$35:$AH$55,卡牌消耗!L305),"")</f>
        <v>25</v>
      </c>
    </row>
    <row r="306" spans="9:21" ht="16.5" x14ac:dyDescent="0.2">
      <c r="I306" s="35">
        <v>270</v>
      </c>
      <c r="J306" s="15">
        <f t="shared" si="21"/>
        <v>1102013</v>
      </c>
      <c r="K306" s="15">
        <f t="shared" si="22"/>
        <v>2</v>
      </c>
      <c r="L306" s="15">
        <f t="shared" si="24"/>
        <v>18</v>
      </c>
      <c r="M306" s="15" t="str">
        <f t="shared" si="23"/>
        <v>蓝</v>
      </c>
      <c r="N306" s="15" t="str">
        <f t="shared" si="25"/>
        <v>金币</v>
      </c>
      <c r="O306" s="15">
        <f>IF(L306&gt;1,INDEX(挂机升级突破!$AI$35:$AI$55,卡牌消耗!L306),"")</f>
        <v>319500</v>
      </c>
      <c r="P306" s="15" t="str">
        <f>IF(L306&gt;1,INDEX(价值概述!$A$4:$A$8,INDEX(挂机升级突破!$W$35:$W$55,卡牌消耗!L306)),"")</f>
        <v>红色基础材料</v>
      </c>
      <c r="Q306" s="15">
        <f>IF(L306&gt;1,INDEX(挂机升级突破!$Z$35:$AD$55,卡牌消耗!L306,INDEX(挂机升级突破!$W$35:$W$55,卡牌消耗!L306)),"")</f>
        <v>65</v>
      </c>
      <c r="R306" s="15" t="str">
        <f>IF(INDEX(挂机升级突破!$X$35:$X$55,卡牌消耗!L306)&gt;0,INDEX($G$2:$I$2,INDEX(挂机升级突破!$X$35:$X$55,卡牌消耗!L306))&amp;M306,"")</f>
        <v>高级蓝</v>
      </c>
      <c r="S306" s="15">
        <f>IF(R306="","",INDEX(挂机升级突破!$AE$35:$AG$55,卡牌消耗!L306,INDEX(挂机升级突破!$X$35:$X$55,卡牌消耗!L306)))</f>
        <v>125</v>
      </c>
      <c r="T306" s="15" t="str">
        <f>IF(INDEX(挂机升级突破!$Y$35:$Y$55,卡牌消耗!L306)&gt;0,"灵玉","")</f>
        <v>灵玉</v>
      </c>
      <c r="U306" s="15">
        <f>IF(INDEX(挂机升级突破!$Y$35:$Y$55,卡牌消耗!L306)&gt;0,INDEX(挂机升级突破!$AH$35:$AH$55,卡牌消耗!L306),"")</f>
        <v>35</v>
      </c>
    </row>
    <row r="307" spans="9:21" ht="16.5" x14ac:dyDescent="0.2">
      <c r="I307" s="35">
        <v>271</v>
      </c>
      <c r="J307" s="15">
        <f t="shared" si="21"/>
        <v>1102013</v>
      </c>
      <c r="K307" s="15">
        <f t="shared" si="22"/>
        <v>2</v>
      </c>
      <c r="L307" s="15">
        <f t="shared" si="24"/>
        <v>19</v>
      </c>
      <c r="M307" s="15" t="str">
        <f t="shared" si="23"/>
        <v>蓝</v>
      </c>
      <c r="N307" s="15" t="str">
        <f t="shared" si="25"/>
        <v>金币</v>
      </c>
      <c r="O307" s="15">
        <f>IF(L307&gt;1,INDEX(挂机升级突破!$AI$35:$AI$55,卡牌消耗!L307),"")</f>
        <v>426000</v>
      </c>
      <c r="P307" s="15" t="str">
        <f>IF(L307&gt;1,INDEX(价值概述!$A$4:$A$8,INDEX(挂机升级突破!$W$35:$W$55,卡牌消耗!L307)),"")</f>
        <v>红色基础材料</v>
      </c>
      <c r="Q307" s="15">
        <f>IF(L307&gt;1,INDEX(挂机升级突破!$Z$35:$AD$55,卡牌消耗!L307,INDEX(挂机升级突破!$W$35:$W$55,卡牌消耗!L307)),"")</f>
        <v>90</v>
      </c>
      <c r="R307" s="15" t="str">
        <f>IF(INDEX(挂机升级突破!$X$35:$X$55,卡牌消耗!L307)&gt;0,INDEX($G$2:$I$2,INDEX(挂机升级突破!$X$35:$X$55,卡牌消耗!L307))&amp;M307,"")</f>
        <v>高级蓝</v>
      </c>
      <c r="S307" s="15">
        <f>IF(R307="","",INDEX(挂机升级突破!$AE$35:$AG$55,卡牌消耗!L307,INDEX(挂机升级突破!$X$35:$X$55,卡牌消耗!L307)))</f>
        <v>155</v>
      </c>
      <c r="T307" s="15" t="str">
        <f>IF(INDEX(挂机升级突破!$Y$35:$Y$55,卡牌消耗!L307)&gt;0,"灵玉","")</f>
        <v>灵玉</v>
      </c>
      <c r="U307" s="15">
        <f>IF(INDEX(挂机升级突破!$Y$35:$Y$55,卡牌消耗!L307)&gt;0,INDEX(挂机升级突破!$AH$35:$AH$55,卡牌消耗!L307),"")</f>
        <v>50</v>
      </c>
    </row>
    <row r="308" spans="9:21" ht="16.5" x14ac:dyDescent="0.2">
      <c r="I308" s="35">
        <v>272</v>
      </c>
      <c r="J308" s="15">
        <f t="shared" si="21"/>
        <v>1102013</v>
      </c>
      <c r="K308" s="15">
        <f t="shared" si="22"/>
        <v>2</v>
      </c>
      <c r="L308" s="15">
        <f t="shared" si="24"/>
        <v>20</v>
      </c>
      <c r="M308" s="15" t="str">
        <f t="shared" si="23"/>
        <v>蓝</v>
      </c>
      <c r="N308" s="15" t="str">
        <f t="shared" si="25"/>
        <v>金币</v>
      </c>
      <c r="O308" s="15">
        <f>IF(L308&gt;1,INDEX(挂机升级突破!$AI$35:$AI$55,卡牌消耗!L308),"")</f>
        <v>532500</v>
      </c>
      <c r="P308" s="15" t="str">
        <f>IF(L308&gt;1,INDEX(价值概述!$A$4:$A$8,INDEX(挂机升级突破!$W$35:$W$55,卡牌消耗!L308)),"")</f>
        <v>红色基础材料</v>
      </c>
      <c r="Q308" s="15">
        <f>IF(L308&gt;1,INDEX(挂机升级突破!$Z$35:$AD$55,卡牌消耗!L308,INDEX(挂机升级突破!$W$35:$W$55,卡牌消耗!L308)),"")</f>
        <v>110</v>
      </c>
      <c r="R308" s="15" t="str">
        <f>IF(INDEX(挂机升级突破!$X$35:$X$55,卡牌消耗!L308)&gt;0,INDEX($G$2:$I$2,INDEX(挂机升级突破!$X$35:$X$55,卡牌消耗!L308))&amp;M308,"")</f>
        <v>高级蓝</v>
      </c>
      <c r="S308" s="15">
        <f>IF(R308="","",INDEX(挂机升级突破!$AE$35:$AG$55,卡牌消耗!L308,INDEX(挂机升级突破!$X$35:$X$55,卡牌消耗!L308)))</f>
        <v>180</v>
      </c>
      <c r="T308" s="15" t="str">
        <f>IF(INDEX(挂机升级突破!$Y$35:$Y$55,卡牌消耗!L308)&gt;0,"灵玉","")</f>
        <v>灵玉</v>
      </c>
      <c r="U308" s="15">
        <f>IF(INDEX(挂机升级突破!$Y$35:$Y$55,卡牌消耗!L308)&gt;0,INDEX(挂机升级突破!$AH$35:$AH$55,卡牌消耗!L308),"")</f>
        <v>65</v>
      </c>
    </row>
    <row r="309" spans="9:21" ht="16.5" x14ac:dyDescent="0.2">
      <c r="I309" s="35">
        <v>273</v>
      </c>
      <c r="J309" s="15">
        <f t="shared" si="21"/>
        <v>1102013</v>
      </c>
      <c r="K309" s="15">
        <f t="shared" si="22"/>
        <v>2</v>
      </c>
      <c r="L309" s="15">
        <f t="shared" si="24"/>
        <v>21</v>
      </c>
      <c r="M309" s="15" t="str">
        <f t="shared" si="23"/>
        <v>蓝</v>
      </c>
      <c r="N309" s="15" t="str">
        <f t="shared" si="25"/>
        <v>金币</v>
      </c>
      <c r="O309" s="15">
        <f>IF(L309&gt;1,INDEX(挂机升级突破!$AI$35:$AI$55,卡牌消耗!L309),"")</f>
        <v>639000</v>
      </c>
      <c r="P309" s="15" t="str">
        <f>IF(L309&gt;1,INDEX(价值概述!$A$4:$A$8,INDEX(挂机升级突破!$W$35:$W$55,卡牌消耗!L309)),"")</f>
        <v>红色基础材料</v>
      </c>
      <c r="Q309" s="15">
        <f>IF(L309&gt;1,INDEX(挂机升级突破!$Z$35:$AD$55,卡牌消耗!L309,INDEX(挂机升级突破!$W$35:$W$55,卡牌消耗!L309)),"")</f>
        <v>135</v>
      </c>
      <c r="R309" s="15" t="str">
        <f>IF(INDEX(挂机升级突破!$X$35:$X$55,卡牌消耗!L309)&gt;0,INDEX($G$2:$I$2,INDEX(挂机升级突破!$X$35:$X$55,卡牌消耗!L309))&amp;M309,"")</f>
        <v>高级蓝</v>
      </c>
      <c r="S309" s="15">
        <f>IF(R309="","",INDEX(挂机升级突破!$AE$35:$AG$55,卡牌消耗!L309,INDEX(挂机升级突破!$X$35:$X$55,卡牌消耗!L309)))</f>
        <v>225</v>
      </c>
      <c r="T309" s="15" t="str">
        <f>IF(INDEX(挂机升级突破!$Y$35:$Y$55,卡牌消耗!L309)&gt;0,"灵玉","")</f>
        <v>灵玉</v>
      </c>
      <c r="U309" s="15">
        <f>IF(INDEX(挂机升级突破!$Y$35:$Y$55,卡牌消耗!L309)&gt;0,INDEX(挂机升级突破!$AH$35:$AH$55,卡牌消耗!L309),"")</f>
        <v>75</v>
      </c>
    </row>
    <row r="310" spans="9:21" ht="16.5" x14ac:dyDescent="0.2">
      <c r="I310" s="35">
        <v>274</v>
      </c>
      <c r="J310" s="15">
        <f t="shared" si="21"/>
        <v>1102014</v>
      </c>
      <c r="K310" s="15">
        <f t="shared" si="22"/>
        <v>3</v>
      </c>
      <c r="L310" s="15">
        <f t="shared" si="24"/>
        <v>1</v>
      </c>
      <c r="M310" s="15" t="str">
        <f t="shared" si="23"/>
        <v>红</v>
      </c>
      <c r="N310" s="15" t="str">
        <f t="shared" si="25"/>
        <v/>
      </c>
      <c r="O310" s="15" t="str">
        <f>IF(L310&gt;1,INDEX(挂机升级突破!$AI$35:$AI$55,卡牌消耗!L310),"")</f>
        <v/>
      </c>
      <c r="P310" s="15" t="str">
        <f>IF(L310&gt;1,INDEX(价值概述!$A$4:$A$8,INDEX(挂机升级突破!$W$35:$W$55,卡牌消耗!L310)),"")</f>
        <v/>
      </c>
      <c r="Q310" s="15" t="str">
        <f>IF(L310&gt;1,INDEX(挂机升级突破!$Z$35:$AD$55,卡牌消耗!L310,INDEX(挂机升级突破!$W$35:$W$55,卡牌消耗!L310)),"")</f>
        <v/>
      </c>
      <c r="R310" s="15" t="str">
        <f>IF(INDEX(挂机升级突破!$X$35:$X$55,卡牌消耗!L310)&gt;0,INDEX($G$2:$I$2,INDEX(挂机升级突破!$X$35:$X$55,卡牌消耗!L310))&amp;M310,"")</f>
        <v/>
      </c>
      <c r="S310" s="15" t="str">
        <f>IF(R310="","",INDEX(挂机升级突破!$AE$35:$AG$55,卡牌消耗!L310,INDEX(挂机升级突破!$X$35:$X$55,卡牌消耗!L310)))</f>
        <v/>
      </c>
      <c r="T310" s="15" t="str">
        <f>IF(INDEX(挂机升级突破!$Y$35:$Y$55,卡牌消耗!L310)&gt;0,"灵玉","")</f>
        <v/>
      </c>
      <c r="U310" s="15" t="str">
        <f>IF(INDEX(挂机升级突破!$Y$35:$Y$55,卡牌消耗!L310)&gt;0,INDEX(挂机升级突破!$AH$35:$AH$55,卡牌消耗!L310),"")</f>
        <v/>
      </c>
    </row>
    <row r="311" spans="9:21" ht="16.5" x14ac:dyDescent="0.2">
      <c r="I311" s="35">
        <v>275</v>
      </c>
      <c r="J311" s="15">
        <f t="shared" si="21"/>
        <v>1102014</v>
      </c>
      <c r="K311" s="15">
        <f t="shared" si="22"/>
        <v>3</v>
      </c>
      <c r="L311" s="15">
        <f t="shared" si="24"/>
        <v>2</v>
      </c>
      <c r="M311" s="15" t="str">
        <f t="shared" si="23"/>
        <v>红</v>
      </c>
      <c r="N311" s="15" t="str">
        <f t="shared" si="25"/>
        <v>金币</v>
      </c>
      <c r="O311" s="15">
        <f>IF(L311&gt;1,INDEX(挂机升级突破!$AI$35:$AI$55,卡牌消耗!L311),"")</f>
        <v>2500</v>
      </c>
      <c r="P311" s="15" t="str">
        <f>IF(L311&gt;1,INDEX(价值概述!$A$4:$A$8,INDEX(挂机升级突破!$W$35:$W$55,卡牌消耗!L311)),"")</f>
        <v>绿色基础材料</v>
      </c>
      <c r="Q311" s="15">
        <f>IF(L311&gt;1,INDEX(挂机升级突破!$Z$35:$AD$55,卡牌消耗!L311,INDEX(挂机升级突破!$W$35:$W$55,卡牌消耗!L311)),"")</f>
        <v>10</v>
      </c>
      <c r="R311" s="15" t="str">
        <f>IF(INDEX(挂机升级突破!$X$35:$X$55,卡牌消耗!L311)&gt;0,INDEX($G$2:$I$2,INDEX(挂机升级突破!$X$35:$X$55,卡牌消耗!L311))&amp;M311,"")</f>
        <v/>
      </c>
      <c r="S311" s="15" t="str">
        <f>IF(R311="","",INDEX(挂机升级突破!$AE$35:$AG$55,卡牌消耗!L311,INDEX(挂机升级突破!$X$35:$X$55,卡牌消耗!L311)))</f>
        <v/>
      </c>
      <c r="T311" s="15" t="str">
        <f>IF(INDEX(挂机升级突破!$Y$35:$Y$55,卡牌消耗!L311)&gt;0,"灵玉","")</f>
        <v/>
      </c>
      <c r="U311" s="15" t="str">
        <f>IF(INDEX(挂机升级突破!$Y$35:$Y$55,卡牌消耗!L311)&gt;0,INDEX(挂机升级突破!$AH$35:$AH$55,卡牌消耗!L311),"")</f>
        <v/>
      </c>
    </row>
    <row r="312" spans="9:21" ht="16.5" x14ac:dyDescent="0.2">
      <c r="I312" s="35">
        <v>276</v>
      </c>
      <c r="J312" s="15">
        <f t="shared" si="21"/>
        <v>1102014</v>
      </c>
      <c r="K312" s="15">
        <f t="shared" si="22"/>
        <v>3</v>
      </c>
      <c r="L312" s="15">
        <f t="shared" si="24"/>
        <v>3</v>
      </c>
      <c r="M312" s="15" t="str">
        <f t="shared" si="23"/>
        <v>红</v>
      </c>
      <c r="N312" s="15" t="str">
        <f t="shared" si="25"/>
        <v>金币</v>
      </c>
      <c r="O312" s="15">
        <f>IF(L312&gt;1,INDEX(挂机升级突破!$AI$35:$AI$55,卡牌消耗!L312),"")</f>
        <v>8000</v>
      </c>
      <c r="P312" s="15" t="str">
        <f>IF(L312&gt;1,INDEX(价值概述!$A$4:$A$8,INDEX(挂机升级突破!$W$35:$W$55,卡牌消耗!L312)),"")</f>
        <v>绿色基础材料</v>
      </c>
      <c r="Q312" s="15">
        <f>IF(L312&gt;1,INDEX(挂机升级突破!$Z$35:$AD$55,卡牌消耗!L312,INDEX(挂机升级突破!$W$35:$W$55,卡牌消耗!L312)),"")</f>
        <v>40</v>
      </c>
      <c r="R312" s="15" t="str">
        <f>IF(INDEX(挂机升级突破!$X$35:$X$55,卡牌消耗!L312)&gt;0,INDEX($G$2:$I$2,INDEX(挂机升级突破!$X$35:$X$55,卡牌消耗!L312))&amp;M312,"")</f>
        <v/>
      </c>
      <c r="S312" s="15" t="str">
        <f>IF(R312="","",INDEX(挂机升级突破!$AE$35:$AG$55,卡牌消耗!L312,INDEX(挂机升级突破!$X$35:$X$55,卡牌消耗!L312)))</f>
        <v/>
      </c>
      <c r="T312" s="15" t="str">
        <f>IF(INDEX(挂机升级突破!$Y$35:$Y$55,卡牌消耗!L312)&gt;0,"灵玉","")</f>
        <v/>
      </c>
      <c r="U312" s="15" t="str">
        <f>IF(INDEX(挂机升级突破!$Y$35:$Y$55,卡牌消耗!L312)&gt;0,INDEX(挂机升级突破!$AH$35:$AH$55,卡牌消耗!L312),"")</f>
        <v/>
      </c>
    </row>
    <row r="313" spans="9:21" ht="16.5" x14ac:dyDescent="0.2">
      <c r="I313" s="35">
        <v>277</v>
      </c>
      <c r="J313" s="15">
        <f t="shared" si="21"/>
        <v>1102014</v>
      </c>
      <c r="K313" s="15">
        <f t="shared" si="22"/>
        <v>3</v>
      </c>
      <c r="L313" s="15">
        <f t="shared" si="24"/>
        <v>4</v>
      </c>
      <c r="M313" s="15" t="str">
        <f t="shared" si="23"/>
        <v>红</v>
      </c>
      <c r="N313" s="15" t="str">
        <f t="shared" si="25"/>
        <v>金币</v>
      </c>
      <c r="O313" s="15">
        <f>IF(L313&gt;1,INDEX(挂机升级突破!$AI$35:$AI$55,卡牌消耗!L313),"")</f>
        <v>16500</v>
      </c>
      <c r="P313" s="15" t="str">
        <f>IF(L313&gt;1,INDEX(价值概述!$A$4:$A$8,INDEX(挂机升级突破!$W$35:$W$55,卡牌消耗!L313)),"")</f>
        <v>绿色基础材料</v>
      </c>
      <c r="Q313" s="15">
        <f>IF(L313&gt;1,INDEX(挂机升级突破!$Z$35:$AD$55,卡牌消耗!L313,INDEX(挂机升级突破!$W$35:$W$55,卡牌消耗!L313)),"")</f>
        <v>80</v>
      </c>
      <c r="R313" s="15" t="str">
        <f>IF(INDEX(挂机升级突破!$X$35:$X$55,卡牌消耗!L313)&gt;0,INDEX($G$2:$I$2,INDEX(挂机升级突破!$X$35:$X$55,卡牌消耗!L313))&amp;M313,"")</f>
        <v>初级红</v>
      </c>
      <c r="S313" s="15">
        <f>IF(R313="","",INDEX(挂机升级突破!$AE$35:$AG$55,卡牌消耗!L313,INDEX(挂机升级突破!$X$35:$X$55,卡牌消耗!L313)))</f>
        <v>40</v>
      </c>
      <c r="T313" s="15" t="str">
        <f>IF(INDEX(挂机升级突破!$Y$35:$Y$55,卡牌消耗!L313)&gt;0,"灵玉","")</f>
        <v/>
      </c>
      <c r="U313" s="15" t="str">
        <f>IF(INDEX(挂机升级突破!$Y$35:$Y$55,卡牌消耗!L313)&gt;0,INDEX(挂机升级突破!$AH$35:$AH$55,卡牌消耗!L313),"")</f>
        <v/>
      </c>
    </row>
    <row r="314" spans="9:21" ht="16.5" x14ac:dyDescent="0.2">
      <c r="I314" s="35">
        <v>278</v>
      </c>
      <c r="J314" s="15">
        <f t="shared" si="21"/>
        <v>1102014</v>
      </c>
      <c r="K314" s="15">
        <f t="shared" si="22"/>
        <v>3</v>
      </c>
      <c r="L314" s="15">
        <f t="shared" si="24"/>
        <v>5</v>
      </c>
      <c r="M314" s="15" t="str">
        <f t="shared" si="23"/>
        <v>红</v>
      </c>
      <c r="N314" s="15" t="str">
        <f t="shared" si="25"/>
        <v>金币</v>
      </c>
      <c r="O314" s="15">
        <f>IF(L314&gt;1,INDEX(挂机升级突破!$AI$35:$AI$55,卡牌消耗!L314),"")</f>
        <v>22500</v>
      </c>
      <c r="P314" s="15" t="str">
        <f>IF(L314&gt;1,INDEX(价值概述!$A$4:$A$8,INDEX(挂机升级突破!$W$35:$W$55,卡牌消耗!L314)),"")</f>
        <v>蓝色基础材料</v>
      </c>
      <c r="Q314" s="15">
        <f>IF(L314&gt;1,INDEX(挂机升级突破!$Z$35:$AD$55,卡牌消耗!L314,INDEX(挂机升级突破!$W$35:$W$55,卡牌消耗!L314)),"")</f>
        <v>35</v>
      </c>
      <c r="R314" s="15" t="str">
        <f>IF(INDEX(挂机升级突破!$X$35:$X$55,卡牌消耗!L314)&gt;0,INDEX($G$2:$I$2,INDEX(挂机升级突破!$X$35:$X$55,卡牌消耗!L314))&amp;M314,"")</f>
        <v>初级红</v>
      </c>
      <c r="S314" s="15">
        <f>IF(R314="","",INDEX(挂机升级突破!$AE$35:$AG$55,卡牌消耗!L314,INDEX(挂机升级突破!$X$35:$X$55,卡牌消耗!L314)))</f>
        <v>65</v>
      </c>
      <c r="T314" s="15" t="str">
        <f>IF(INDEX(挂机升级突破!$Y$35:$Y$55,卡牌消耗!L314)&gt;0,"灵玉","")</f>
        <v/>
      </c>
      <c r="U314" s="15" t="str">
        <f>IF(INDEX(挂机升级突破!$Y$35:$Y$55,卡牌消耗!L314)&gt;0,INDEX(挂机升级突破!$AH$35:$AH$55,卡牌消耗!L314),"")</f>
        <v/>
      </c>
    </row>
    <row r="315" spans="9:21" ht="16.5" x14ac:dyDescent="0.2">
      <c r="I315" s="35">
        <v>279</v>
      </c>
      <c r="J315" s="15">
        <f t="shared" si="21"/>
        <v>1102014</v>
      </c>
      <c r="K315" s="15">
        <f t="shared" si="22"/>
        <v>3</v>
      </c>
      <c r="L315" s="15">
        <f t="shared" si="24"/>
        <v>6</v>
      </c>
      <c r="M315" s="15" t="str">
        <f t="shared" si="23"/>
        <v>红</v>
      </c>
      <c r="N315" s="15" t="str">
        <f t="shared" si="25"/>
        <v>金币</v>
      </c>
      <c r="O315" s="15">
        <f>IF(L315&gt;1,INDEX(挂机升级突破!$AI$35:$AI$55,卡牌消耗!L315),"")</f>
        <v>53000</v>
      </c>
      <c r="P315" s="15" t="str">
        <f>IF(L315&gt;1,INDEX(价值概述!$A$4:$A$8,INDEX(挂机升级突破!$W$35:$W$55,卡牌消耗!L315)),"")</f>
        <v>蓝色基础材料</v>
      </c>
      <c r="Q315" s="15">
        <f>IF(L315&gt;1,INDEX(挂机升级突破!$Z$35:$AD$55,卡牌消耗!L315,INDEX(挂机升级突破!$W$35:$W$55,卡牌消耗!L315)),"")</f>
        <v>70</v>
      </c>
      <c r="R315" s="15" t="str">
        <f>IF(INDEX(挂机升级突破!$X$35:$X$55,卡牌消耗!L315)&gt;0,INDEX($G$2:$I$2,INDEX(挂机升级突破!$X$35:$X$55,卡牌消耗!L315))&amp;M315,"")</f>
        <v>初级红</v>
      </c>
      <c r="S315" s="15">
        <f>IF(R315="","",INDEX(挂机升级突破!$AE$35:$AG$55,卡牌消耗!L315,INDEX(挂机升级突破!$X$35:$X$55,卡牌消耗!L315)))</f>
        <v>85</v>
      </c>
      <c r="T315" s="15" t="str">
        <f>IF(INDEX(挂机升级突破!$Y$35:$Y$55,卡牌消耗!L315)&gt;0,"灵玉","")</f>
        <v/>
      </c>
      <c r="U315" s="15" t="str">
        <f>IF(INDEX(挂机升级突破!$Y$35:$Y$55,卡牌消耗!L315)&gt;0,INDEX(挂机升级突破!$AH$35:$AH$55,卡牌消耗!L315),"")</f>
        <v/>
      </c>
    </row>
    <row r="316" spans="9:21" ht="16.5" x14ac:dyDescent="0.2">
      <c r="I316" s="35">
        <v>280</v>
      </c>
      <c r="J316" s="15">
        <f t="shared" si="21"/>
        <v>1102014</v>
      </c>
      <c r="K316" s="15">
        <f t="shared" si="22"/>
        <v>3</v>
      </c>
      <c r="L316" s="15">
        <f t="shared" si="24"/>
        <v>7</v>
      </c>
      <c r="M316" s="15" t="str">
        <f t="shared" si="23"/>
        <v>红</v>
      </c>
      <c r="N316" s="15" t="str">
        <f t="shared" si="25"/>
        <v>金币</v>
      </c>
      <c r="O316" s="15">
        <f>IF(L316&gt;1,INDEX(挂机升级突破!$AI$35:$AI$55,卡牌消耗!L316),"")</f>
        <v>59500</v>
      </c>
      <c r="P316" s="15" t="str">
        <f>IF(L316&gt;1,INDEX(价值概述!$A$4:$A$8,INDEX(挂机升级突破!$W$35:$W$55,卡牌消耗!L316)),"")</f>
        <v>蓝色基础材料</v>
      </c>
      <c r="Q316" s="15">
        <f>IF(L316&gt;1,INDEX(挂机升级突破!$Z$35:$AD$55,卡牌消耗!L316,INDEX(挂机升级突破!$W$35:$W$55,卡牌消耗!L316)),"")</f>
        <v>110</v>
      </c>
      <c r="R316" s="15" t="str">
        <f>IF(INDEX(挂机升级突破!$X$35:$X$55,卡牌消耗!L316)&gt;0,INDEX($G$2:$I$2,INDEX(挂机升级突破!$X$35:$X$55,卡牌消耗!L316))&amp;M316,"")</f>
        <v>初级红</v>
      </c>
      <c r="S316" s="15">
        <f>IF(R316="","",INDEX(挂机升级突破!$AE$35:$AG$55,卡牌消耗!L316,INDEX(挂机升级突破!$X$35:$X$55,卡牌消耗!L316)))</f>
        <v>110</v>
      </c>
      <c r="T316" s="15" t="str">
        <f>IF(INDEX(挂机升级突破!$Y$35:$Y$55,卡牌消耗!L316)&gt;0,"灵玉","")</f>
        <v/>
      </c>
      <c r="U316" s="15" t="str">
        <f>IF(INDEX(挂机升级突破!$Y$35:$Y$55,卡牌消耗!L316)&gt;0,INDEX(挂机升级突破!$AH$35:$AH$55,卡牌消耗!L316),"")</f>
        <v/>
      </c>
    </row>
    <row r="317" spans="9:21" ht="16.5" x14ac:dyDescent="0.2">
      <c r="I317" s="35">
        <v>281</v>
      </c>
      <c r="J317" s="15">
        <f t="shared" si="21"/>
        <v>1102014</v>
      </c>
      <c r="K317" s="15">
        <f t="shared" si="22"/>
        <v>3</v>
      </c>
      <c r="L317" s="15">
        <f t="shared" si="24"/>
        <v>8</v>
      </c>
      <c r="M317" s="15" t="str">
        <f t="shared" si="23"/>
        <v>红</v>
      </c>
      <c r="N317" s="15" t="str">
        <f t="shared" si="25"/>
        <v>金币</v>
      </c>
      <c r="O317" s="15">
        <f>IF(L317&gt;1,INDEX(挂机升级突破!$AI$35:$AI$55,卡牌消耗!L317),"")</f>
        <v>65500</v>
      </c>
      <c r="P317" s="15" t="str">
        <f>IF(L317&gt;1,INDEX(价值概述!$A$4:$A$8,INDEX(挂机升级突破!$W$35:$W$55,卡牌消耗!L317)),"")</f>
        <v>蓝色基础材料</v>
      </c>
      <c r="Q317" s="15">
        <f>IF(L317&gt;1,INDEX(挂机升级突破!$Z$35:$AD$55,卡牌消耗!L317,INDEX(挂机升级突破!$W$35:$W$55,卡牌消耗!L317)),"")</f>
        <v>145</v>
      </c>
      <c r="R317" s="15" t="str">
        <f>IF(INDEX(挂机升级突破!$X$35:$X$55,卡牌消耗!L317)&gt;0,INDEX($G$2:$I$2,INDEX(挂机升级突破!$X$35:$X$55,卡牌消耗!L317))&amp;M317,"")</f>
        <v>初级红</v>
      </c>
      <c r="S317" s="15">
        <f>IF(R317="","",INDEX(挂机升级突破!$AE$35:$AG$55,卡牌消耗!L317,INDEX(挂机升级突破!$X$35:$X$55,卡牌消耗!L317)))</f>
        <v>130</v>
      </c>
      <c r="T317" s="15" t="str">
        <f>IF(INDEX(挂机升级突破!$Y$35:$Y$55,卡牌消耗!L317)&gt;0,"灵玉","")</f>
        <v/>
      </c>
      <c r="U317" s="15" t="str">
        <f>IF(INDEX(挂机升级突破!$Y$35:$Y$55,卡牌消耗!L317)&gt;0,INDEX(挂机升级突破!$AH$35:$AH$55,卡牌消耗!L317),"")</f>
        <v/>
      </c>
    </row>
    <row r="318" spans="9:21" ht="16.5" x14ac:dyDescent="0.2">
      <c r="I318" s="35">
        <v>282</v>
      </c>
      <c r="J318" s="15">
        <f t="shared" si="21"/>
        <v>1102014</v>
      </c>
      <c r="K318" s="15">
        <f t="shared" si="22"/>
        <v>3</v>
      </c>
      <c r="L318" s="15">
        <f t="shared" si="24"/>
        <v>9</v>
      </c>
      <c r="M318" s="15" t="str">
        <f t="shared" si="23"/>
        <v>红</v>
      </c>
      <c r="N318" s="15" t="str">
        <f t="shared" si="25"/>
        <v>金币</v>
      </c>
      <c r="O318" s="15">
        <f>IF(L318&gt;1,INDEX(挂机升级突破!$AI$35:$AI$55,卡牌消耗!L318),"")</f>
        <v>76000</v>
      </c>
      <c r="P318" s="15" t="str">
        <f>IF(L318&gt;1,INDEX(价值概述!$A$4:$A$8,INDEX(挂机升级突破!$W$35:$W$55,卡牌消耗!L318)),"")</f>
        <v>紫色基础材料</v>
      </c>
      <c r="Q318" s="15">
        <f>IF(L318&gt;1,INDEX(挂机升级突破!$Z$35:$AD$55,卡牌消耗!L318,INDEX(挂机升级突破!$W$35:$W$55,卡牌消耗!L318)),"")</f>
        <v>70</v>
      </c>
      <c r="R318" s="15" t="str">
        <f>IF(INDEX(挂机升级突破!$X$35:$X$55,卡牌消耗!L318)&gt;0,INDEX($G$2:$I$2,INDEX(挂机升级突破!$X$35:$X$55,卡牌消耗!L318))&amp;M318,"")</f>
        <v>中级红</v>
      </c>
      <c r="S318" s="15">
        <f>IF(R318="","",INDEX(挂机升级突破!$AE$35:$AG$55,卡牌消耗!L318,INDEX(挂机升级突破!$X$35:$X$55,卡牌消耗!L318)))</f>
        <v>55</v>
      </c>
      <c r="T318" s="15" t="str">
        <f>IF(INDEX(挂机升级突破!$Y$35:$Y$55,卡牌消耗!L318)&gt;0,"灵玉","")</f>
        <v/>
      </c>
      <c r="U318" s="15" t="str">
        <f>IF(INDEX(挂机升级突破!$Y$35:$Y$55,卡牌消耗!L318)&gt;0,INDEX(挂机升级突破!$AH$35:$AH$55,卡牌消耗!L318),"")</f>
        <v/>
      </c>
    </row>
    <row r="319" spans="9:21" ht="16.5" x14ac:dyDescent="0.2">
      <c r="I319" s="35">
        <v>283</v>
      </c>
      <c r="J319" s="15">
        <f t="shared" si="21"/>
        <v>1102014</v>
      </c>
      <c r="K319" s="15">
        <f t="shared" si="22"/>
        <v>3</v>
      </c>
      <c r="L319" s="15">
        <f t="shared" si="24"/>
        <v>10</v>
      </c>
      <c r="M319" s="15" t="str">
        <f t="shared" si="23"/>
        <v>红</v>
      </c>
      <c r="N319" s="15" t="str">
        <f t="shared" si="25"/>
        <v>金币</v>
      </c>
      <c r="O319" s="15">
        <f>IF(L319&gt;1,INDEX(挂机升级突破!$AI$35:$AI$55,卡牌消耗!L319),"")</f>
        <v>83000</v>
      </c>
      <c r="P319" s="15" t="str">
        <f>IF(L319&gt;1,INDEX(价值概述!$A$4:$A$8,INDEX(挂机升级突破!$W$35:$W$55,卡牌消耗!L319)),"")</f>
        <v>紫色基础材料</v>
      </c>
      <c r="Q319" s="15">
        <f>IF(L319&gt;1,INDEX(挂机升级突破!$Z$35:$AD$55,卡牌消耗!L319,INDEX(挂机升级突破!$W$35:$W$55,卡牌消耗!L319)),"")</f>
        <v>140</v>
      </c>
      <c r="R319" s="15" t="str">
        <f>IF(INDEX(挂机升级突破!$X$35:$X$55,卡牌消耗!L319)&gt;0,INDEX($G$2:$I$2,INDEX(挂机升级突破!$X$35:$X$55,卡牌消耗!L319))&amp;M319,"")</f>
        <v>中级红</v>
      </c>
      <c r="S319" s="15">
        <f>IF(R319="","",INDEX(挂机升级突破!$AE$35:$AG$55,卡牌消耗!L319,INDEX(挂机升级突破!$X$35:$X$55,卡牌消耗!L319)))</f>
        <v>95</v>
      </c>
      <c r="T319" s="15" t="str">
        <f>IF(INDEX(挂机升级突破!$Y$35:$Y$55,卡牌消耗!L319)&gt;0,"灵玉","")</f>
        <v/>
      </c>
      <c r="U319" s="15" t="str">
        <f>IF(INDEX(挂机升级突破!$Y$35:$Y$55,卡牌消耗!L319)&gt;0,INDEX(挂机升级突破!$AH$35:$AH$55,卡牌消耗!L319),"")</f>
        <v/>
      </c>
    </row>
    <row r="320" spans="9:21" ht="16.5" x14ac:dyDescent="0.2">
      <c r="I320" s="35">
        <v>284</v>
      </c>
      <c r="J320" s="15">
        <f t="shared" si="21"/>
        <v>1102014</v>
      </c>
      <c r="K320" s="15">
        <f t="shared" si="22"/>
        <v>3</v>
      </c>
      <c r="L320" s="15">
        <f t="shared" si="24"/>
        <v>11</v>
      </c>
      <c r="M320" s="15" t="str">
        <f t="shared" si="23"/>
        <v>红</v>
      </c>
      <c r="N320" s="15" t="str">
        <f t="shared" si="25"/>
        <v>金币</v>
      </c>
      <c r="O320" s="15">
        <f>IF(L320&gt;1,INDEX(挂机升级突破!$AI$35:$AI$55,卡牌消耗!L320),"")</f>
        <v>90000</v>
      </c>
      <c r="P320" s="15" t="str">
        <f>IF(L320&gt;1,INDEX(价值概述!$A$4:$A$8,INDEX(挂机升级突破!$W$35:$W$55,卡牌消耗!L320)),"")</f>
        <v>紫色基础材料</v>
      </c>
      <c r="Q320" s="15">
        <f>IF(L320&gt;1,INDEX(挂机升级突破!$Z$35:$AD$55,卡牌消耗!L320,INDEX(挂机升级突破!$W$35:$W$55,卡牌消耗!L320)),"")</f>
        <v>215</v>
      </c>
      <c r="R320" s="15" t="str">
        <f>IF(INDEX(挂机升级突破!$X$35:$X$55,卡牌消耗!L320)&gt;0,INDEX($G$2:$I$2,INDEX(挂机升级突破!$X$35:$X$55,卡牌消耗!L320))&amp;M320,"")</f>
        <v>中级红</v>
      </c>
      <c r="S320" s="15">
        <f>IF(R320="","",INDEX(挂机升级突破!$AE$35:$AG$55,卡牌消耗!L320,INDEX(挂机升级突破!$X$35:$X$55,卡牌消耗!L320)))</f>
        <v>145</v>
      </c>
      <c r="T320" s="15" t="str">
        <f>IF(INDEX(挂机升级突破!$Y$35:$Y$55,卡牌消耗!L320)&gt;0,"灵玉","")</f>
        <v/>
      </c>
      <c r="U320" s="15" t="str">
        <f>IF(INDEX(挂机升级突破!$Y$35:$Y$55,卡牌消耗!L320)&gt;0,INDEX(挂机升级突破!$AH$35:$AH$55,卡牌消耗!L320),"")</f>
        <v/>
      </c>
    </row>
    <row r="321" spans="9:21" ht="16.5" x14ac:dyDescent="0.2">
      <c r="I321" s="35">
        <v>285</v>
      </c>
      <c r="J321" s="15">
        <f t="shared" si="21"/>
        <v>1102014</v>
      </c>
      <c r="K321" s="15">
        <f t="shared" si="22"/>
        <v>3</v>
      </c>
      <c r="L321" s="15">
        <f t="shared" si="24"/>
        <v>12</v>
      </c>
      <c r="M321" s="15" t="str">
        <f t="shared" si="23"/>
        <v>红</v>
      </c>
      <c r="N321" s="15" t="str">
        <f t="shared" si="25"/>
        <v>金币</v>
      </c>
      <c r="O321" s="15">
        <f>IF(L321&gt;1,INDEX(挂机升级突破!$AI$35:$AI$55,卡牌消耗!L321),"")</f>
        <v>97000</v>
      </c>
      <c r="P321" s="15" t="str">
        <f>IF(L321&gt;1,INDEX(价值概述!$A$4:$A$8,INDEX(挂机升级突破!$W$35:$W$55,卡牌消耗!L321)),"")</f>
        <v>紫色基础材料</v>
      </c>
      <c r="Q321" s="15">
        <f>IF(L321&gt;1,INDEX(挂机升级突破!$Z$35:$AD$55,卡牌消耗!L321,INDEX(挂机升级突破!$W$35:$W$55,卡牌消耗!L321)),"")</f>
        <v>285</v>
      </c>
      <c r="R321" s="15" t="str">
        <f>IF(INDEX(挂机升级突破!$X$35:$X$55,卡牌消耗!L321)&gt;0,INDEX($G$2:$I$2,INDEX(挂机升级突破!$X$35:$X$55,卡牌消耗!L321))&amp;M321,"")</f>
        <v>中级红</v>
      </c>
      <c r="S321" s="15">
        <f>IF(R321="","",INDEX(挂机升级突破!$AE$35:$AG$55,卡牌消耗!L321,INDEX(挂机升级突破!$X$35:$X$55,卡牌消耗!L321)))</f>
        <v>185</v>
      </c>
      <c r="T321" s="15" t="str">
        <f>IF(INDEX(挂机升级突破!$Y$35:$Y$55,卡牌消耗!L321)&gt;0,"灵玉","")</f>
        <v/>
      </c>
      <c r="U321" s="15" t="str">
        <f>IF(INDEX(挂机升级突破!$Y$35:$Y$55,卡牌消耗!L321)&gt;0,INDEX(挂机升级突破!$AH$35:$AH$55,卡牌消耗!L321),"")</f>
        <v/>
      </c>
    </row>
    <row r="322" spans="9:21" ht="16.5" x14ac:dyDescent="0.2">
      <c r="I322" s="35">
        <v>286</v>
      </c>
      <c r="J322" s="15">
        <f t="shared" si="21"/>
        <v>1102014</v>
      </c>
      <c r="K322" s="15">
        <f t="shared" si="22"/>
        <v>3</v>
      </c>
      <c r="L322" s="15">
        <f t="shared" si="24"/>
        <v>13</v>
      </c>
      <c r="M322" s="15" t="str">
        <f t="shared" si="23"/>
        <v>红</v>
      </c>
      <c r="N322" s="15" t="str">
        <f t="shared" si="25"/>
        <v>金币</v>
      </c>
      <c r="O322" s="15">
        <f>IF(L322&gt;1,INDEX(挂机升级突破!$AI$35:$AI$55,卡牌消耗!L322),"")</f>
        <v>122000</v>
      </c>
      <c r="P322" s="15" t="str">
        <f>IF(L322&gt;1,INDEX(价值概述!$A$4:$A$8,INDEX(挂机升级突破!$W$35:$W$55,卡牌消耗!L322)),"")</f>
        <v>橙色基础材料</v>
      </c>
      <c r="Q322" s="15">
        <f>IF(L322&gt;1,INDEX(挂机升级突破!$Z$35:$AD$55,卡牌消耗!L322,INDEX(挂机升级突破!$W$35:$W$55,卡牌消耗!L322)),"")</f>
        <v>115</v>
      </c>
      <c r="R322" s="15" t="str">
        <f>IF(INDEX(挂机升级突破!$X$35:$X$55,卡牌消耗!L322)&gt;0,INDEX($G$2:$I$2,INDEX(挂机升级突破!$X$35:$X$55,卡牌消耗!L322))&amp;M322,"")</f>
        <v>中级红</v>
      </c>
      <c r="S322" s="15">
        <f>IF(R322="","",INDEX(挂机升级突破!$AE$35:$AG$55,卡牌消耗!L322,INDEX(挂机升级突破!$X$35:$X$55,卡牌消耗!L322)))</f>
        <v>225</v>
      </c>
      <c r="T322" s="15" t="str">
        <f>IF(INDEX(挂机升级突破!$Y$35:$Y$55,卡牌消耗!L322)&gt;0,"灵玉","")</f>
        <v/>
      </c>
      <c r="U322" s="15" t="str">
        <f>IF(INDEX(挂机升级突破!$Y$35:$Y$55,卡牌消耗!L322)&gt;0,INDEX(挂机升级突破!$AH$35:$AH$55,卡牌消耗!L322),"")</f>
        <v/>
      </c>
    </row>
    <row r="323" spans="9:21" ht="16.5" x14ac:dyDescent="0.2">
      <c r="I323" s="35">
        <v>287</v>
      </c>
      <c r="J323" s="15">
        <f t="shared" si="21"/>
        <v>1102014</v>
      </c>
      <c r="K323" s="15">
        <f t="shared" si="22"/>
        <v>3</v>
      </c>
      <c r="L323" s="15">
        <f t="shared" si="24"/>
        <v>14</v>
      </c>
      <c r="M323" s="15" t="str">
        <f t="shared" si="23"/>
        <v>红</v>
      </c>
      <c r="N323" s="15" t="str">
        <f t="shared" si="25"/>
        <v>金币</v>
      </c>
      <c r="O323" s="15">
        <f>IF(L323&gt;1,INDEX(挂机升级突破!$AI$35:$AI$55,卡牌消耗!L323),"")</f>
        <v>162500</v>
      </c>
      <c r="P323" s="15" t="str">
        <f>IF(L323&gt;1,INDEX(价值概述!$A$4:$A$8,INDEX(挂机升级突破!$W$35:$W$55,卡牌消耗!L323)),"")</f>
        <v>橙色基础材料</v>
      </c>
      <c r="Q323" s="15">
        <f>IF(L323&gt;1,INDEX(挂机升级突破!$Z$35:$AD$55,卡牌消耗!L323,INDEX(挂机升级突破!$W$35:$W$55,卡牌消耗!L323)),"")</f>
        <v>235</v>
      </c>
      <c r="R323" s="15" t="str">
        <f>IF(INDEX(挂机升级突破!$X$35:$X$55,卡牌消耗!L323)&gt;0,INDEX($G$2:$I$2,INDEX(挂机升级突破!$X$35:$X$55,卡牌消耗!L323))&amp;M323,"")</f>
        <v>中级红</v>
      </c>
      <c r="S323" s="15">
        <f>IF(R323="","",INDEX(挂机升级突破!$AE$35:$AG$55,卡牌消耗!L323,INDEX(挂机升级突破!$X$35:$X$55,卡牌消耗!L323)))</f>
        <v>265</v>
      </c>
      <c r="T323" s="15" t="str">
        <f>IF(INDEX(挂机升级突破!$Y$35:$Y$55,卡牌消耗!L323)&gt;0,"灵玉","")</f>
        <v/>
      </c>
      <c r="U323" s="15" t="str">
        <f>IF(INDEX(挂机升级突破!$Y$35:$Y$55,卡牌消耗!L323)&gt;0,INDEX(挂机升级突破!$AH$35:$AH$55,卡牌消耗!L323),"")</f>
        <v/>
      </c>
    </row>
    <row r="324" spans="9:21" ht="16.5" x14ac:dyDescent="0.2">
      <c r="I324" s="35">
        <v>288</v>
      </c>
      <c r="J324" s="15">
        <f t="shared" si="21"/>
        <v>1102014</v>
      </c>
      <c r="K324" s="15">
        <f t="shared" si="22"/>
        <v>3</v>
      </c>
      <c r="L324" s="15">
        <f t="shared" si="24"/>
        <v>15</v>
      </c>
      <c r="M324" s="15" t="str">
        <f t="shared" si="23"/>
        <v>红</v>
      </c>
      <c r="N324" s="15" t="str">
        <f t="shared" si="25"/>
        <v>金币</v>
      </c>
      <c r="O324" s="15">
        <f>IF(L324&gt;1,INDEX(挂机升级突破!$AI$35:$AI$55,卡牌消耗!L324),"")</f>
        <v>190000</v>
      </c>
      <c r="P324" s="15" t="str">
        <f>IF(L324&gt;1,INDEX(价值概述!$A$4:$A$8,INDEX(挂机升级突破!$W$35:$W$55,卡牌消耗!L324)),"")</f>
        <v>橙色基础材料</v>
      </c>
      <c r="Q324" s="15">
        <f>IF(L324&gt;1,INDEX(挂机升级突破!$Z$35:$AD$55,卡牌消耗!L324,INDEX(挂机升级突破!$W$35:$W$55,卡牌消耗!L324)),"")</f>
        <v>355</v>
      </c>
      <c r="R324" s="15" t="str">
        <f>IF(INDEX(挂机升级突破!$X$35:$X$55,卡牌消耗!L324)&gt;0,INDEX($G$2:$I$2,INDEX(挂机升级突破!$X$35:$X$55,卡牌消耗!L324))&amp;M324,"")</f>
        <v>高级红</v>
      </c>
      <c r="S324" s="15">
        <f>IF(R324="","",INDEX(挂机升级突破!$AE$35:$AG$55,卡牌消耗!L324,INDEX(挂机升级突破!$X$35:$X$55,卡牌消耗!L324)))</f>
        <v>45</v>
      </c>
      <c r="T324" s="15" t="str">
        <f>IF(INDEX(挂机升级突破!$Y$35:$Y$55,卡牌消耗!L324)&gt;0,"灵玉","")</f>
        <v/>
      </c>
      <c r="U324" s="15" t="str">
        <f>IF(INDEX(挂机升级突破!$Y$35:$Y$55,卡牌消耗!L324)&gt;0,INDEX(挂机升级突破!$AH$35:$AH$55,卡牌消耗!L324),"")</f>
        <v/>
      </c>
    </row>
    <row r="325" spans="9:21" ht="16.5" x14ac:dyDescent="0.2">
      <c r="I325" s="35">
        <v>289</v>
      </c>
      <c r="J325" s="15">
        <f t="shared" si="21"/>
        <v>1102014</v>
      </c>
      <c r="K325" s="15">
        <f t="shared" si="22"/>
        <v>3</v>
      </c>
      <c r="L325" s="15">
        <f t="shared" si="24"/>
        <v>16</v>
      </c>
      <c r="M325" s="15" t="str">
        <f t="shared" si="23"/>
        <v>红</v>
      </c>
      <c r="N325" s="15" t="str">
        <f t="shared" si="25"/>
        <v>金币</v>
      </c>
      <c r="O325" s="15">
        <f>IF(L325&gt;1,INDEX(挂机升级突破!$AI$35:$AI$55,卡牌消耗!L325),"")</f>
        <v>219000</v>
      </c>
      <c r="P325" s="15" t="str">
        <f>IF(L325&gt;1,INDEX(价值概述!$A$4:$A$8,INDEX(挂机升级突破!$W$35:$W$55,卡牌消耗!L325)),"")</f>
        <v>橙色基础材料</v>
      </c>
      <c r="Q325" s="15">
        <f>IF(L325&gt;1,INDEX(挂机升级突破!$Z$35:$AD$55,卡牌消耗!L325,INDEX(挂机升级突破!$W$35:$W$55,卡牌消耗!L325)),"")</f>
        <v>475</v>
      </c>
      <c r="R325" s="15" t="str">
        <f>IF(INDEX(挂机升级突破!$X$35:$X$55,卡牌消耗!L325)&gt;0,INDEX($G$2:$I$2,INDEX(挂机升级突破!$X$35:$X$55,卡牌消耗!L325))&amp;M325,"")</f>
        <v>高级红</v>
      </c>
      <c r="S325" s="15">
        <f>IF(R325="","",INDEX(挂机升级突破!$AE$35:$AG$55,卡牌消耗!L325,INDEX(挂机升级突破!$X$35:$X$55,卡牌消耗!L325)))</f>
        <v>70</v>
      </c>
      <c r="T325" s="15" t="str">
        <f>IF(INDEX(挂机升级突破!$Y$35:$Y$55,卡牌消耗!L325)&gt;0,"灵玉","")</f>
        <v/>
      </c>
      <c r="U325" s="15" t="str">
        <f>IF(INDEX(挂机升级突破!$Y$35:$Y$55,卡牌消耗!L325)&gt;0,INDEX(挂机升级突破!$AH$35:$AH$55,卡牌消耗!L325),"")</f>
        <v/>
      </c>
    </row>
    <row r="326" spans="9:21" ht="16.5" x14ac:dyDescent="0.2">
      <c r="I326" s="35">
        <v>290</v>
      </c>
      <c r="J326" s="15">
        <f t="shared" si="21"/>
        <v>1102014</v>
      </c>
      <c r="K326" s="15">
        <f t="shared" si="22"/>
        <v>3</v>
      </c>
      <c r="L326" s="15">
        <f t="shared" si="24"/>
        <v>17</v>
      </c>
      <c r="M326" s="15" t="str">
        <f t="shared" si="23"/>
        <v>红</v>
      </c>
      <c r="N326" s="15" t="str">
        <f t="shared" si="25"/>
        <v>金币</v>
      </c>
      <c r="O326" s="15">
        <f>IF(L326&gt;1,INDEX(挂机升级突破!$AI$35:$AI$55,卡牌消耗!L326),"")</f>
        <v>228000</v>
      </c>
      <c r="P326" s="15" t="str">
        <f>IF(L326&gt;1,INDEX(价值概述!$A$4:$A$8,INDEX(挂机升级突破!$W$35:$W$55,卡牌消耗!L326)),"")</f>
        <v>红色基础材料</v>
      </c>
      <c r="Q326" s="15">
        <f>IF(L326&gt;1,INDEX(挂机升级突破!$Z$35:$AD$55,卡牌消耗!L326,INDEX(挂机升级突破!$W$35:$W$55,卡牌消耗!L326)),"")</f>
        <v>45</v>
      </c>
      <c r="R326" s="15" t="str">
        <f>IF(INDEX(挂机升级突破!$X$35:$X$55,卡牌消耗!L326)&gt;0,INDEX($G$2:$I$2,INDEX(挂机升级突破!$X$35:$X$55,卡牌消耗!L326))&amp;M326,"")</f>
        <v>高级红</v>
      </c>
      <c r="S326" s="15">
        <f>IF(R326="","",INDEX(挂机升级突破!$AE$35:$AG$55,卡牌消耗!L326,INDEX(挂机升级突破!$X$35:$X$55,卡牌消耗!L326)))</f>
        <v>100</v>
      </c>
      <c r="T326" s="15" t="str">
        <f>IF(INDEX(挂机升级突破!$Y$35:$Y$55,卡牌消耗!L326)&gt;0,"灵玉","")</f>
        <v>灵玉</v>
      </c>
      <c r="U326" s="15">
        <f>IF(INDEX(挂机升级突破!$Y$35:$Y$55,卡牌消耗!L326)&gt;0,INDEX(挂机升级突破!$AH$35:$AH$55,卡牌消耗!L326),"")</f>
        <v>25</v>
      </c>
    </row>
    <row r="327" spans="9:21" ht="16.5" x14ac:dyDescent="0.2">
      <c r="I327" s="35">
        <v>291</v>
      </c>
      <c r="J327" s="15">
        <f t="shared" si="21"/>
        <v>1102014</v>
      </c>
      <c r="K327" s="15">
        <f t="shared" si="22"/>
        <v>3</v>
      </c>
      <c r="L327" s="15">
        <f t="shared" si="24"/>
        <v>18</v>
      </c>
      <c r="M327" s="15" t="str">
        <f t="shared" si="23"/>
        <v>红</v>
      </c>
      <c r="N327" s="15" t="str">
        <f t="shared" si="25"/>
        <v>金币</v>
      </c>
      <c r="O327" s="15">
        <f>IF(L327&gt;1,INDEX(挂机升级突破!$AI$35:$AI$55,卡牌消耗!L327),"")</f>
        <v>319500</v>
      </c>
      <c r="P327" s="15" t="str">
        <f>IF(L327&gt;1,INDEX(价值概述!$A$4:$A$8,INDEX(挂机升级突破!$W$35:$W$55,卡牌消耗!L327)),"")</f>
        <v>红色基础材料</v>
      </c>
      <c r="Q327" s="15">
        <f>IF(L327&gt;1,INDEX(挂机升级突破!$Z$35:$AD$55,卡牌消耗!L327,INDEX(挂机升级突破!$W$35:$W$55,卡牌消耗!L327)),"")</f>
        <v>65</v>
      </c>
      <c r="R327" s="15" t="str">
        <f>IF(INDEX(挂机升级突破!$X$35:$X$55,卡牌消耗!L327)&gt;0,INDEX($G$2:$I$2,INDEX(挂机升级突破!$X$35:$X$55,卡牌消耗!L327))&amp;M327,"")</f>
        <v>高级红</v>
      </c>
      <c r="S327" s="15">
        <f>IF(R327="","",INDEX(挂机升级突破!$AE$35:$AG$55,卡牌消耗!L327,INDEX(挂机升级突破!$X$35:$X$55,卡牌消耗!L327)))</f>
        <v>125</v>
      </c>
      <c r="T327" s="15" t="str">
        <f>IF(INDEX(挂机升级突破!$Y$35:$Y$55,卡牌消耗!L327)&gt;0,"灵玉","")</f>
        <v>灵玉</v>
      </c>
      <c r="U327" s="15">
        <f>IF(INDEX(挂机升级突破!$Y$35:$Y$55,卡牌消耗!L327)&gt;0,INDEX(挂机升级突破!$AH$35:$AH$55,卡牌消耗!L327),"")</f>
        <v>35</v>
      </c>
    </row>
    <row r="328" spans="9:21" ht="16.5" x14ac:dyDescent="0.2">
      <c r="I328" s="35">
        <v>292</v>
      </c>
      <c r="J328" s="15">
        <f t="shared" si="21"/>
        <v>1102014</v>
      </c>
      <c r="K328" s="15">
        <f t="shared" si="22"/>
        <v>3</v>
      </c>
      <c r="L328" s="15">
        <f t="shared" si="24"/>
        <v>19</v>
      </c>
      <c r="M328" s="15" t="str">
        <f t="shared" si="23"/>
        <v>红</v>
      </c>
      <c r="N328" s="15" t="str">
        <f t="shared" si="25"/>
        <v>金币</v>
      </c>
      <c r="O328" s="15">
        <f>IF(L328&gt;1,INDEX(挂机升级突破!$AI$35:$AI$55,卡牌消耗!L328),"")</f>
        <v>426000</v>
      </c>
      <c r="P328" s="15" t="str">
        <f>IF(L328&gt;1,INDEX(价值概述!$A$4:$A$8,INDEX(挂机升级突破!$W$35:$W$55,卡牌消耗!L328)),"")</f>
        <v>红色基础材料</v>
      </c>
      <c r="Q328" s="15">
        <f>IF(L328&gt;1,INDEX(挂机升级突破!$Z$35:$AD$55,卡牌消耗!L328,INDEX(挂机升级突破!$W$35:$W$55,卡牌消耗!L328)),"")</f>
        <v>90</v>
      </c>
      <c r="R328" s="15" t="str">
        <f>IF(INDEX(挂机升级突破!$X$35:$X$55,卡牌消耗!L328)&gt;0,INDEX($G$2:$I$2,INDEX(挂机升级突破!$X$35:$X$55,卡牌消耗!L328))&amp;M328,"")</f>
        <v>高级红</v>
      </c>
      <c r="S328" s="15">
        <f>IF(R328="","",INDEX(挂机升级突破!$AE$35:$AG$55,卡牌消耗!L328,INDEX(挂机升级突破!$X$35:$X$55,卡牌消耗!L328)))</f>
        <v>155</v>
      </c>
      <c r="T328" s="15" t="str">
        <f>IF(INDEX(挂机升级突破!$Y$35:$Y$55,卡牌消耗!L328)&gt;0,"灵玉","")</f>
        <v>灵玉</v>
      </c>
      <c r="U328" s="15">
        <f>IF(INDEX(挂机升级突破!$Y$35:$Y$55,卡牌消耗!L328)&gt;0,INDEX(挂机升级突破!$AH$35:$AH$55,卡牌消耗!L328),"")</f>
        <v>50</v>
      </c>
    </row>
    <row r="329" spans="9:21" ht="16.5" x14ac:dyDescent="0.2">
      <c r="I329" s="35">
        <v>293</v>
      </c>
      <c r="J329" s="15">
        <f t="shared" si="21"/>
        <v>1102014</v>
      </c>
      <c r="K329" s="15">
        <f t="shared" si="22"/>
        <v>3</v>
      </c>
      <c r="L329" s="15">
        <f t="shared" si="24"/>
        <v>20</v>
      </c>
      <c r="M329" s="15" t="str">
        <f t="shared" si="23"/>
        <v>红</v>
      </c>
      <c r="N329" s="15" t="str">
        <f t="shared" si="25"/>
        <v>金币</v>
      </c>
      <c r="O329" s="15">
        <f>IF(L329&gt;1,INDEX(挂机升级突破!$AI$35:$AI$55,卡牌消耗!L329),"")</f>
        <v>532500</v>
      </c>
      <c r="P329" s="15" t="str">
        <f>IF(L329&gt;1,INDEX(价值概述!$A$4:$A$8,INDEX(挂机升级突破!$W$35:$W$55,卡牌消耗!L329)),"")</f>
        <v>红色基础材料</v>
      </c>
      <c r="Q329" s="15">
        <f>IF(L329&gt;1,INDEX(挂机升级突破!$Z$35:$AD$55,卡牌消耗!L329,INDEX(挂机升级突破!$W$35:$W$55,卡牌消耗!L329)),"")</f>
        <v>110</v>
      </c>
      <c r="R329" s="15" t="str">
        <f>IF(INDEX(挂机升级突破!$X$35:$X$55,卡牌消耗!L329)&gt;0,INDEX($G$2:$I$2,INDEX(挂机升级突破!$X$35:$X$55,卡牌消耗!L329))&amp;M329,"")</f>
        <v>高级红</v>
      </c>
      <c r="S329" s="15">
        <f>IF(R329="","",INDEX(挂机升级突破!$AE$35:$AG$55,卡牌消耗!L329,INDEX(挂机升级突破!$X$35:$X$55,卡牌消耗!L329)))</f>
        <v>180</v>
      </c>
      <c r="T329" s="15" t="str">
        <f>IF(INDEX(挂机升级突破!$Y$35:$Y$55,卡牌消耗!L329)&gt;0,"灵玉","")</f>
        <v>灵玉</v>
      </c>
      <c r="U329" s="15">
        <f>IF(INDEX(挂机升级突破!$Y$35:$Y$55,卡牌消耗!L329)&gt;0,INDEX(挂机升级突破!$AH$35:$AH$55,卡牌消耗!L329),"")</f>
        <v>65</v>
      </c>
    </row>
    <row r="330" spans="9:21" ht="16.5" x14ac:dyDescent="0.2">
      <c r="I330" s="35">
        <v>294</v>
      </c>
      <c r="J330" s="15">
        <f t="shared" si="21"/>
        <v>1102014</v>
      </c>
      <c r="K330" s="15">
        <f t="shared" si="22"/>
        <v>3</v>
      </c>
      <c r="L330" s="15">
        <f t="shared" si="24"/>
        <v>21</v>
      </c>
      <c r="M330" s="15" t="str">
        <f t="shared" si="23"/>
        <v>红</v>
      </c>
      <c r="N330" s="15" t="str">
        <f t="shared" si="25"/>
        <v>金币</v>
      </c>
      <c r="O330" s="15">
        <f>IF(L330&gt;1,INDEX(挂机升级突破!$AI$35:$AI$55,卡牌消耗!L330),"")</f>
        <v>639000</v>
      </c>
      <c r="P330" s="15" t="str">
        <f>IF(L330&gt;1,INDEX(价值概述!$A$4:$A$8,INDEX(挂机升级突破!$W$35:$W$55,卡牌消耗!L330)),"")</f>
        <v>红色基础材料</v>
      </c>
      <c r="Q330" s="15">
        <f>IF(L330&gt;1,INDEX(挂机升级突破!$Z$35:$AD$55,卡牌消耗!L330,INDEX(挂机升级突破!$W$35:$W$55,卡牌消耗!L330)),"")</f>
        <v>135</v>
      </c>
      <c r="R330" s="15" t="str">
        <f>IF(INDEX(挂机升级突破!$X$35:$X$55,卡牌消耗!L330)&gt;0,INDEX($G$2:$I$2,INDEX(挂机升级突破!$X$35:$X$55,卡牌消耗!L330))&amp;M330,"")</f>
        <v>高级红</v>
      </c>
      <c r="S330" s="15">
        <f>IF(R330="","",INDEX(挂机升级突破!$AE$35:$AG$55,卡牌消耗!L330,INDEX(挂机升级突破!$X$35:$X$55,卡牌消耗!L330)))</f>
        <v>225</v>
      </c>
      <c r="T330" s="15" t="str">
        <f>IF(INDEX(挂机升级突破!$Y$35:$Y$55,卡牌消耗!L330)&gt;0,"灵玉","")</f>
        <v>灵玉</v>
      </c>
      <c r="U330" s="15">
        <f>IF(INDEX(挂机升级突破!$Y$35:$Y$55,卡牌消耗!L330)&gt;0,INDEX(挂机升级突破!$AH$35:$AH$55,卡牌消耗!L330),"")</f>
        <v>75</v>
      </c>
    </row>
    <row r="331" spans="9:21" ht="16.5" x14ac:dyDescent="0.2">
      <c r="I331" s="35">
        <v>295</v>
      </c>
      <c r="J331" s="15">
        <f t="shared" si="21"/>
        <v>1102015</v>
      </c>
      <c r="K331" s="15">
        <f t="shared" si="22"/>
        <v>2</v>
      </c>
      <c r="L331" s="15">
        <f t="shared" si="24"/>
        <v>1</v>
      </c>
      <c r="M331" s="15" t="str">
        <f t="shared" si="23"/>
        <v>红</v>
      </c>
      <c r="N331" s="15" t="str">
        <f t="shared" si="25"/>
        <v/>
      </c>
      <c r="O331" s="15" t="str">
        <f>IF(L331&gt;1,INDEX(挂机升级突破!$AI$35:$AI$55,卡牌消耗!L331),"")</f>
        <v/>
      </c>
      <c r="P331" s="15" t="str">
        <f>IF(L331&gt;1,INDEX(价值概述!$A$4:$A$8,INDEX(挂机升级突破!$W$35:$W$55,卡牌消耗!L331)),"")</f>
        <v/>
      </c>
      <c r="Q331" s="15" t="str">
        <f>IF(L331&gt;1,INDEX(挂机升级突破!$Z$35:$AD$55,卡牌消耗!L331,INDEX(挂机升级突破!$W$35:$W$55,卡牌消耗!L331)),"")</f>
        <v/>
      </c>
      <c r="R331" s="15" t="str">
        <f>IF(INDEX(挂机升级突破!$X$35:$X$55,卡牌消耗!L331)&gt;0,INDEX($G$2:$I$2,INDEX(挂机升级突破!$X$35:$X$55,卡牌消耗!L331))&amp;M331,"")</f>
        <v/>
      </c>
      <c r="S331" s="15" t="str">
        <f>IF(R331="","",INDEX(挂机升级突破!$AE$35:$AG$55,卡牌消耗!L331,INDEX(挂机升级突破!$X$35:$X$55,卡牌消耗!L331)))</f>
        <v/>
      </c>
      <c r="T331" s="15" t="str">
        <f>IF(INDEX(挂机升级突破!$Y$35:$Y$55,卡牌消耗!L331)&gt;0,"灵玉","")</f>
        <v/>
      </c>
      <c r="U331" s="15" t="str">
        <f>IF(INDEX(挂机升级突破!$Y$35:$Y$55,卡牌消耗!L331)&gt;0,INDEX(挂机升级突破!$AH$35:$AH$55,卡牌消耗!L331),"")</f>
        <v/>
      </c>
    </row>
    <row r="332" spans="9:21" ht="16.5" x14ac:dyDescent="0.2">
      <c r="I332" s="35">
        <v>296</v>
      </c>
      <c r="J332" s="15">
        <f t="shared" si="21"/>
        <v>1102015</v>
      </c>
      <c r="K332" s="15">
        <f t="shared" si="22"/>
        <v>2</v>
      </c>
      <c r="L332" s="15">
        <f t="shared" si="24"/>
        <v>2</v>
      </c>
      <c r="M332" s="15" t="str">
        <f t="shared" si="23"/>
        <v>红</v>
      </c>
      <c r="N332" s="15" t="str">
        <f t="shared" si="25"/>
        <v>金币</v>
      </c>
      <c r="O332" s="15">
        <f>IF(L332&gt;1,INDEX(挂机升级突破!$AI$35:$AI$55,卡牌消耗!L332),"")</f>
        <v>2500</v>
      </c>
      <c r="P332" s="15" t="str">
        <f>IF(L332&gt;1,INDEX(价值概述!$A$4:$A$8,INDEX(挂机升级突破!$W$35:$W$55,卡牌消耗!L332)),"")</f>
        <v>绿色基础材料</v>
      </c>
      <c r="Q332" s="15">
        <f>IF(L332&gt;1,INDEX(挂机升级突破!$Z$35:$AD$55,卡牌消耗!L332,INDEX(挂机升级突破!$W$35:$W$55,卡牌消耗!L332)),"")</f>
        <v>10</v>
      </c>
      <c r="R332" s="15" t="str">
        <f>IF(INDEX(挂机升级突破!$X$35:$X$55,卡牌消耗!L332)&gt;0,INDEX($G$2:$I$2,INDEX(挂机升级突破!$X$35:$X$55,卡牌消耗!L332))&amp;M332,"")</f>
        <v/>
      </c>
      <c r="S332" s="15" t="str">
        <f>IF(R332="","",INDEX(挂机升级突破!$AE$35:$AG$55,卡牌消耗!L332,INDEX(挂机升级突破!$X$35:$X$55,卡牌消耗!L332)))</f>
        <v/>
      </c>
      <c r="T332" s="15" t="str">
        <f>IF(INDEX(挂机升级突破!$Y$35:$Y$55,卡牌消耗!L332)&gt;0,"灵玉","")</f>
        <v/>
      </c>
      <c r="U332" s="15" t="str">
        <f>IF(INDEX(挂机升级突破!$Y$35:$Y$55,卡牌消耗!L332)&gt;0,INDEX(挂机升级突破!$AH$35:$AH$55,卡牌消耗!L332),"")</f>
        <v/>
      </c>
    </row>
    <row r="333" spans="9:21" ht="16.5" x14ac:dyDescent="0.2">
      <c r="I333" s="35">
        <v>297</v>
      </c>
      <c r="J333" s="15">
        <f t="shared" si="21"/>
        <v>1102015</v>
      </c>
      <c r="K333" s="15">
        <f t="shared" si="22"/>
        <v>2</v>
      </c>
      <c r="L333" s="15">
        <f t="shared" si="24"/>
        <v>3</v>
      </c>
      <c r="M333" s="15" t="str">
        <f t="shared" si="23"/>
        <v>红</v>
      </c>
      <c r="N333" s="15" t="str">
        <f t="shared" si="25"/>
        <v>金币</v>
      </c>
      <c r="O333" s="15">
        <f>IF(L333&gt;1,INDEX(挂机升级突破!$AI$35:$AI$55,卡牌消耗!L333),"")</f>
        <v>8000</v>
      </c>
      <c r="P333" s="15" t="str">
        <f>IF(L333&gt;1,INDEX(价值概述!$A$4:$A$8,INDEX(挂机升级突破!$W$35:$W$55,卡牌消耗!L333)),"")</f>
        <v>绿色基础材料</v>
      </c>
      <c r="Q333" s="15">
        <f>IF(L333&gt;1,INDEX(挂机升级突破!$Z$35:$AD$55,卡牌消耗!L333,INDEX(挂机升级突破!$W$35:$W$55,卡牌消耗!L333)),"")</f>
        <v>40</v>
      </c>
      <c r="R333" s="15" t="str">
        <f>IF(INDEX(挂机升级突破!$X$35:$X$55,卡牌消耗!L333)&gt;0,INDEX($G$2:$I$2,INDEX(挂机升级突破!$X$35:$X$55,卡牌消耗!L333))&amp;M333,"")</f>
        <v/>
      </c>
      <c r="S333" s="15" t="str">
        <f>IF(R333="","",INDEX(挂机升级突破!$AE$35:$AG$55,卡牌消耗!L333,INDEX(挂机升级突破!$X$35:$X$55,卡牌消耗!L333)))</f>
        <v/>
      </c>
      <c r="T333" s="15" t="str">
        <f>IF(INDEX(挂机升级突破!$Y$35:$Y$55,卡牌消耗!L333)&gt;0,"灵玉","")</f>
        <v/>
      </c>
      <c r="U333" s="15" t="str">
        <f>IF(INDEX(挂机升级突破!$Y$35:$Y$55,卡牌消耗!L333)&gt;0,INDEX(挂机升级突破!$AH$35:$AH$55,卡牌消耗!L333),"")</f>
        <v/>
      </c>
    </row>
    <row r="334" spans="9:21" ht="16.5" x14ac:dyDescent="0.2">
      <c r="I334" s="35">
        <v>298</v>
      </c>
      <c r="J334" s="15">
        <f t="shared" si="21"/>
        <v>1102015</v>
      </c>
      <c r="K334" s="15">
        <f t="shared" si="22"/>
        <v>2</v>
      </c>
      <c r="L334" s="15">
        <f t="shared" si="24"/>
        <v>4</v>
      </c>
      <c r="M334" s="15" t="str">
        <f t="shared" si="23"/>
        <v>红</v>
      </c>
      <c r="N334" s="15" t="str">
        <f t="shared" si="25"/>
        <v>金币</v>
      </c>
      <c r="O334" s="15">
        <f>IF(L334&gt;1,INDEX(挂机升级突破!$AI$35:$AI$55,卡牌消耗!L334),"")</f>
        <v>16500</v>
      </c>
      <c r="P334" s="15" t="str">
        <f>IF(L334&gt;1,INDEX(价值概述!$A$4:$A$8,INDEX(挂机升级突破!$W$35:$W$55,卡牌消耗!L334)),"")</f>
        <v>绿色基础材料</v>
      </c>
      <c r="Q334" s="15">
        <f>IF(L334&gt;1,INDEX(挂机升级突破!$Z$35:$AD$55,卡牌消耗!L334,INDEX(挂机升级突破!$W$35:$W$55,卡牌消耗!L334)),"")</f>
        <v>80</v>
      </c>
      <c r="R334" s="15" t="str">
        <f>IF(INDEX(挂机升级突破!$X$35:$X$55,卡牌消耗!L334)&gt;0,INDEX($G$2:$I$2,INDEX(挂机升级突破!$X$35:$X$55,卡牌消耗!L334))&amp;M334,"")</f>
        <v>初级红</v>
      </c>
      <c r="S334" s="15">
        <f>IF(R334="","",INDEX(挂机升级突破!$AE$35:$AG$55,卡牌消耗!L334,INDEX(挂机升级突破!$X$35:$X$55,卡牌消耗!L334)))</f>
        <v>40</v>
      </c>
      <c r="T334" s="15" t="str">
        <f>IF(INDEX(挂机升级突破!$Y$35:$Y$55,卡牌消耗!L334)&gt;0,"灵玉","")</f>
        <v/>
      </c>
      <c r="U334" s="15" t="str">
        <f>IF(INDEX(挂机升级突破!$Y$35:$Y$55,卡牌消耗!L334)&gt;0,INDEX(挂机升级突破!$AH$35:$AH$55,卡牌消耗!L334),"")</f>
        <v/>
      </c>
    </row>
    <row r="335" spans="9:21" ht="16.5" x14ac:dyDescent="0.2">
      <c r="I335" s="35">
        <v>299</v>
      </c>
      <c r="J335" s="15">
        <f t="shared" si="21"/>
        <v>1102015</v>
      </c>
      <c r="K335" s="15">
        <f t="shared" si="22"/>
        <v>2</v>
      </c>
      <c r="L335" s="15">
        <f t="shared" si="24"/>
        <v>5</v>
      </c>
      <c r="M335" s="15" t="str">
        <f t="shared" si="23"/>
        <v>红</v>
      </c>
      <c r="N335" s="15" t="str">
        <f t="shared" si="25"/>
        <v>金币</v>
      </c>
      <c r="O335" s="15">
        <f>IF(L335&gt;1,INDEX(挂机升级突破!$AI$35:$AI$55,卡牌消耗!L335),"")</f>
        <v>22500</v>
      </c>
      <c r="P335" s="15" t="str">
        <f>IF(L335&gt;1,INDEX(价值概述!$A$4:$A$8,INDEX(挂机升级突破!$W$35:$W$55,卡牌消耗!L335)),"")</f>
        <v>蓝色基础材料</v>
      </c>
      <c r="Q335" s="15">
        <f>IF(L335&gt;1,INDEX(挂机升级突破!$Z$35:$AD$55,卡牌消耗!L335,INDEX(挂机升级突破!$W$35:$W$55,卡牌消耗!L335)),"")</f>
        <v>35</v>
      </c>
      <c r="R335" s="15" t="str">
        <f>IF(INDEX(挂机升级突破!$X$35:$X$55,卡牌消耗!L335)&gt;0,INDEX($G$2:$I$2,INDEX(挂机升级突破!$X$35:$X$55,卡牌消耗!L335))&amp;M335,"")</f>
        <v>初级红</v>
      </c>
      <c r="S335" s="15">
        <f>IF(R335="","",INDEX(挂机升级突破!$AE$35:$AG$55,卡牌消耗!L335,INDEX(挂机升级突破!$X$35:$X$55,卡牌消耗!L335)))</f>
        <v>65</v>
      </c>
      <c r="T335" s="15" t="str">
        <f>IF(INDEX(挂机升级突破!$Y$35:$Y$55,卡牌消耗!L335)&gt;0,"灵玉","")</f>
        <v/>
      </c>
      <c r="U335" s="15" t="str">
        <f>IF(INDEX(挂机升级突破!$Y$35:$Y$55,卡牌消耗!L335)&gt;0,INDEX(挂机升级突破!$AH$35:$AH$55,卡牌消耗!L335),"")</f>
        <v/>
      </c>
    </row>
    <row r="336" spans="9:21" ht="16.5" x14ac:dyDescent="0.2">
      <c r="I336" s="35">
        <v>300</v>
      </c>
      <c r="J336" s="15">
        <f t="shared" si="21"/>
        <v>1102015</v>
      </c>
      <c r="K336" s="15">
        <f t="shared" si="22"/>
        <v>2</v>
      </c>
      <c r="L336" s="15">
        <f t="shared" si="24"/>
        <v>6</v>
      </c>
      <c r="M336" s="15" t="str">
        <f t="shared" si="23"/>
        <v>红</v>
      </c>
      <c r="N336" s="15" t="str">
        <f t="shared" si="25"/>
        <v>金币</v>
      </c>
      <c r="O336" s="15">
        <f>IF(L336&gt;1,INDEX(挂机升级突破!$AI$35:$AI$55,卡牌消耗!L336),"")</f>
        <v>53000</v>
      </c>
      <c r="P336" s="15" t="str">
        <f>IF(L336&gt;1,INDEX(价值概述!$A$4:$A$8,INDEX(挂机升级突破!$W$35:$W$55,卡牌消耗!L336)),"")</f>
        <v>蓝色基础材料</v>
      </c>
      <c r="Q336" s="15">
        <f>IF(L336&gt;1,INDEX(挂机升级突破!$Z$35:$AD$55,卡牌消耗!L336,INDEX(挂机升级突破!$W$35:$W$55,卡牌消耗!L336)),"")</f>
        <v>70</v>
      </c>
      <c r="R336" s="15" t="str">
        <f>IF(INDEX(挂机升级突破!$X$35:$X$55,卡牌消耗!L336)&gt;0,INDEX($G$2:$I$2,INDEX(挂机升级突破!$X$35:$X$55,卡牌消耗!L336))&amp;M336,"")</f>
        <v>初级红</v>
      </c>
      <c r="S336" s="15">
        <f>IF(R336="","",INDEX(挂机升级突破!$AE$35:$AG$55,卡牌消耗!L336,INDEX(挂机升级突破!$X$35:$X$55,卡牌消耗!L336)))</f>
        <v>85</v>
      </c>
      <c r="T336" s="15" t="str">
        <f>IF(INDEX(挂机升级突破!$Y$35:$Y$55,卡牌消耗!L336)&gt;0,"灵玉","")</f>
        <v/>
      </c>
      <c r="U336" s="15" t="str">
        <f>IF(INDEX(挂机升级突破!$Y$35:$Y$55,卡牌消耗!L336)&gt;0,INDEX(挂机升级突破!$AH$35:$AH$55,卡牌消耗!L336),"")</f>
        <v/>
      </c>
    </row>
    <row r="337" spans="9:21" ht="16.5" x14ac:dyDescent="0.2">
      <c r="I337" s="35">
        <v>301</v>
      </c>
      <c r="J337" s="15">
        <f t="shared" si="21"/>
        <v>1102015</v>
      </c>
      <c r="K337" s="15">
        <f t="shared" si="22"/>
        <v>2</v>
      </c>
      <c r="L337" s="15">
        <f t="shared" si="24"/>
        <v>7</v>
      </c>
      <c r="M337" s="15" t="str">
        <f t="shared" si="23"/>
        <v>红</v>
      </c>
      <c r="N337" s="15" t="str">
        <f t="shared" si="25"/>
        <v>金币</v>
      </c>
      <c r="O337" s="15">
        <f>IF(L337&gt;1,INDEX(挂机升级突破!$AI$35:$AI$55,卡牌消耗!L337),"")</f>
        <v>59500</v>
      </c>
      <c r="P337" s="15" t="str">
        <f>IF(L337&gt;1,INDEX(价值概述!$A$4:$A$8,INDEX(挂机升级突破!$W$35:$W$55,卡牌消耗!L337)),"")</f>
        <v>蓝色基础材料</v>
      </c>
      <c r="Q337" s="15">
        <f>IF(L337&gt;1,INDEX(挂机升级突破!$Z$35:$AD$55,卡牌消耗!L337,INDEX(挂机升级突破!$W$35:$W$55,卡牌消耗!L337)),"")</f>
        <v>110</v>
      </c>
      <c r="R337" s="15" t="str">
        <f>IF(INDEX(挂机升级突破!$X$35:$X$55,卡牌消耗!L337)&gt;0,INDEX($G$2:$I$2,INDEX(挂机升级突破!$X$35:$X$55,卡牌消耗!L337))&amp;M337,"")</f>
        <v>初级红</v>
      </c>
      <c r="S337" s="15">
        <f>IF(R337="","",INDEX(挂机升级突破!$AE$35:$AG$55,卡牌消耗!L337,INDEX(挂机升级突破!$X$35:$X$55,卡牌消耗!L337)))</f>
        <v>110</v>
      </c>
      <c r="T337" s="15" t="str">
        <f>IF(INDEX(挂机升级突破!$Y$35:$Y$55,卡牌消耗!L337)&gt;0,"灵玉","")</f>
        <v/>
      </c>
      <c r="U337" s="15" t="str">
        <f>IF(INDEX(挂机升级突破!$Y$35:$Y$55,卡牌消耗!L337)&gt;0,INDEX(挂机升级突破!$AH$35:$AH$55,卡牌消耗!L337),"")</f>
        <v/>
      </c>
    </row>
    <row r="338" spans="9:21" ht="16.5" x14ac:dyDescent="0.2">
      <c r="I338" s="35">
        <v>302</v>
      </c>
      <c r="J338" s="15">
        <f t="shared" si="21"/>
        <v>1102015</v>
      </c>
      <c r="K338" s="15">
        <f t="shared" si="22"/>
        <v>2</v>
      </c>
      <c r="L338" s="15">
        <f t="shared" si="24"/>
        <v>8</v>
      </c>
      <c r="M338" s="15" t="str">
        <f t="shared" si="23"/>
        <v>红</v>
      </c>
      <c r="N338" s="15" t="str">
        <f t="shared" si="25"/>
        <v>金币</v>
      </c>
      <c r="O338" s="15">
        <f>IF(L338&gt;1,INDEX(挂机升级突破!$AI$35:$AI$55,卡牌消耗!L338),"")</f>
        <v>65500</v>
      </c>
      <c r="P338" s="15" t="str">
        <f>IF(L338&gt;1,INDEX(价值概述!$A$4:$A$8,INDEX(挂机升级突破!$W$35:$W$55,卡牌消耗!L338)),"")</f>
        <v>蓝色基础材料</v>
      </c>
      <c r="Q338" s="15">
        <f>IF(L338&gt;1,INDEX(挂机升级突破!$Z$35:$AD$55,卡牌消耗!L338,INDEX(挂机升级突破!$W$35:$W$55,卡牌消耗!L338)),"")</f>
        <v>145</v>
      </c>
      <c r="R338" s="15" t="str">
        <f>IF(INDEX(挂机升级突破!$X$35:$X$55,卡牌消耗!L338)&gt;0,INDEX($G$2:$I$2,INDEX(挂机升级突破!$X$35:$X$55,卡牌消耗!L338))&amp;M338,"")</f>
        <v>初级红</v>
      </c>
      <c r="S338" s="15">
        <f>IF(R338="","",INDEX(挂机升级突破!$AE$35:$AG$55,卡牌消耗!L338,INDEX(挂机升级突破!$X$35:$X$55,卡牌消耗!L338)))</f>
        <v>130</v>
      </c>
      <c r="T338" s="15" t="str">
        <f>IF(INDEX(挂机升级突破!$Y$35:$Y$55,卡牌消耗!L338)&gt;0,"灵玉","")</f>
        <v/>
      </c>
      <c r="U338" s="15" t="str">
        <f>IF(INDEX(挂机升级突破!$Y$35:$Y$55,卡牌消耗!L338)&gt;0,INDEX(挂机升级突破!$AH$35:$AH$55,卡牌消耗!L338),"")</f>
        <v/>
      </c>
    </row>
    <row r="339" spans="9:21" ht="16.5" x14ac:dyDescent="0.2">
      <c r="I339" s="35">
        <v>303</v>
      </c>
      <c r="J339" s="15">
        <f t="shared" si="21"/>
        <v>1102015</v>
      </c>
      <c r="K339" s="15">
        <f t="shared" si="22"/>
        <v>2</v>
      </c>
      <c r="L339" s="15">
        <f t="shared" si="24"/>
        <v>9</v>
      </c>
      <c r="M339" s="15" t="str">
        <f t="shared" si="23"/>
        <v>红</v>
      </c>
      <c r="N339" s="15" t="str">
        <f t="shared" si="25"/>
        <v>金币</v>
      </c>
      <c r="O339" s="15">
        <f>IF(L339&gt;1,INDEX(挂机升级突破!$AI$35:$AI$55,卡牌消耗!L339),"")</f>
        <v>76000</v>
      </c>
      <c r="P339" s="15" t="str">
        <f>IF(L339&gt;1,INDEX(价值概述!$A$4:$A$8,INDEX(挂机升级突破!$W$35:$W$55,卡牌消耗!L339)),"")</f>
        <v>紫色基础材料</v>
      </c>
      <c r="Q339" s="15">
        <f>IF(L339&gt;1,INDEX(挂机升级突破!$Z$35:$AD$55,卡牌消耗!L339,INDEX(挂机升级突破!$W$35:$W$55,卡牌消耗!L339)),"")</f>
        <v>70</v>
      </c>
      <c r="R339" s="15" t="str">
        <f>IF(INDEX(挂机升级突破!$X$35:$X$55,卡牌消耗!L339)&gt;0,INDEX($G$2:$I$2,INDEX(挂机升级突破!$X$35:$X$55,卡牌消耗!L339))&amp;M339,"")</f>
        <v>中级红</v>
      </c>
      <c r="S339" s="15">
        <f>IF(R339="","",INDEX(挂机升级突破!$AE$35:$AG$55,卡牌消耗!L339,INDEX(挂机升级突破!$X$35:$X$55,卡牌消耗!L339)))</f>
        <v>55</v>
      </c>
      <c r="T339" s="15" t="str">
        <f>IF(INDEX(挂机升级突破!$Y$35:$Y$55,卡牌消耗!L339)&gt;0,"灵玉","")</f>
        <v/>
      </c>
      <c r="U339" s="15" t="str">
        <f>IF(INDEX(挂机升级突破!$Y$35:$Y$55,卡牌消耗!L339)&gt;0,INDEX(挂机升级突破!$AH$35:$AH$55,卡牌消耗!L339),"")</f>
        <v/>
      </c>
    </row>
    <row r="340" spans="9:21" ht="16.5" x14ac:dyDescent="0.2">
      <c r="I340" s="35">
        <v>304</v>
      </c>
      <c r="J340" s="15">
        <f t="shared" si="21"/>
        <v>1102015</v>
      </c>
      <c r="K340" s="15">
        <f t="shared" si="22"/>
        <v>2</v>
      </c>
      <c r="L340" s="15">
        <f t="shared" si="24"/>
        <v>10</v>
      </c>
      <c r="M340" s="15" t="str">
        <f t="shared" si="23"/>
        <v>红</v>
      </c>
      <c r="N340" s="15" t="str">
        <f t="shared" si="25"/>
        <v>金币</v>
      </c>
      <c r="O340" s="15">
        <f>IF(L340&gt;1,INDEX(挂机升级突破!$AI$35:$AI$55,卡牌消耗!L340),"")</f>
        <v>83000</v>
      </c>
      <c r="P340" s="15" t="str">
        <f>IF(L340&gt;1,INDEX(价值概述!$A$4:$A$8,INDEX(挂机升级突破!$W$35:$W$55,卡牌消耗!L340)),"")</f>
        <v>紫色基础材料</v>
      </c>
      <c r="Q340" s="15">
        <f>IF(L340&gt;1,INDEX(挂机升级突破!$Z$35:$AD$55,卡牌消耗!L340,INDEX(挂机升级突破!$W$35:$W$55,卡牌消耗!L340)),"")</f>
        <v>140</v>
      </c>
      <c r="R340" s="15" t="str">
        <f>IF(INDEX(挂机升级突破!$X$35:$X$55,卡牌消耗!L340)&gt;0,INDEX($G$2:$I$2,INDEX(挂机升级突破!$X$35:$X$55,卡牌消耗!L340))&amp;M340,"")</f>
        <v>中级红</v>
      </c>
      <c r="S340" s="15">
        <f>IF(R340="","",INDEX(挂机升级突破!$AE$35:$AG$55,卡牌消耗!L340,INDEX(挂机升级突破!$X$35:$X$55,卡牌消耗!L340)))</f>
        <v>95</v>
      </c>
      <c r="T340" s="15" t="str">
        <f>IF(INDEX(挂机升级突破!$Y$35:$Y$55,卡牌消耗!L340)&gt;0,"灵玉","")</f>
        <v/>
      </c>
      <c r="U340" s="15" t="str">
        <f>IF(INDEX(挂机升级突破!$Y$35:$Y$55,卡牌消耗!L340)&gt;0,INDEX(挂机升级突破!$AH$35:$AH$55,卡牌消耗!L340),"")</f>
        <v/>
      </c>
    </row>
    <row r="341" spans="9:21" ht="16.5" x14ac:dyDescent="0.2">
      <c r="I341" s="35">
        <v>305</v>
      </c>
      <c r="J341" s="15">
        <f t="shared" si="21"/>
        <v>1102015</v>
      </c>
      <c r="K341" s="15">
        <f t="shared" si="22"/>
        <v>2</v>
      </c>
      <c r="L341" s="15">
        <f t="shared" si="24"/>
        <v>11</v>
      </c>
      <c r="M341" s="15" t="str">
        <f t="shared" si="23"/>
        <v>红</v>
      </c>
      <c r="N341" s="15" t="str">
        <f t="shared" si="25"/>
        <v>金币</v>
      </c>
      <c r="O341" s="15">
        <f>IF(L341&gt;1,INDEX(挂机升级突破!$AI$35:$AI$55,卡牌消耗!L341),"")</f>
        <v>90000</v>
      </c>
      <c r="P341" s="15" t="str">
        <f>IF(L341&gt;1,INDEX(价值概述!$A$4:$A$8,INDEX(挂机升级突破!$W$35:$W$55,卡牌消耗!L341)),"")</f>
        <v>紫色基础材料</v>
      </c>
      <c r="Q341" s="15">
        <f>IF(L341&gt;1,INDEX(挂机升级突破!$Z$35:$AD$55,卡牌消耗!L341,INDEX(挂机升级突破!$W$35:$W$55,卡牌消耗!L341)),"")</f>
        <v>215</v>
      </c>
      <c r="R341" s="15" t="str">
        <f>IF(INDEX(挂机升级突破!$X$35:$X$55,卡牌消耗!L341)&gt;0,INDEX($G$2:$I$2,INDEX(挂机升级突破!$X$35:$X$55,卡牌消耗!L341))&amp;M341,"")</f>
        <v>中级红</v>
      </c>
      <c r="S341" s="15">
        <f>IF(R341="","",INDEX(挂机升级突破!$AE$35:$AG$55,卡牌消耗!L341,INDEX(挂机升级突破!$X$35:$X$55,卡牌消耗!L341)))</f>
        <v>145</v>
      </c>
      <c r="T341" s="15" t="str">
        <f>IF(INDEX(挂机升级突破!$Y$35:$Y$55,卡牌消耗!L341)&gt;0,"灵玉","")</f>
        <v/>
      </c>
      <c r="U341" s="15" t="str">
        <f>IF(INDEX(挂机升级突破!$Y$35:$Y$55,卡牌消耗!L341)&gt;0,INDEX(挂机升级突破!$AH$35:$AH$55,卡牌消耗!L341),"")</f>
        <v/>
      </c>
    </row>
    <row r="342" spans="9:21" ht="16.5" x14ac:dyDescent="0.2">
      <c r="I342" s="35">
        <v>306</v>
      </c>
      <c r="J342" s="15">
        <f t="shared" si="21"/>
        <v>1102015</v>
      </c>
      <c r="K342" s="15">
        <f t="shared" si="22"/>
        <v>2</v>
      </c>
      <c r="L342" s="15">
        <f t="shared" si="24"/>
        <v>12</v>
      </c>
      <c r="M342" s="15" t="str">
        <f t="shared" si="23"/>
        <v>红</v>
      </c>
      <c r="N342" s="15" t="str">
        <f t="shared" si="25"/>
        <v>金币</v>
      </c>
      <c r="O342" s="15">
        <f>IF(L342&gt;1,INDEX(挂机升级突破!$AI$35:$AI$55,卡牌消耗!L342),"")</f>
        <v>97000</v>
      </c>
      <c r="P342" s="15" t="str">
        <f>IF(L342&gt;1,INDEX(价值概述!$A$4:$A$8,INDEX(挂机升级突破!$W$35:$W$55,卡牌消耗!L342)),"")</f>
        <v>紫色基础材料</v>
      </c>
      <c r="Q342" s="15">
        <f>IF(L342&gt;1,INDEX(挂机升级突破!$Z$35:$AD$55,卡牌消耗!L342,INDEX(挂机升级突破!$W$35:$W$55,卡牌消耗!L342)),"")</f>
        <v>285</v>
      </c>
      <c r="R342" s="15" t="str">
        <f>IF(INDEX(挂机升级突破!$X$35:$X$55,卡牌消耗!L342)&gt;0,INDEX($G$2:$I$2,INDEX(挂机升级突破!$X$35:$X$55,卡牌消耗!L342))&amp;M342,"")</f>
        <v>中级红</v>
      </c>
      <c r="S342" s="15">
        <f>IF(R342="","",INDEX(挂机升级突破!$AE$35:$AG$55,卡牌消耗!L342,INDEX(挂机升级突破!$X$35:$X$55,卡牌消耗!L342)))</f>
        <v>185</v>
      </c>
      <c r="T342" s="15" t="str">
        <f>IF(INDEX(挂机升级突破!$Y$35:$Y$55,卡牌消耗!L342)&gt;0,"灵玉","")</f>
        <v/>
      </c>
      <c r="U342" s="15" t="str">
        <f>IF(INDEX(挂机升级突破!$Y$35:$Y$55,卡牌消耗!L342)&gt;0,INDEX(挂机升级突破!$AH$35:$AH$55,卡牌消耗!L342),"")</f>
        <v/>
      </c>
    </row>
    <row r="343" spans="9:21" ht="16.5" x14ac:dyDescent="0.2">
      <c r="I343" s="35">
        <v>307</v>
      </c>
      <c r="J343" s="15">
        <f t="shared" si="21"/>
        <v>1102015</v>
      </c>
      <c r="K343" s="15">
        <f t="shared" si="22"/>
        <v>2</v>
      </c>
      <c r="L343" s="15">
        <f t="shared" si="24"/>
        <v>13</v>
      </c>
      <c r="M343" s="15" t="str">
        <f t="shared" si="23"/>
        <v>红</v>
      </c>
      <c r="N343" s="15" t="str">
        <f t="shared" si="25"/>
        <v>金币</v>
      </c>
      <c r="O343" s="15">
        <f>IF(L343&gt;1,INDEX(挂机升级突破!$AI$35:$AI$55,卡牌消耗!L343),"")</f>
        <v>122000</v>
      </c>
      <c r="P343" s="15" t="str">
        <f>IF(L343&gt;1,INDEX(价值概述!$A$4:$A$8,INDEX(挂机升级突破!$W$35:$W$55,卡牌消耗!L343)),"")</f>
        <v>橙色基础材料</v>
      </c>
      <c r="Q343" s="15">
        <f>IF(L343&gt;1,INDEX(挂机升级突破!$Z$35:$AD$55,卡牌消耗!L343,INDEX(挂机升级突破!$W$35:$W$55,卡牌消耗!L343)),"")</f>
        <v>115</v>
      </c>
      <c r="R343" s="15" t="str">
        <f>IF(INDEX(挂机升级突破!$X$35:$X$55,卡牌消耗!L343)&gt;0,INDEX($G$2:$I$2,INDEX(挂机升级突破!$X$35:$X$55,卡牌消耗!L343))&amp;M343,"")</f>
        <v>中级红</v>
      </c>
      <c r="S343" s="15">
        <f>IF(R343="","",INDEX(挂机升级突破!$AE$35:$AG$55,卡牌消耗!L343,INDEX(挂机升级突破!$X$35:$X$55,卡牌消耗!L343)))</f>
        <v>225</v>
      </c>
      <c r="T343" s="15" t="str">
        <f>IF(INDEX(挂机升级突破!$Y$35:$Y$55,卡牌消耗!L343)&gt;0,"灵玉","")</f>
        <v/>
      </c>
      <c r="U343" s="15" t="str">
        <f>IF(INDEX(挂机升级突破!$Y$35:$Y$55,卡牌消耗!L343)&gt;0,INDEX(挂机升级突破!$AH$35:$AH$55,卡牌消耗!L343),"")</f>
        <v/>
      </c>
    </row>
    <row r="344" spans="9:21" ht="16.5" x14ac:dyDescent="0.2">
      <c r="I344" s="35">
        <v>308</v>
      </c>
      <c r="J344" s="15">
        <f t="shared" si="21"/>
        <v>1102015</v>
      </c>
      <c r="K344" s="15">
        <f t="shared" si="22"/>
        <v>2</v>
      </c>
      <c r="L344" s="15">
        <f t="shared" si="24"/>
        <v>14</v>
      </c>
      <c r="M344" s="15" t="str">
        <f t="shared" si="23"/>
        <v>红</v>
      </c>
      <c r="N344" s="15" t="str">
        <f t="shared" si="25"/>
        <v>金币</v>
      </c>
      <c r="O344" s="15">
        <f>IF(L344&gt;1,INDEX(挂机升级突破!$AI$35:$AI$55,卡牌消耗!L344),"")</f>
        <v>162500</v>
      </c>
      <c r="P344" s="15" t="str">
        <f>IF(L344&gt;1,INDEX(价值概述!$A$4:$A$8,INDEX(挂机升级突破!$W$35:$W$55,卡牌消耗!L344)),"")</f>
        <v>橙色基础材料</v>
      </c>
      <c r="Q344" s="15">
        <f>IF(L344&gt;1,INDEX(挂机升级突破!$Z$35:$AD$55,卡牌消耗!L344,INDEX(挂机升级突破!$W$35:$W$55,卡牌消耗!L344)),"")</f>
        <v>235</v>
      </c>
      <c r="R344" s="15" t="str">
        <f>IF(INDEX(挂机升级突破!$X$35:$X$55,卡牌消耗!L344)&gt;0,INDEX($G$2:$I$2,INDEX(挂机升级突破!$X$35:$X$55,卡牌消耗!L344))&amp;M344,"")</f>
        <v>中级红</v>
      </c>
      <c r="S344" s="15">
        <f>IF(R344="","",INDEX(挂机升级突破!$AE$35:$AG$55,卡牌消耗!L344,INDEX(挂机升级突破!$X$35:$X$55,卡牌消耗!L344)))</f>
        <v>265</v>
      </c>
      <c r="T344" s="15" t="str">
        <f>IF(INDEX(挂机升级突破!$Y$35:$Y$55,卡牌消耗!L344)&gt;0,"灵玉","")</f>
        <v/>
      </c>
      <c r="U344" s="15" t="str">
        <f>IF(INDEX(挂机升级突破!$Y$35:$Y$55,卡牌消耗!L344)&gt;0,INDEX(挂机升级突破!$AH$35:$AH$55,卡牌消耗!L344),"")</f>
        <v/>
      </c>
    </row>
    <row r="345" spans="9:21" ht="16.5" x14ac:dyDescent="0.2">
      <c r="I345" s="35">
        <v>309</v>
      </c>
      <c r="J345" s="15">
        <f t="shared" si="21"/>
        <v>1102015</v>
      </c>
      <c r="K345" s="15">
        <f t="shared" si="22"/>
        <v>2</v>
      </c>
      <c r="L345" s="15">
        <f t="shared" si="24"/>
        <v>15</v>
      </c>
      <c r="M345" s="15" t="str">
        <f t="shared" si="23"/>
        <v>红</v>
      </c>
      <c r="N345" s="15" t="str">
        <f t="shared" si="25"/>
        <v>金币</v>
      </c>
      <c r="O345" s="15">
        <f>IF(L345&gt;1,INDEX(挂机升级突破!$AI$35:$AI$55,卡牌消耗!L345),"")</f>
        <v>190000</v>
      </c>
      <c r="P345" s="15" t="str">
        <f>IF(L345&gt;1,INDEX(价值概述!$A$4:$A$8,INDEX(挂机升级突破!$W$35:$W$55,卡牌消耗!L345)),"")</f>
        <v>橙色基础材料</v>
      </c>
      <c r="Q345" s="15">
        <f>IF(L345&gt;1,INDEX(挂机升级突破!$Z$35:$AD$55,卡牌消耗!L345,INDEX(挂机升级突破!$W$35:$W$55,卡牌消耗!L345)),"")</f>
        <v>355</v>
      </c>
      <c r="R345" s="15" t="str">
        <f>IF(INDEX(挂机升级突破!$X$35:$X$55,卡牌消耗!L345)&gt;0,INDEX($G$2:$I$2,INDEX(挂机升级突破!$X$35:$X$55,卡牌消耗!L345))&amp;M345,"")</f>
        <v>高级红</v>
      </c>
      <c r="S345" s="15">
        <f>IF(R345="","",INDEX(挂机升级突破!$AE$35:$AG$55,卡牌消耗!L345,INDEX(挂机升级突破!$X$35:$X$55,卡牌消耗!L345)))</f>
        <v>45</v>
      </c>
      <c r="T345" s="15" t="str">
        <f>IF(INDEX(挂机升级突破!$Y$35:$Y$55,卡牌消耗!L345)&gt;0,"灵玉","")</f>
        <v/>
      </c>
      <c r="U345" s="15" t="str">
        <f>IF(INDEX(挂机升级突破!$Y$35:$Y$55,卡牌消耗!L345)&gt;0,INDEX(挂机升级突破!$AH$35:$AH$55,卡牌消耗!L345),"")</f>
        <v/>
      </c>
    </row>
    <row r="346" spans="9:21" ht="16.5" x14ac:dyDescent="0.2">
      <c r="I346" s="35">
        <v>310</v>
      </c>
      <c r="J346" s="15">
        <f t="shared" si="21"/>
        <v>1102015</v>
      </c>
      <c r="K346" s="15">
        <f t="shared" si="22"/>
        <v>2</v>
      </c>
      <c r="L346" s="15">
        <f t="shared" si="24"/>
        <v>16</v>
      </c>
      <c r="M346" s="15" t="str">
        <f t="shared" si="23"/>
        <v>红</v>
      </c>
      <c r="N346" s="15" t="str">
        <f t="shared" si="25"/>
        <v>金币</v>
      </c>
      <c r="O346" s="15">
        <f>IF(L346&gt;1,INDEX(挂机升级突破!$AI$35:$AI$55,卡牌消耗!L346),"")</f>
        <v>219000</v>
      </c>
      <c r="P346" s="15" t="str">
        <f>IF(L346&gt;1,INDEX(价值概述!$A$4:$A$8,INDEX(挂机升级突破!$W$35:$W$55,卡牌消耗!L346)),"")</f>
        <v>橙色基础材料</v>
      </c>
      <c r="Q346" s="15">
        <f>IF(L346&gt;1,INDEX(挂机升级突破!$Z$35:$AD$55,卡牌消耗!L346,INDEX(挂机升级突破!$W$35:$W$55,卡牌消耗!L346)),"")</f>
        <v>475</v>
      </c>
      <c r="R346" s="15" t="str">
        <f>IF(INDEX(挂机升级突破!$X$35:$X$55,卡牌消耗!L346)&gt;0,INDEX($G$2:$I$2,INDEX(挂机升级突破!$X$35:$X$55,卡牌消耗!L346))&amp;M346,"")</f>
        <v>高级红</v>
      </c>
      <c r="S346" s="15">
        <f>IF(R346="","",INDEX(挂机升级突破!$AE$35:$AG$55,卡牌消耗!L346,INDEX(挂机升级突破!$X$35:$X$55,卡牌消耗!L346)))</f>
        <v>70</v>
      </c>
      <c r="T346" s="15" t="str">
        <f>IF(INDEX(挂机升级突破!$Y$35:$Y$55,卡牌消耗!L346)&gt;0,"灵玉","")</f>
        <v/>
      </c>
      <c r="U346" s="15" t="str">
        <f>IF(INDEX(挂机升级突破!$Y$35:$Y$55,卡牌消耗!L346)&gt;0,INDEX(挂机升级突破!$AH$35:$AH$55,卡牌消耗!L346),"")</f>
        <v/>
      </c>
    </row>
    <row r="347" spans="9:21" ht="16.5" x14ac:dyDescent="0.2">
      <c r="I347" s="35">
        <v>311</v>
      </c>
      <c r="J347" s="15">
        <f t="shared" si="21"/>
        <v>1102015</v>
      </c>
      <c r="K347" s="15">
        <f t="shared" si="22"/>
        <v>2</v>
      </c>
      <c r="L347" s="15">
        <f t="shared" si="24"/>
        <v>17</v>
      </c>
      <c r="M347" s="15" t="str">
        <f t="shared" si="23"/>
        <v>红</v>
      </c>
      <c r="N347" s="15" t="str">
        <f t="shared" si="25"/>
        <v>金币</v>
      </c>
      <c r="O347" s="15">
        <f>IF(L347&gt;1,INDEX(挂机升级突破!$AI$35:$AI$55,卡牌消耗!L347),"")</f>
        <v>228000</v>
      </c>
      <c r="P347" s="15" t="str">
        <f>IF(L347&gt;1,INDEX(价值概述!$A$4:$A$8,INDEX(挂机升级突破!$W$35:$W$55,卡牌消耗!L347)),"")</f>
        <v>红色基础材料</v>
      </c>
      <c r="Q347" s="15">
        <f>IF(L347&gt;1,INDEX(挂机升级突破!$Z$35:$AD$55,卡牌消耗!L347,INDEX(挂机升级突破!$W$35:$W$55,卡牌消耗!L347)),"")</f>
        <v>45</v>
      </c>
      <c r="R347" s="15" t="str">
        <f>IF(INDEX(挂机升级突破!$X$35:$X$55,卡牌消耗!L347)&gt;0,INDEX($G$2:$I$2,INDEX(挂机升级突破!$X$35:$X$55,卡牌消耗!L347))&amp;M347,"")</f>
        <v>高级红</v>
      </c>
      <c r="S347" s="15">
        <f>IF(R347="","",INDEX(挂机升级突破!$AE$35:$AG$55,卡牌消耗!L347,INDEX(挂机升级突破!$X$35:$X$55,卡牌消耗!L347)))</f>
        <v>100</v>
      </c>
      <c r="T347" s="15" t="str">
        <f>IF(INDEX(挂机升级突破!$Y$35:$Y$55,卡牌消耗!L347)&gt;0,"灵玉","")</f>
        <v>灵玉</v>
      </c>
      <c r="U347" s="15">
        <f>IF(INDEX(挂机升级突破!$Y$35:$Y$55,卡牌消耗!L347)&gt;0,INDEX(挂机升级突破!$AH$35:$AH$55,卡牌消耗!L347),"")</f>
        <v>25</v>
      </c>
    </row>
    <row r="348" spans="9:21" ht="16.5" x14ac:dyDescent="0.2">
      <c r="I348" s="35">
        <v>312</v>
      </c>
      <c r="J348" s="15">
        <f t="shared" si="21"/>
        <v>1102015</v>
      </c>
      <c r="K348" s="15">
        <f t="shared" si="22"/>
        <v>2</v>
      </c>
      <c r="L348" s="15">
        <f t="shared" si="24"/>
        <v>18</v>
      </c>
      <c r="M348" s="15" t="str">
        <f t="shared" si="23"/>
        <v>红</v>
      </c>
      <c r="N348" s="15" t="str">
        <f t="shared" si="25"/>
        <v>金币</v>
      </c>
      <c r="O348" s="15">
        <f>IF(L348&gt;1,INDEX(挂机升级突破!$AI$35:$AI$55,卡牌消耗!L348),"")</f>
        <v>319500</v>
      </c>
      <c r="P348" s="15" t="str">
        <f>IF(L348&gt;1,INDEX(价值概述!$A$4:$A$8,INDEX(挂机升级突破!$W$35:$W$55,卡牌消耗!L348)),"")</f>
        <v>红色基础材料</v>
      </c>
      <c r="Q348" s="15">
        <f>IF(L348&gt;1,INDEX(挂机升级突破!$Z$35:$AD$55,卡牌消耗!L348,INDEX(挂机升级突破!$W$35:$W$55,卡牌消耗!L348)),"")</f>
        <v>65</v>
      </c>
      <c r="R348" s="15" t="str">
        <f>IF(INDEX(挂机升级突破!$X$35:$X$55,卡牌消耗!L348)&gt;0,INDEX($G$2:$I$2,INDEX(挂机升级突破!$X$35:$X$55,卡牌消耗!L348))&amp;M348,"")</f>
        <v>高级红</v>
      </c>
      <c r="S348" s="15">
        <f>IF(R348="","",INDEX(挂机升级突破!$AE$35:$AG$55,卡牌消耗!L348,INDEX(挂机升级突破!$X$35:$X$55,卡牌消耗!L348)))</f>
        <v>125</v>
      </c>
      <c r="T348" s="15" t="str">
        <f>IF(INDEX(挂机升级突破!$Y$35:$Y$55,卡牌消耗!L348)&gt;0,"灵玉","")</f>
        <v>灵玉</v>
      </c>
      <c r="U348" s="15">
        <f>IF(INDEX(挂机升级突破!$Y$35:$Y$55,卡牌消耗!L348)&gt;0,INDEX(挂机升级突破!$AH$35:$AH$55,卡牌消耗!L348),"")</f>
        <v>35</v>
      </c>
    </row>
    <row r="349" spans="9:21" ht="16.5" x14ac:dyDescent="0.2">
      <c r="I349" s="35">
        <v>313</v>
      </c>
      <c r="J349" s="15">
        <f t="shared" si="21"/>
        <v>1102015</v>
      </c>
      <c r="K349" s="15">
        <f t="shared" si="22"/>
        <v>2</v>
      </c>
      <c r="L349" s="15">
        <f t="shared" si="24"/>
        <v>19</v>
      </c>
      <c r="M349" s="15" t="str">
        <f t="shared" si="23"/>
        <v>红</v>
      </c>
      <c r="N349" s="15" t="str">
        <f t="shared" si="25"/>
        <v>金币</v>
      </c>
      <c r="O349" s="15">
        <f>IF(L349&gt;1,INDEX(挂机升级突破!$AI$35:$AI$55,卡牌消耗!L349),"")</f>
        <v>426000</v>
      </c>
      <c r="P349" s="15" t="str">
        <f>IF(L349&gt;1,INDEX(价值概述!$A$4:$A$8,INDEX(挂机升级突破!$W$35:$W$55,卡牌消耗!L349)),"")</f>
        <v>红色基础材料</v>
      </c>
      <c r="Q349" s="15">
        <f>IF(L349&gt;1,INDEX(挂机升级突破!$Z$35:$AD$55,卡牌消耗!L349,INDEX(挂机升级突破!$W$35:$W$55,卡牌消耗!L349)),"")</f>
        <v>90</v>
      </c>
      <c r="R349" s="15" t="str">
        <f>IF(INDEX(挂机升级突破!$X$35:$X$55,卡牌消耗!L349)&gt;0,INDEX($G$2:$I$2,INDEX(挂机升级突破!$X$35:$X$55,卡牌消耗!L349))&amp;M349,"")</f>
        <v>高级红</v>
      </c>
      <c r="S349" s="15">
        <f>IF(R349="","",INDEX(挂机升级突破!$AE$35:$AG$55,卡牌消耗!L349,INDEX(挂机升级突破!$X$35:$X$55,卡牌消耗!L349)))</f>
        <v>155</v>
      </c>
      <c r="T349" s="15" t="str">
        <f>IF(INDEX(挂机升级突破!$Y$35:$Y$55,卡牌消耗!L349)&gt;0,"灵玉","")</f>
        <v>灵玉</v>
      </c>
      <c r="U349" s="15">
        <f>IF(INDEX(挂机升级突破!$Y$35:$Y$55,卡牌消耗!L349)&gt;0,INDEX(挂机升级突破!$AH$35:$AH$55,卡牌消耗!L349),"")</f>
        <v>50</v>
      </c>
    </row>
    <row r="350" spans="9:21" ht="16.5" x14ac:dyDescent="0.2">
      <c r="I350" s="35">
        <v>314</v>
      </c>
      <c r="J350" s="15">
        <f t="shared" si="21"/>
        <v>1102015</v>
      </c>
      <c r="K350" s="15">
        <f t="shared" si="22"/>
        <v>2</v>
      </c>
      <c r="L350" s="15">
        <f t="shared" si="24"/>
        <v>20</v>
      </c>
      <c r="M350" s="15" t="str">
        <f t="shared" si="23"/>
        <v>红</v>
      </c>
      <c r="N350" s="15" t="str">
        <f t="shared" si="25"/>
        <v>金币</v>
      </c>
      <c r="O350" s="15">
        <f>IF(L350&gt;1,INDEX(挂机升级突破!$AI$35:$AI$55,卡牌消耗!L350),"")</f>
        <v>532500</v>
      </c>
      <c r="P350" s="15" t="str">
        <f>IF(L350&gt;1,INDEX(价值概述!$A$4:$A$8,INDEX(挂机升级突破!$W$35:$W$55,卡牌消耗!L350)),"")</f>
        <v>红色基础材料</v>
      </c>
      <c r="Q350" s="15">
        <f>IF(L350&gt;1,INDEX(挂机升级突破!$Z$35:$AD$55,卡牌消耗!L350,INDEX(挂机升级突破!$W$35:$W$55,卡牌消耗!L350)),"")</f>
        <v>110</v>
      </c>
      <c r="R350" s="15" t="str">
        <f>IF(INDEX(挂机升级突破!$X$35:$X$55,卡牌消耗!L350)&gt;0,INDEX($G$2:$I$2,INDEX(挂机升级突破!$X$35:$X$55,卡牌消耗!L350))&amp;M350,"")</f>
        <v>高级红</v>
      </c>
      <c r="S350" s="15">
        <f>IF(R350="","",INDEX(挂机升级突破!$AE$35:$AG$55,卡牌消耗!L350,INDEX(挂机升级突破!$X$35:$X$55,卡牌消耗!L350)))</f>
        <v>180</v>
      </c>
      <c r="T350" s="15" t="str">
        <f>IF(INDEX(挂机升级突破!$Y$35:$Y$55,卡牌消耗!L350)&gt;0,"灵玉","")</f>
        <v>灵玉</v>
      </c>
      <c r="U350" s="15">
        <f>IF(INDEX(挂机升级突破!$Y$35:$Y$55,卡牌消耗!L350)&gt;0,INDEX(挂机升级突破!$AH$35:$AH$55,卡牌消耗!L350),"")</f>
        <v>65</v>
      </c>
    </row>
    <row r="351" spans="9:21" ht="16.5" x14ac:dyDescent="0.2">
      <c r="I351" s="35">
        <v>315</v>
      </c>
      <c r="J351" s="15">
        <f t="shared" si="21"/>
        <v>1102015</v>
      </c>
      <c r="K351" s="15">
        <f t="shared" si="22"/>
        <v>2</v>
      </c>
      <c r="L351" s="15">
        <f t="shared" si="24"/>
        <v>21</v>
      </c>
      <c r="M351" s="15" t="str">
        <f t="shared" si="23"/>
        <v>红</v>
      </c>
      <c r="N351" s="15" t="str">
        <f t="shared" si="25"/>
        <v>金币</v>
      </c>
      <c r="O351" s="15">
        <f>IF(L351&gt;1,INDEX(挂机升级突破!$AI$35:$AI$55,卡牌消耗!L351),"")</f>
        <v>639000</v>
      </c>
      <c r="P351" s="15" t="str">
        <f>IF(L351&gt;1,INDEX(价值概述!$A$4:$A$8,INDEX(挂机升级突破!$W$35:$W$55,卡牌消耗!L351)),"")</f>
        <v>红色基础材料</v>
      </c>
      <c r="Q351" s="15">
        <f>IF(L351&gt;1,INDEX(挂机升级突破!$Z$35:$AD$55,卡牌消耗!L351,INDEX(挂机升级突破!$W$35:$W$55,卡牌消耗!L351)),"")</f>
        <v>135</v>
      </c>
      <c r="R351" s="15" t="str">
        <f>IF(INDEX(挂机升级突破!$X$35:$X$55,卡牌消耗!L351)&gt;0,INDEX($G$2:$I$2,INDEX(挂机升级突破!$X$35:$X$55,卡牌消耗!L351))&amp;M351,"")</f>
        <v>高级红</v>
      </c>
      <c r="S351" s="15">
        <f>IF(R351="","",INDEX(挂机升级突破!$AE$35:$AG$55,卡牌消耗!L351,INDEX(挂机升级突破!$X$35:$X$55,卡牌消耗!L351)))</f>
        <v>225</v>
      </c>
      <c r="T351" s="15" t="str">
        <f>IF(INDEX(挂机升级突破!$Y$35:$Y$55,卡牌消耗!L351)&gt;0,"灵玉","")</f>
        <v>灵玉</v>
      </c>
      <c r="U351" s="15">
        <f>IF(INDEX(挂机升级突破!$Y$35:$Y$55,卡牌消耗!L351)&gt;0,INDEX(挂机升级突破!$AH$35:$AH$55,卡牌消耗!L351),"")</f>
        <v>75</v>
      </c>
    </row>
    <row r="352" spans="9:21" ht="16.5" x14ac:dyDescent="0.2">
      <c r="I352" s="35">
        <v>316</v>
      </c>
      <c r="J352" s="15">
        <f t="shared" si="21"/>
        <v>1102016</v>
      </c>
      <c r="K352" s="15">
        <f t="shared" si="22"/>
        <v>4</v>
      </c>
      <c r="L352" s="15">
        <f t="shared" si="24"/>
        <v>1</v>
      </c>
      <c r="M352" s="15" t="str">
        <f t="shared" si="23"/>
        <v>黄</v>
      </c>
      <c r="N352" s="15" t="str">
        <f t="shared" si="25"/>
        <v/>
      </c>
      <c r="O352" s="15" t="str">
        <f>IF(L352&gt;1,INDEX(挂机升级突破!$AI$35:$AI$55,卡牌消耗!L352),"")</f>
        <v/>
      </c>
      <c r="P352" s="15" t="str">
        <f>IF(L352&gt;1,INDEX(价值概述!$A$4:$A$8,INDEX(挂机升级突破!$W$35:$W$55,卡牌消耗!L352)),"")</f>
        <v/>
      </c>
      <c r="Q352" s="15" t="str">
        <f>IF(L352&gt;1,INDEX(挂机升级突破!$Z$35:$AD$55,卡牌消耗!L352,INDEX(挂机升级突破!$W$35:$W$55,卡牌消耗!L352)),"")</f>
        <v/>
      </c>
      <c r="R352" s="15" t="str">
        <f>IF(INDEX(挂机升级突破!$X$35:$X$55,卡牌消耗!L352)&gt;0,INDEX($G$2:$I$2,INDEX(挂机升级突破!$X$35:$X$55,卡牌消耗!L352))&amp;M352,"")</f>
        <v/>
      </c>
      <c r="S352" s="15" t="str">
        <f>IF(R352="","",INDEX(挂机升级突破!$AE$35:$AG$55,卡牌消耗!L352,INDEX(挂机升级突破!$X$35:$X$55,卡牌消耗!L352)))</f>
        <v/>
      </c>
      <c r="T352" s="15" t="str">
        <f>IF(INDEX(挂机升级突破!$Y$35:$Y$55,卡牌消耗!L352)&gt;0,"灵玉","")</f>
        <v/>
      </c>
      <c r="U352" s="15" t="str">
        <f>IF(INDEX(挂机升级突破!$Y$35:$Y$55,卡牌消耗!L352)&gt;0,INDEX(挂机升级突破!$AH$35:$AH$55,卡牌消耗!L352),"")</f>
        <v/>
      </c>
    </row>
    <row r="353" spans="9:21" ht="16.5" x14ac:dyDescent="0.2">
      <c r="I353" s="35">
        <v>317</v>
      </c>
      <c r="J353" s="15">
        <f t="shared" si="21"/>
        <v>1102016</v>
      </c>
      <c r="K353" s="15">
        <f t="shared" si="22"/>
        <v>4</v>
      </c>
      <c r="L353" s="15">
        <f t="shared" si="24"/>
        <v>2</v>
      </c>
      <c r="M353" s="15" t="str">
        <f t="shared" si="23"/>
        <v>黄</v>
      </c>
      <c r="N353" s="15" t="str">
        <f t="shared" si="25"/>
        <v>金币</v>
      </c>
      <c r="O353" s="15">
        <f>IF(L353&gt;1,INDEX(挂机升级突破!$AI$35:$AI$55,卡牌消耗!L353),"")</f>
        <v>2500</v>
      </c>
      <c r="P353" s="15" t="str">
        <f>IF(L353&gt;1,INDEX(价值概述!$A$4:$A$8,INDEX(挂机升级突破!$W$35:$W$55,卡牌消耗!L353)),"")</f>
        <v>绿色基础材料</v>
      </c>
      <c r="Q353" s="15">
        <f>IF(L353&gt;1,INDEX(挂机升级突破!$Z$35:$AD$55,卡牌消耗!L353,INDEX(挂机升级突破!$W$35:$W$55,卡牌消耗!L353)),"")</f>
        <v>10</v>
      </c>
      <c r="R353" s="15" t="str">
        <f>IF(INDEX(挂机升级突破!$X$35:$X$55,卡牌消耗!L353)&gt;0,INDEX($G$2:$I$2,INDEX(挂机升级突破!$X$35:$X$55,卡牌消耗!L353))&amp;M353,"")</f>
        <v/>
      </c>
      <c r="S353" s="15" t="str">
        <f>IF(R353="","",INDEX(挂机升级突破!$AE$35:$AG$55,卡牌消耗!L353,INDEX(挂机升级突破!$X$35:$X$55,卡牌消耗!L353)))</f>
        <v/>
      </c>
      <c r="T353" s="15" t="str">
        <f>IF(INDEX(挂机升级突破!$Y$35:$Y$55,卡牌消耗!L353)&gt;0,"灵玉","")</f>
        <v/>
      </c>
      <c r="U353" s="15" t="str">
        <f>IF(INDEX(挂机升级突破!$Y$35:$Y$55,卡牌消耗!L353)&gt;0,INDEX(挂机升级突破!$AH$35:$AH$55,卡牌消耗!L353),"")</f>
        <v/>
      </c>
    </row>
    <row r="354" spans="9:21" ht="16.5" x14ac:dyDescent="0.2">
      <c r="I354" s="35">
        <v>318</v>
      </c>
      <c r="J354" s="15">
        <f t="shared" si="21"/>
        <v>1102016</v>
      </c>
      <c r="K354" s="15">
        <f t="shared" si="22"/>
        <v>4</v>
      </c>
      <c r="L354" s="15">
        <f t="shared" si="24"/>
        <v>3</v>
      </c>
      <c r="M354" s="15" t="str">
        <f t="shared" si="23"/>
        <v>黄</v>
      </c>
      <c r="N354" s="15" t="str">
        <f t="shared" si="25"/>
        <v>金币</v>
      </c>
      <c r="O354" s="15">
        <f>IF(L354&gt;1,INDEX(挂机升级突破!$AI$35:$AI$55,卡牌消耗!L354),"")</f>
        <v>8000</v>
      </c>
      <c r="P354" s="15" t="str">
        <f>IF(L354&gt;1,INDEX(价值概述!$A$4:$A$8,INDEX(挂机升级突破!$W$35:$W$55,卡牌消耗!L354)),"")</f>
        <v>绿色基础材料</v>
      </c>
      <c r="Q354" s="15">
        <f>IF(L354&gt;1,INDEX(挂机升级突破!$Z$35:$AD$55,卡牌消耗!L354,INDEX(挂机升级突破!$W$35:$W$55,卡牌消耗!L354)),"")</f>
        <v>40</v>
      </c>
      <c r="R354" s="15" t="str">
        <f>IF(INDEX(挂机升级突破!$X$35:$X$55,卡牌消耗!L354)&gt;0,INDEX($G$2:$I$2,INDEX(挂机升级突破!$X$35:$X$55,卡牌消耗!L354))&amp;M354,"")</f>
        <v/>
      </c>
      <c r="S354" s="15" t="str">
        <f>IF(R354="","",INDEX(挂机升级突破!$AE$35:$AG$55,卡牌消耗!L354,INDEX(挂机升级突破!$X$35:$X$55,卡牌消耗!L354)))</f>
        <v/>
      </c>
      <c r="T354" s="15" t="str">
        <f>IF(INDEX(挂机升级突破!$Y$35:$Y$55,卡牌消耗!L354)&gt;0,"灵玉","")</f>
        <v/>
      </c>
      <c r="U354" s="15" t="str">
        <f>IF(INDEX(挂机升级突破!$Y$35:$Y$55,卡牌消耗!L354)&gt;0,INDEX(挂机升级突破!$AH$35:$AH$55,卡牌消耗!L354),"")</f>
        <v/>
      </c>
    </row>
    <row r="355" spans="9:21" ht="16.5" x14ac:dyDescent="0.2">
      <c r="I355" s="35">
        <v>319</v>
      </c>
      <c r="J355" s="15">
        <f t="shared" si="21"/>
        <v>1102016</v>
      </c>
      <c r="K355" s="15">
        <f t="shared" si="22"/>
        <v>4</v>
      </c>
      <c r="L355" s="15">
        <f t="shared" si="24"/>
        <v>4</v>
      </c>
      <c r="M355" s="15" t="str">
        <f t="shared" si="23"/>
        <v>黄</v>
      </c>
      <c r="N355" s="15" t="str">
        <f t="shared" si="25"/>
        <v>金币</v>
      </c>
      <c r="O355" s="15">
        <f>IF(L355&gt;1,INDEX(挂机升级突破!$AI$35:$AI$55,卡牌消耗!L355),"")</f>
        <v>16500</v>
      </c>
      <c r="P355" s="15" t="str">
        <f>IF(L355&gt;1,INDEX(价值概述!$A$4:$A$8,INDEX(挂机升级突破!$W$35:$W$55,卡牌消耗!L355)),"")</f>
        <v>绿色基础材料</v>
      </c>
      <c r="Q355" s="15">
        <f>IF(L355&gt;1,INDEX(挂机升级突破!$Z$35:$AD$55,卡牌消耗!L355,INDEX(挂机升级突破!$W$35:$W$55,卡牌消耗!L355)),"")</f>
        <v>80</v>
      </c>
      <c r="R355" s="15" t="str">
        <f>IF(INDEX(挂机升级突破!$X$35:$X$55,卡牌消耗!L355)&gt;0,INDEX($G$2:$I$2,INDEX(挂机升级突破!$X$35:$X$55,卡牌消耗!L355))&amp;M355,"")</f>
        <v>初级黄</v>
      </c>
      <c r="S355" s="15">
        <f>IF(R355="","",INDEX(挂机升级突破!$AE$35:$AG$55,卡牌消耗!L355,INDEX(挂机升级突破!$X$35:$X$55,卡牌消耗!L355)))</f>
        <v>40</v>
      </c>
      <c r="T355" s="15" t="str">
        <f>IF(INDEX(挂机升级突破!$Y$35:$Y$55,卡牌消耗!L355)&gt;0,"灵玉","")</f>
        <v/>
      </c>
      <c r="U355" s="15" t="str">
        <f>IF(INDEX(挂机升级突破!$Y$35:$Y$55,卡牌消耗!L355)&gt;0,INDEX(挂机升级突破!$AH$35:$AH$55,卡牌消耗!L355),"")</f>
        <v/>
      </c>
    </row>
    <row r="356" spans="9:21" ht="16.5" x14ac:dyDescent="0.2">
      <c r="I356" s="35">
        <v>320</v>
      </c>
      <c r="J356" s="15">
        <f t="shared" si="21"/>
        <v>1102016</v>
      </c>
      <c r="K356" s="15">
        <f t="shared" si="22"/>
        <v>4</v>
      </c>
      <c r="L356" s="15">
        <f t="shared" si="24"/>
        <v>5</v>
      </c>
      <c r="M356" s="15" t="str">
        <f t="shared" si="23"/>
        <v>黄</v>
      </c>
      <c r="N356" s="15" t="str">
        <f t="shared" si="25"/>
        <v>金币</v>
      </c>
      <c r="O356" s="15">
        <f>IF(L356&gt;1,INDEX(挂机升级突破!$AI$35:$AI$55,卡牌消耗!L356),"")</f>
        <v>22500</v>
      </c>
      <c r="P356" s="15" t="str">
        <f>IF(L356&gt;1,INDEX(价值概述!$A$4:$A$8,INDEX(挂机升级突破!$W$35:$W$55,卡牌消耗!L356)),"")</f>
        <v>蓝色基础材料</v>
      </c>
      <c r="Q356" s="15">
        <f>IF(L356&gt;1,INDEX(挂机升级突破!$Z$35:$AD$55,卡牌消耗!L356,INDEX(挂机升级突破!$W$35:$W$55,卡牌消耗!L356)),"")</f>
        <v>35</v>
      </c>
      <c r="R356" s="15" t="str">
        <f>IF(INDEX(挂机升级突破!$X$35:$X$55,卡牌消耗!L356)&gt;0,INDEX($G$2:$I$2,INDEX(挂机升级突破!$X$35:$X$55,卡牌消耗!L356))&amp;M356,"")</f>
        <v>初级黄</v>
      </c>
      <c r="S356" s="15">
        <f>IF(R356="","",INDEX(挂机升级突破!$AE$35:$AG$55,卡牌消耗!L356,INDEX(挂机升级突破!$X$35:$X$55,卡牌消耗!L356)))</f>
        <v>65</v>
      </c>
      <c r="T356" s="15" t="str">
        <f>IF(INDEX(挂机升级突破!$Y$35:$Y$55,卡牌消耗!L356)&gt;0,"灵玉","")</f>
        <v/>
      </c>
      <c r="U356" s="15" t="str">
        <f>IF(INDEX(挂机升级突破!$Y$35:$Y$55,卡牌消耗!L356)&gt;0,INDEX(挂机升级突破!$AH$35:$AH$55,卡牌消耗!L356),"")</f>
        <v/>
      </c>
    </row>
    <row r="357" spans="9:21" ht="16.5" x14ac:dyDescent="0.2">
      <c r="I357" s="35">
        <v>321</v>
      </c>
      <c r="J357" s="15">
        <f t="shared" ref="J357:J420" si="26">INDEX($A$13:$A$33,INT((I357-1)/21)+1)</f>
        <v>1102016</v>
      </c>
      <c r="K357" s="15">
        <f t="shared" ref="K357:K420" si="27">VLOOKUP(J357,$A$13:$D$33,3)</f>
        <v>4</v>
      </c>
      <c r="L357" s="15">
        <f t="shared" si="24"/>
        <v>6</v>
      </c>
      <c r="M357" s="15" t="str">
        <f t="shared" ref="M357:M420" si="28">INDEX($J$2:$L$2,INDEX($E$13:$E$33,INT((I357-1)/21)+1))</f>
        <v>黄</v>
      </c>
      <c r="N357" s="15" t="str">
        <f t="shared" si="25"/>
        <v>金币</v>
      </c>
      <c r="O357" s="15">
        <f>IF(L357&gt;1,INDEX(挂机升级突破!$AI$35:$AI$55,卡牌消耗!L357),"")</f>
        <v>53000</v>
      </c>
      <c r="P357" s="15" t="str">
        <f>IF(L357&gt;1,INDEX(价值概述!$A$4:$A$8,INDEX(挂机升级突破!$W$35:$W$55,卡牌消耗!L357)),"")</f>
        <v>蓝色基础材料</v>
      </c>
      <c r="Q357" s="15">
        <f>IF(L357&gt;1,INDEX(挂机升级突破!$Z$35:$AD$55,卡牌消耗!L357,INDEX(挂机升级突破!$W$35:$W$55,卡牌消耗!L357)),"")</f>
        <v>70</v>
      </c>
      <c r="R357" s="15" t="str">
        <f>IF(INDEX(挂机升级突破!$X$35:$X$55,卡牌消耗!L357)&gt;0,INDEX($G$2:$I$2,INDEX(挂机升级突破!$X$35:$X$55,卡牌消耗!L357))&amp;M357,"")</f>
        <v>初级黄</v>
      </c>
      <c r="S357" s="15">
        <f>IF(R357="","",INDEX(挂机升级突破!$AE$35:$AG$55,卡牌消耗!L357,INDEX(挂机升级突破!$X$35:$X$55,卡牌消耗!L357)))</f>
        <v>85</v>
      </c>
      <c r="T357" s="15" t="str">
        <f>IF(INDEX(挂机升级突破!$Y$35:$Y$55,卡牌消耗!L357)&gt;0,"灵玉","")</f>
        <v/>
      </c>
      <c r="U357" s="15" t="str">
        <f>IF(INDEX(挂机升级突破!$Y$35:$Y$55,卡牌消耗!L357)&gt;0,INDEX(挂机升级突破!$AH$35:$AH$55,卡牌消耗!L357),"")</f>
        <v/>
      </c>
    </row>
    <row r="358" spans="9:21" ht="16.5" x14ac:dyDescent="0.2">
      <c r="I358" s="35">
        <v>322</v>
      </c>
      <c r="J358" s="15">
        <f t="shared" si="26"/>
        <v>1102016</v>
      </c>
      <c r="K358" s="15">
        <f t="shared" si="27"/>
        <v>4</v>
      </c>
      <c r="L358" s="15">
        <f t="shared" ref="L358:L421" si="29">MOD((I358-1),21)+1</f>
        <v>7</v>
      </c>
      <c r="M358" s="15" t="str">
        <f t="shared" si="28"/>
        <v>黄</v>
      </c>
      <c r="N358" s="15" t="str">
        <f t="shared" ref="N358:N421" si="30">IF(L358&gt;1,"金币","")</f>
        <v>金币</v>
      </c>
      <c r="O358" s="15">
        <f>IF(L358&gt;1,INDEX(挂机升级突破!$AI$35:$AI$55,卡牌消耗!L358),"")</f>
        <v>59500</v>
      </c>
      <c r="P358" s="15" t="str">
        <f>IF(L358&gt;1,INDEX(价值概述!$A$4:$A$8,INDEX(挂机升级突破!$W$35:$W$55,卡牌消耗!L358)),"")</f>
        <v>蓝色基础材料</v>
      </c>
      <c r="Q358" s="15">
        <f>IF(L358&gt;1,INDEX(挂机升级突破!$Z$35:$AD$55,卡牌消耗!L358,INDEX(挂机升级突破!$W$35:$W$55,卡牌消耗!L358)),"")</f>
        <v>110</v>
      </c>
      <c r="R358" s="15" t="str">
        <f>IF(INDEX(挂机升级突破!$X$35:$X$55,卡牌消耗!L358)&gt;0,INDEX($G$2:$I$2,INDEX(挂机升级突破!$X$35:$X$55,卡牌消耗!L358))&amp;M358,"")</f>
        <v>初级黄</v>
      </c>
      <c r="S358" s="15">
        <f>IF(R358="","",INDEX(挂机升级突破!$AE$35:$AG$55,卡牌消耗!L358,INDEX(挂机升级突破!$X$35:$X$55,卡牌消耗!L358)))</f>
        <v>110</v>
      </c>
      <c r="T358" s="15" t="str">
        <f>IF(INDEX(挂机升级突破!$Y$35:$Y$55,卡牌消耗!L358)&gt;0,"灵玉","")</f>
        <v/>
      </c>
      <c r="U358" s="15" t="str">
        <f>IF(INDEX(挂机升级突破!$Y$35:$Y$55,卡牌消耗!L358)&gt;0,INDEX(挂机升级突破!$AH$35:$AH$55,卡牌消耗!L358),"")</f>
        <v/>
      </c>
    </row>
    <row r="359" spans="9:21" ht="16.5" x14ac:dyDescent="0.2">
      <c r="I359" s="35">
        <v>323</v>
      </c>
      <c r="J359" s="15">
        <f t="shared" si="26"/>
        <v>1102016</v>
      </c>
      <c r="K359" s="15">
        <f t="shared" si="27"/>
        <v>4</v>
      </c>
      <c r="L359" s="15">
        <f t="shared" si="29"/>
        <v>8</v>
      </c>
      <c r="M359" s="15" t="str">
        <f t="shared" si="28"/>
        <v>黄</v>
      </c>
      <c r="N359" s="15" t="str">
        <f t="shared" si="30"/>
        <v>金币</v>
      </c>
      <c r="O359" s="15">
        <f>IF(L359&gt;1,INDEX(挂机升级突破!$AI$35:$AI$55,卡牌消耗!L359),"")</f>
        <v>65500</v>
      </c>
      <c r="P359" s="15" t="str">
        <f>IF(L359&gt;1,INDEX(价值概述!$A$4:$A$8,INDEX(挂机升级突破!$W$35:$W$55,卡牌消耗!L359)),"")</f>
        <v>蓝色基础材料</v>
      </c>
      <c r="Q359" s="15">
        <f>IF(L359&gt;1,INDEX(挂机升级突破!$Z$35:$AD$55,卡牌消耗!L359,INDEX(挂机升级突破!$W$35:$W$55,卡牌消耗!L359)),"")</f>
        <v>145</v>
      </c>
      <c r="R359" s="15" t="str">
        <f>IF(INDEX(挂机升级突破!$X$35:$X$55,卡牌消耗!L359)&gt;0,INDEX($G$2:$I$2,INDEX(挂机升级突破!$X$35:$X$55,卡牌消耗!L359))&amp;M359,"")</f>
        <v>初级黄</v>
      </c>
      <c r="S359" s="15">
        <f>IF(R359="","",INDEX(挂机升级突破!$AE$35:$AG$55,卡牌消耗!L359,INDEX(挂机升级突破!$X$35:$X$55,卡牌消耗!L359)))</f>
        <v>130</v>
      </c>
      <c r="T359" s="15" t="str">
        <f>IF(INDEX(挂机升级突破!$Y$35:$Y$55,卡牌消耗!L359)&gt;0,"灵玉","")</f>
        <v/>
      </c>
      <c r="U359" s="15" t="str">
        <f>IF(INDEX(挂机升级突破!$Y$35:$Y$55,卡牌消耗!L359)&gt;0,INDEX(挂机升级突破!$AH$35:$AH$55,卡牌消耗!L359),"")</f>
        <v/>
      </c>
    </row>
    <row r="360" spans="9:21" ht="16.5" x14ac:dyDescent="0.2">
      <c r="I360" s="35">
        <v>324</v>
      </c>
      <c r="J360" s="15">
        <f t="shared" si="26"/>
        <v>1102016</v>
      </c>
      <c r="K360" s="15">
        <f t="shared" si="27"/>
        <v>4</v>
      </c>
      <c r="L360" s="15">
        <f t="shared" si="29"/>
        <v>9</v>
      </c>
      <c r="M360" s="15" t="str">
        <f t="shared" si="28"/>
        <v>黄</v>
      </c>
      <c r="N360" s="15" t="str">
        <f t="shared" si="30"/>
        <v>金币</v>
      </c>
      <c r="O360" s="15">
        <f>IF(L360&gt;1,INDEX(挂机升级突破!$AI$35:$AI$55,卡牌消耗!L360),"")</f>
        <v>76000</v>
      </c>
      <c r="P360" s="15" t="str">
        <f>IF(L360&gt;1,INDEX(价值概述!$A$4:$A$8,INDEX(挂机升级突破!$W$35:$W$55,卡牌消耗!L360)),"")</f>
        <v>紫色基础材料</v>
      </c>
      <c r="Q360" s="15">
        <f>IF(L360&gt;1,INDEX(挂机升级突破!$Z$35:$AD$55,卡牌消耗!L360,INDEX(挂机升级突破!$W$35:$W$55,卡牌消耗!L360)),"")</f>
        <v>70</v>
      </c>
      <c r="R360" s="15" t="str">
        <f>IF(INDEX(挂机升级突破!$X$35:$X$55,卡牌消耗!L360)&gt;0,INDEX($G$2:$I$2,INDEX(挂机升级突破!$X$35:$X$55,卡牌消耗!L360))&amp;M360,"")</f>
        <v>中级黄</v>
      </c>
      <c r="S360" s="15">
        <f>IF(R360="","",INDEX(挂机升级突破!$AE$35:$AG$55,卡牌消耗!L360,INDEX(挂机升级突破!$X$35:$X$55,卡牌消耗!L360)))</f>
        <v>55</v>
      </c>
      <c r="T360" s="15" t="str">
        <f>IF(INDEX(挂机升级突破!$Y$35:$Y$55,卡牌消耗!L360)&gt;0,"灵玉","")</f>
        <v/>
      </c>
      <c r="U360" s="15" t="str">
        <f>IF(INDEX(挂机升级突破!$Y$35:$Y$55,卡牌消耗!L360)&gt;0,INDEX(挂机升级突破!$AH$35:$AH$55,卡牌消耗!L360),"")</f>
        <v/>
      </c>
    </row>
    <row r="361" spans="9:21" ht="16.5" x14ac:dyDescent="0.2">
      <c r="I361" s="35">
        <v>325</v>
      </c>
      <c r="J361" s="15">
        <f t="shared" si="26"/>
        <v>1102016</v>
      </c>
      <c r="K361" s="15">
        <f t="shared" si="27"/>
        <v>4</v>
      </c>
      <c r="L361" s="15">
        <f t="shared" si="29"/>
        <v>10</v>
      </c>
      <c r="M361" s="15" t="str">
        <f t="shared" si="28"/>
        <v>黄</v>
      </c>
      <c r="N361" s="15" t="str">
        <f t="shared" si="30"/>
        <v>金币</v>
      </c>
      <c r="O361" s="15">
        <f>IF(L361&gt;1,INDEX(挂机升级突破!$AI$35:$AI$55,卡牌消耗!L361),"")</f>
        <v>83000</v>
      </c>
      <c r="P361" s="15" t="str">
        <f>IF(L361&gt;1,INDEX(价值概述!$A$4:$A$8,INDEX(挂机升级突破!$W$35:$W$55,卡牌消耗!L361)),"")</f>
        <v>紫色基础材料</v>
      </c>
      <c r="Q361" s="15">
        <f>IF(L361&gt;1,INDEX(挂机升级突破!$Z$35:$AD$55,卡牌消耗!L361,INDEX(挂机升级突破!$W$35:$W$55,卡牌消耗!L361)),"")</f>
        <v>140</v>
      </c>
      <c r="R361" s="15" t="str">
        <f>IF(INDEX(挂机升级突破!$X$35:$X$55,卡牌消耗!L361)&gt;0,INDEX($G$2:$I$2,INDEX(挂机升级突破!$X$35:$X$55,卡牌消耗!L361))&amp;M361,"")</f>
        <v>中级黄</v>
      </c>
      <c r="S361" s="15">
        <f>IF(R361="","",INDEX(挂机升级突破!$AE$35:$AG$55,卡牌消耗!L361,INDEX(挂机升级突破!$X$35:$X$55,卡牌消耗!L361)))</f>
        <v>95</v>
      </c>
      <c r="T361" s="15" t="str">
        <f>IF(INDEX(挂机升级突破!$Y$35:$Y$55,卡牌消耗!L361)&gt;0,"灵玉","")</f>
        <v/>
      </c>
      <c r="U361" s="15" t="str">
        <f>IF(INDEX(挂机升级突破!$Y$35:$Y$55,卡牌消耗!L361)&gt;0,INDEX(挂机升级突破!$AH$35:$AH$55,卡牌消耗!L361),"")</f>
        <v/>
      </c>
    </row>
    <row r="362" spans="9:21" ht="16.5" x14ac:dyDescent="0.2">
      <c r="I362" s="35">
        <v>326</v>
      </c>
      <c r="J362" s="15">
        <f t="shared" si="26"/>
        <v>1102016</v>
      </c>
      <c r="K362" s="15">
        <f t="shared" si="27"/>
        <v>4</v>
      </c>
      <c r="L362" s="15">
        <f t="shared" si="29"/>
        <v>11</v>
      </c>
      <c r="M362" s="15" t="str">
        <f t="shared" si="28"/>
        <v>黄</v>
      </c>
      <c r="N362" s="15" t="str">
        <f t="shared" si="30"/>
        <v>金币</v>
      </c>
      <c r="O362" s="15">
        <f>IF(L362&gt;1,INDEX(挂机升级突破!$AI$35:$AI$55,卡牌消耗!L362),"")</f>
        <v>90000</v>
      </c>
      <c r="P362" s="15" t="str">
        <f>IF(L362&gt;1,INDEX(价值概述!$A$4:$A$8,INDEX(挂机升级突破!$W$35:$W$55,卡牌消耗!L362)),"")</f>
        <v>紫色基础材料</v>
      </c>
      <c r="Q362" s="15">
        <f>IF(L362&gt;1,INDEX(挂机升级突破!$Z$35:$AD$55,卡牌消耗!L362,INDEX(挂机升级突破!$W$35:$W$55,卡牌消耗!L362)),"")</f>
        <v>215</v>
      </c>
      <c r="R362" s="15" t="str">
        <f>IF(INDEX(挂机升级突破!$X$35:$X$55,卡牌消耗!L362)&gt;0,INDEX($G$2:$I$2,INDEX(挂机升级突破!$X$35:$X$55,卡牌消耗!L362))&amp;M362,"")</f>
        <v>中级黄</v>
      </c>
      <c r="S362" s="15">
        <f>IF(R362="","",INDEX(挂机升级突破!$AE$35:$AG$55,卡牌消耗!L362,INDEX(挂机升级突破!$X$35:$X$55,卡牌消耗!L362)))</f>
        <v>145</v>
      </c>
      <c r="T362" s="15" t="str">
        <f>IF(INDEX(挂机升级突破!$Y$35:$Y$55,卡牌消耗!L362)&gt;0,"灵玉","")</f>
        <v/>
      </c>
      <c r="U362" s="15" t="str">
        <f>IF(INDEX(挂机升级突破!$Y$35:$Y$55,卡牌消耗!L362)&gt;0,INDEX(挂机升级突破!$AH$35:$AH$55,卡牌消耗!L362),"")</f>
        <v/>
      </c>
    </row>
    <row r="363" spans="9:21" ht="16.5" x14ac:dyDescent="0.2">
      <c r="I363" s="35">
        <v>327</v>
      </c>
      <c r="J363" s="15">
        <f t="shared" si="26"/>
        <v>1102016</v>
      </c>
      <c r="K363" s="15">
        <f t="shared" si="27"/>
        <v>4</v>
      </c>
      <c r="L363" s="15">
        <f t="shared" si="29"/>
        <v>12</v>
      </c>
      <c r="M363" s="15" t="str">
        <f t="shared" si="28"/>
        <v>黄</v>
      </c>
      <c r="N363" s="15" t="str">
        <f t="shared" si="30"/>
        <v>金币</v>
      </c>
      <c r="O363" s="15">
        <f>IF(L363&gt;1,INDEX(挂机升级突破!$AI$35:$AI$55,卡牌消耗!L363),"")</f>
        <v>97000</v>
      </c>
      <c r="P363" s="15" t="str">
        <f>IF(L363&gt;1,INDEX(价值概述!$A$4:$A$8,INDEX(挂机升级突破!$W$35:$W$55,卡牌消耗!L363)),"")</f>
        <v>紫色基础材料</v>
      </c>
      <c r="Q363" s="15">
        <f>IF(L363&gt;1,INDEX(挂机升级突破!$Z$35:$AD$55,卡牌消耗!L363,INDEX(挂机升级突破!$W$35:$W$55,卡牌消耗!L363)),"")</f>
        <v>285</v>
      </c>
      <c r="R363" s="15" t="str">
        <f>IF(INDEX(挂机升级突破!$X$35:$X$55,卡牌消耗!L363)&gt;0,INDEX($G$2:$I$2,INDEX(挂机升级突破!$X$35:$X$55,卡牌消耗!L363))&amp;M363,"")</f>
        <v>中级黄</v>
      </c>
      <c r="S363" s="15">
        <f>IF(R363="","",INDEX(挂机升级突破!$AE$35:$AG$55,卡牌消耗!L363,INDEX(挂机升级突破!$X$35:$X$55,卡牌消耗!L363)))</f>
        <v>185</v>
      </c>
      <c r="T363" s="15" t="str">
        <f>IF(INDEX(挂机升级突破!$Y$35:$Y$55,卡牌消耗!L363)&gt;0,"灵玉","")</f>
        <v/>
      </c>
      <c r="U363" s="15" t="str">
        <f>IF(INDEX(挂机升级突破!$Y$35:$Y$55,卡牌消耗!L363)&gt;0,INDEX(挂机升级突破!$AH$35:$AH$55,卡牌消耗!L363),"")</f>
        <v/>
      </c>
    </row>
    <row r="364" spans="9:21" ht="16.5" x14ac:dyDescent="0.2">
      <c r="I364" s="35">
        <v>328</v>
      </c>
      <c r="J364" s="15">
        <f t="shared" si="26"/>
        <v>1102016</v>
      </c>
      <c r="K364" s="15">
        <f t="shared" si="27"/>
        <v>4</v>
      </c>
      <c r="L364" s="15">
        <f t="shared" si="29"/>
        <v>13</v>
      </c>
      <c r="M364" s="15" t="str">
        <f t="shared" si="28"/>
        <v>黄</v>
      </c>
      <c r="N364" s="15" t="str">
        <f t="shared" si="30"/>
        <v>金币</v>
      </c>
      <c r="O364" s="15">
        <f>IF(L364&gt;1,INDEX(挂机升级突破!$AI$35:$AI$55,卡牌消耗!L364),"")</f>
        <v>122000</v>
      </c>
      <c r="P364" s="15" t="str">
        <f>IF(L364&gt;1,INDEX(价值概述!$A$4:$A$8,INDEX(挂机升级突破!$W$35:$W$55,卡牌消耗!L364)),"")</f>
        <v>橙色基础材料</v>
      </c>
      <c r="Q364" s="15">
        <f>IF(L364&gt;1,INDEX(挂机升级突破!$Z$35:$AD$55,卡牌消耗!L364,INDEX(挂机升级突破!$W$35:$W$55,卡牌消耗!L364)),"")</f>
        <v>115</v>
      </c>
      <c r="R364" s="15" t="str">
        <f>IF(INDEX(挂机升级突破!$X$35:$X$55,卡牌消耗!L364)&gt;0,INDEX($G$2:$I$2,INDEX(挂机升级突破!$X$35:$X$55,卡牌消耗!L364))&amp;M364,"")</f>
        <v>中级黄</v>
      </c>
      <c r="S364" s="15">
        <f>IF(R364="","",INDEX(挂机升级突破!$AE$35:$AG$55,卡牌消耗!L364,INDEX(挂机升级突破!$X$35:$X$55,卡牌消耗!L364)))</f>
        <v>225</v>
      </c>
      <c r="T364" s="15" t="str">
        <f>IF(INDEX(挂机升级突破!$Y$35:$Y$55,卡牌消耗!L364)&gt;0,"灵玉","")</f>
        <v/>
      </c>
      <c r="U364" s="15" t="str">
        <f>IF(INDEX(挂机升级突破!$Y$35:$Y$55,卡牌消耗!L364)&gt;0,INDEX(挂机升级突破!$AH$35:$AH$55,卡牌消耗!L364),"")</f>
        <v/>
      </c>
    </row>
    <row r="365" spans="9:21" ht="16.5" x14ac:dyDescent="0.2">
      <c r="I365" s="35">
        <v>329</v>
      </c>
      <c r="J365" s="15">
        <f t="shared" si="26"/>
        <v>1102016</v>
      </c>
      <c r="K365" s="15">
        <f t="shared" si="27"/>
        <v>4</v>
      </c>
      <c r="L365" s="15">
        <f t="shared" si="29"/>
        <v>14</v>
      </c>
      <c r="M365" s="15" t="str">
        <f t="shared" si="28"/>
        <v>黄</v>
      </c>
      <c r="N365" s="15" t="str">
        <f t="shared" si="30"/>
        <v>金币</v>
      </c>
      <c r="O365" s="15">
        <f>IF(L365&gt;1,INDEX(挂机升级突破!$AI$35:$AI$55,卡牌消耗!L365),"")</f>
        <v>162500</v>
      </c>
      <c r="P365" s="15" t="str">
        <f>IF(L365&gt;1,INDEX(价值概述!$A$4:$A$8,INDEX(挂机升级突破!$W$35:$W$55,卡牌消耗!L365)),"")</f>
        <v>橙色基础材料</v>
      </c>
      <c r="Q365" s="15">
        <f>IF(L365&gt;1,INDEX(挂机升级突破!$Z$35:$AD$55,卡牌消耗!L365,INDEX(挂机升级突破!$W$35:$W$55,卡牌消耗!L365)),"")</f>
        <v>235</v>
      </c>
      <c r="R365" s="15" t="str">
        <f>IF(INDEX(挂机升级突破!$X$35:$X$55,卡牌消耗!L365)&gt;0,INDEX($G$2:$I$2,INDEX(挂机升级突破!$X$35:$X$55,卡牌消耗!L365))&amp;M365,"")</f>
        <v>中级黄</v>
      </c>
      <c r="S365" s="15">
        <f>IF(R365="","",INDEX(挂机升级突破!$AE$35:$AG$55,卡牌消耗!L365,INDEX(挂机升级突破!$X$35:$X$55,卡牌消耗!L365)))</f>
        <v>265</v>
      </c>
      <c r="T365" s="15" t="str">
        <f>IF(INDEX(挂机升级突破!$Y$35:$Y$55,卡牌消耗!L365)&gt;0,"灵玉","")</f>
        <v/>
      </c>
      <c r="U365" s="15" t="str">
        <f>IF(INDEX(挂机升级突破!$Y$35:$Y$55,卡牌消耗!L365)&gt;0,INDEX(挂机升级突破!$AH$35:$AH$55,卡牌消耗!L365),"")</f>
        <v/>
      </c>
    </row>
    <row r="366" spans="9:21" ht="16.5" x14ac:dyDescent="0.2">
      <c r="I366" s="35">
        <v>330</v>
      </c>
      <c r="J366" s="15">
        <f t="shared" si="26"/>
        <v>1102016</v>
      </c>
      <c r="K366" s="15">
        <f t="shared" si="27"/>
        <v>4</v>
      </c>
      <c r="L366" s="15">
        <f t="shared" si="29"/>
        <v>15</v>
      </c>
      <c r="M366" s="15" t="str">
        <f t="shared" si="28"/>
        <v>黄</v>
      </c>
      <c r="N366" s="15" t="str">
        <f t="shared" si="30"/>
        <v>金币</v>
      </c>
      <c r="O366" s="15">
        <f>IF(L366&gt;1,INDEX(挂机升级突破!$AI$35:$AI$55,卡牌消耗!L366),"")</f>
        <v>190000</v>
      </c>
      <c r="P366" s="15" t="str">
        <f>IF(L366&gt;1,INDEX(价值概述!$A$4:$A$8,INDEX(挂机升级突破!$W$35:$W$55,卡牌消耗!L366)),"")</f>
        <v>橙色基础材料</v>
      </c>
      <c r="Q366" s="15">
        <f>IF(L366&gt;1,INDEX(挂机升级突破!$Z$35:$AD$55,卡牌消耗!L366,INDEX(挂机升级突破!$W$35:$W$55,卡牌消耗!L366)),"")</f>
        <v>355</v>
      </c>
      <c r="R366" s="15" t="str">
        <f>IF(INDEX(挂机升级突破!$X$35:$X$55,卡牌消耗!L366)&gt;0,INDEX($G$2:$I$2,INDEX(挂机升级突破!$X$35:$X$55,卡牌消耗!L366))&amp;M366,"")</f>
        <v>高级黄</v>
      </c>
      <c r="S366" s="15">
        <f>IF(R366="","",INDEX(挂机升级突破!$AE$35:$AG$55,卡牌消耗!L366,INDEX(挂机升级突破!$X$35:$X$55,卡牌消耗!L366)))</f>
        <v>45</v>
      </c>
      <c r="T366" s="15" t="str">
        <f>IF(INDEX(挂机升级突破!$Y$35:$Y$55,卡牌消耗!L366)&gt;0,"灵玉","")</f>
        <v/>
      </c>
      <c r="U366" s="15" t="str">
        <f>IF(INDEX(挂机升级突破!$Y$35:$Y$55,卡牌消耗!L366)&gt;0,INDEX(挂机升级突破!$AH$35:$AH$55,卡牌消耗!L366),"")</f>
        <v/>
      </c>
    </row>
    <row r="367" spans="9:21" ht="16.5" x14ac:dyDescent="0.2">
      <c r="I367" s="35">
        <v>331</v>
      </c>
      <c r="J367" s="15">
        <f t="shared" si="26"/>
        <v>1102016</v>
      </c>
      <c r="K367" s="15">
        <f t="shared" si="27"/>
        <v>4</v>
      </c>
      <c r="L367" s="15">
        <f t="shared" si="29"/>
        <v>16</v>
      </c>
      <c r="M367" s="15" t="str">
        <f t="shared" si="28"/>
        <v>黄</v>
      </c>
      <c r="N367" s="15" t="str">
        <f t="shared" si="30"/>
        <v>金币</v>
      </c>
      <c r="O367" s="15">
        <f>IF(L367&gt;1,INDEX(挂机升级突破!$AI$35:$AI$55,卡牌消耗!L367),"")</f>
        <v>219000</v>
      </c>
      <c r="P367" s="15" t="str">
        <f>IF(L367&gt;1,INDEX(价值概述!$A$4:$A$8,INDEX(挂机升级突破!$W$35:$W$55,卡牌消耗!L367)),"")</f>
        <v>橙色基础材料</v>
      </c>
      <c r="Q367" s="15">
        <f>IF(L367&gt;1,INDEX(挂机升级突破!$Z$35:$AD$55,卡牌消耗!L367,INDEX(挂机升级突破!$W$35:$W$55,卡牌消耗!L367)),"")</f>
        <v>475</v>
      </c>
      <c r="R367" s="15" t="str">
        <f>IF(INDEX(挂机升级突破!$X$35:$X$55,卡牌消耗!L367)&gt;0,INDEX($G$2:$I$2,INDEX(挂机升级突破!$X$35:$X$55,卡牌消耗!L367))&amp;M367,"")</f>
        <v>高级黄</v>
      </c>
      <c r="S367" s="15">
        <f>IF(R367="","",INDEX(挂机升级突破!$AE$35:$AG$55,卡牌消耗!L367,INDEX(挂机升级突破!$X$35:$X$55,卡牌消耗!L367)))</f>
        <v>70</v>
      </c>
      <c r="T367" s="15" t="str">
        <f>IF(INDEX(挂机升级突破!$Y$35:$Y$55,卡牌消耗!L367)&gt;0,"灵玉","")</f>
        <v/>
      </c>
      <c r="U367" s="15" t="str">
        <f>IF(INDEX(挂机升级突破!$Y$35:$Y$55,卡牌消耗!L367)&gt;0,INDEX(挂机升级突破!$AH$35:$AH$55,卡牌消耗!L367),"")</f>
        <v/>
      </c>
    </row>
    <row r="368" spans="9:21" ht="16.5" x14ac:dyDescent="0.2">
      <c r="I368" s="35">
        <v>332</v>
      </c>
      <c r="J368" s="15">
        <f t="shared" si="26"/>
        <v>1102016</v>
      </c>
      <c r="K368" s="15">
        <f t="shared" si="27"/>
        <v>4</v>
      </c>
      <c r="L368" s="15">
        <f t="shared" si="29"/>
        <v>17</v>
      </c>
      <c r="M368" s="15" t="str">
        <f t="shared" si="28"/>
        <v>黄</v>
      </c>
      <c r="N368" s="15" t="str">
        <f t="shared" si="30"/>
        <v>金币</v>
      </c>
      <c r="O368" s="15">
        <f>IF(L368&gt;1,INDEX(挂机升级突破!$AI$35:$AI$55,卡牌消耗!L368),"")</f>
        <v>228000</v>
      </c>
      <c r="P368" s="15" t="str">
        <f>IF(L368&gt;1,INDEX(价值概述!$A$4:$A$8,INDEX(挂机升级突破!$W$35:$W$55,卡牌消耗!L368)),"")</f>
        <v>红色基础材料</v>
      </c>
      <c r="Q368" s="15">
        <f>IF(L368&gt;1,INDEX(挂机升级突破!$Z$35:$AD$55,卡牌消耗!L368,INDEX(挂机升级突破!$W$35:$W$55,卡牌消耗!L368)),"")</f>
        <v>45</v>
      </c>
      <c r="R368" s="15" t="str">
        <f>IF(INDEX(挂机升级突破!$X$35:$X$55,卡牌消耗!L368)&gt;0,INDEX($G$2:$I$2,INDEX(挂机升级突破!$X$35:$X$55,卡牌消耗!L368))&amp;M368,"")</f>
        <v>高级黄</v>
      </c>
      <c r="S368" s="15">
        <f>IF(R368="","",INDEX(挂机升级突破!$AE$35:$AG$55,卡牌消耗!L368,INDEX(挂机升级突破!$X$35:$X$55,卡牌消耗!L368)))</f>
        <v>100</v>
      </c>
      <c r="T368" s="15" t="str">
        <f>IF(INDEX(挂机升级突破!$Y$35:$Y$55,卡牌消耗!L368)&gt;0,"灵玉","")</f>
        <v>灵玉</v>
      </c>
      <c r="U368" s="15">
        <f>IF(INDEX(挂机升级突破!$Y$35:$Y$55,卡牌消耗!L368)&gt;0,INDEX(挂机升级突破!$AH$35:$AH$55,卡牌消耗!L368),"")</f>
        <v>25</v>
      </c>
    </row>
    <row r="369" spans="9:21" ht="16.5" x14ac:dyDescent="0.2">
      <c r="I369" s="35">
        <v>333</v>
      </c>
      <c r="J369" s="15">
        <f t="shared" si="26"/>
        <v>1102016</v>
      </c>
      <c r="K369" s="15">
        <f t="shared" si="27"/>
        <v>4</v>
      </c>
      <c r="L369" s="15">
        <f t="shared" si="29"/>
        <v>18</v>
      </c>
      <c r="M369" s="15" t="str">
        <f t="shared" si="28"/>
        <v>黄</v>
      </c>
      <c r="N369" s="15" t="str">
        <f t="shared" si="30"/>
        <v>金币</v>
      </c>
      <c r="O369" s="15">
        <f>IF(L369&gt;1,INDEX(挂机升级突破!$AI$35:$AI$55,卡牌消耗!L369),"")</f>
        <v>319500</v>
      </c>
      <c r="P369" s="15" t="str">
        <f>IF(L369&gt;1,INDEX(价值概述!$A$4:$A$8,INDEX(挂机升级突破!$W$35:$W$55,卡牌消耗!L369)),"")</f>
        <v>红色基础材料</v>
      </c>
      <c r="Q369" s="15">
        <f>IF(L369&gt;1,INDEX(挂机升级突破!$Z$35:$AD$55,卡牌消耗!L369,INDEX(挂机升级突破!$W$35:$W$55,卡牌消耗!L369)),"")</f>
        <v>65</v>
      </c>
      <c r="R369" s="15" t="str">
        <f>IF(INDEX(挂机升级突破!$X$35:$X$55,卡牌消耗!L369)&gt;0,INDEX($G$2:$I$2,INDEX(挂机升级突破!$X$35:$X$55,卡牌消耗!L369))&amp;M369,"")</f>
        <v>高级黄</v>
      </c>
      <c r="S369" s="15">
        <f>IF(R369="","",INDEX(挂机升级突破!$AE$35:$AG$55,卡牌消耗!L369,INDEX(挂机升级突破!$X$35:$X$55,卡牌消耗!L369)))</f>
        <v>125</v>
      </c>
      <c r="T369" s="15" t="str">
        <f>IF(INDEX(挂机升级突破!$Y$35:$Y$55,卡牌消耗!L369)&gt;0,"灵玉","")</f>
        <v>灵玉</v>
      </c>
      <c r="U369" s="15">
        <f>IF(INDEX(挂机升级突破!$Y$35:$Y$55,卡牌消耗!L369)&gt;0,INDEX(挂机升级突破!$AH$35:$AH$55,卡牌消耗!L369),"")</f>
        <v>35</v>
      </c>
    </row>
    <row r="370" spans="9:21" ht="16.5" x14ac:dyDescent="0.2">
      <c r="I370" s="35">
        <v>334</v>
      </c>
      <c r="J370" s="15">
        <f t="shared" si="26"/>
        <v>1102016</v>
      </c>
      <c r="K370" s="15">
        <f t="shared" si="27"/>
        <v>4</v>
      </c>
      <c r="L370" s="15">
        <f t="shared" si="29"/>
        <v>19</v>
      </c>
      <c r="M370" s="15" t="str">
        <f t="shared" si="28"/>
        <v>黄</v>
      </c>
      <c r="N370" s="15" t="str">
        <f t="shared" si="30"/>
        <v>金币</v>
      </c>
      <c r="O370" s="15">
        <f>IF(L370&gt;1,INDEX(挂机升级突破!$AI$35:$AI$55,卡牌消耗!L370),"")</f>
        <v>426000</v>
      </c>
      <c r="P370" s="15" t="str">
        <f>IF(L370&gt;1,INDEX(价值概述!$A$4:$A$8,INDEX(挂机升级突破!$W$35:$W$55,卡牌消耗!L370)),"")</f>
        <v>红色基础材料</v>
      </c>
      <c r="Q370" s="15">
        <f>IF(L370&gt;1,INDEX(挂机升级突破!$Z$35:$AD$55,卡牌消耗!L370,INDEX(挂机升级突破!$W$35:$W$55,卡牌消耗!L370)),"")</f>
        <v>90</v>
      </c>
      <c r="R370" s="15" t="str">
        <f>IF(INDEX(挂机升级突破!$X$35:$X$55,卡牌消耗!L370)&gt;0,INDEX($G$2:$I$2,INDEX(挂机升级突破!$X$35:$X$55,卡牌消耗!L370))&amp;M370,"")</f>
        <v>高级黄</v>
      </c>
      <c r="S370" s="15">
        <f>IF(R370="","",INDEX(挂机升级突破!$AE$35:$AG$55,卡牌消耗!L370,INDEX(挂机升级突破!$X$35:$X$55,卡牌消耗!L370)))</f>
        <v>155</v>
      </c>
      <c r="T370" s="15" t="str">
        <f>IF(INDEX(挂机升级突破!$Y$35:$Y$55,卡牌消耗!L370)&gt;0,"灵玉","")</f>
        <v>灵玉</v>
      </c>
      <c r="U370" s="15">
        <f>IF(INDEX(挂机升级突破!$Y$35:$Y$55,卡牌消耗!L370)&gt;0,INDEX(挂机升级突破!$AH$35:$AH$55,卡牌消耗!L370),"")</f>
        <v>50</v>
      </c>
    </row>
    <row r="371" spans="9:21" ht="16.5" x14ac:dyDescent="0.2">
      <c r="I371" s="35">
        <v>335</v>
      </c>
      <c r="J371" s="15">
        <f t="shared" si="26"/>
        <v>1102016</v>
      </c>
      <c r="K371" s="15">
        <f t="shared" si="27"/>
        <v>4</v>
      </c>
      <c r="L371" s="15">
        <f t="shared" si="29"/>
        <v>20</v>
      </c>
      <c r="M371" s="15" t="str">
        <f t="shared" si="28"/>
        <v>黄</v>
      </c>
      <c r="N371" s="15" t="str">
        <f t="shared" si="30"/>
        <v>金币</v>
      </c>
      <c r="O371" s="15">
        <f>IF(L371&gt;1,INDEX(挂机升级突破!$AI$35:$AI$55,卡牌消耗!L371),"")</f>
        <v>532500</v>
      </c>
      <c r="P371" s="15" t="str">
        <f>IF(L371&gt;1,INDEX(价值概述!$A$4:$A$8,INDEX(挂机升级突破!$W$35:$W$55,卡牌消耗!L371)),"")</f>
        <v>红色基础材料</v>
      </c>
      <c r="Q371" s="15">
        <f>IF(L371&gt;1,INDEX(挂机升级突破!$Z$35:$AD$55,卡牌消耗!L371,INDEX(挂机升级突破!$W$35:$W$55,卡牌消耗!L371)),"")</f>
        <v>110</v>
      </c>
      <c r="R371" s="15" t="str">
        <f>IF(INDEX(挂机升级突破!$X$35:$X$55,卡牌消耗!L371)&gt;0,INDEX($G$2:$I$2,INDEX(挂机升级突破!$X$35:$X$55,卡牌消耗!L371))&amp;M371,"")</f>
        <v>高级黄</v>
      </c>
      <c r="S371" s="15">
        <f>IF(R371="","",INDEX(挂机升级突破!$AE$35:$AG$55,卡牌消耗!L371,INDEX(挂机升级突破!$X$35:$X$55,卡牌消耗!L371)))</f>
        <v>180</v>
      </c>
      <c r="T371" s="15" t="str">
        <f>IF(INDEX(挂机升级突破!$Y$35:$Y$55,卡牌消耗!L371)&gt;0,"灵玉","")</f>
        <v>灵玉</v>
      </c>
      <c r="U371" s="15">
        <f>IF(INDEX(挂机升级突破!$Y$35:$Y$55,卡牌消耗!L371)&gt;0,INDEX(挂机升级突破!$AH$35:$AH$55,卡牌消耗!L371),"")</f>
        <v>65</v>
      </c>
    </row>
    <row r="372" spans="9:21" ht="16.5" x14ac:dyDescent="0.2">
      <c r="I372" s="35">
        <v>336</v>
      </c>
      <c r="J372" s="15">
        <f t="shared" si="26"/>
        <v>1102016</v>
      </c>
      <c r="K372" s="15">
        <f t="shared" si="27"/>
        <v>4</v>
      </c>
      <c r="L372" s="15">
        <f t="shared" si="29"/>
        <v>21</v>
      </c>
      <c r="M372" s="15" t="str">
        <f t="shared" si="28"/>
        <v>黄</v>
      </c>
      <c r="N372" s="15" t="str">
        <f t="shared" si="30"/>
        <v>金币</v>
      </c>
      <c r="O372" s="15">
        <f>IF(L372&gt;1,INDEX(挂机升级突破!$AI$35:$AI$55,卡牌消耗!L372),"")</f>
        <v>639000</v>
      </c>
      <c r="P372" s="15" t="str">
        <f>IF(L372&gt;1,INDEX(价值概述!$A$4:$A$8,INDEX(挂机升级突破!$W$35:$W$55,卡牌消耗!L372)),"")</f>
        <v>红色基础材料</v>
      </c>
      <c r="Q372" s="15">
        <f>IF(L372&gt;1,INDEX(挂机升级突破!$Z$35:$AD$55,卡牌消耗!L372,INDEX(挂机升级突破!$W$35:$W$55,卡牌消耗!L372)),"")</f>
        <v>135</v>
      </c>
      <c r="R372" s="15" t="str">
        <f>IF(INDEX(挂机升级突破!$X$35:$X$55,卡牌消耗!L372)&gt;0,INDEX($G$2:$I$2,INDEX(挂机升级突破!$X$35:$X$55,卡牌消耗!L372))&amp;M372,"")</f>
        <v>高级黄</v>
      </c>
      <c r="S372" s="15">
        <f>IF(R372="","",INDEX(挂机升级突破!$AE$35:$AG$55,卡牌消耗!L372,INDEX(挂机升级突破!$X$35:$X$55,卡牌消耗!L372)))</f>
        <v>225</v>
      </c>
      <c r="T372" s="15" t="str">
        <f>IF(INDEX(挂机升级突破!$Y$35:$Y$55,卡牌消耗!L372)&gt;0,"灵玉","")</f>
        <v>灵玉</v>
      </c>
      <c r="U372" s="15">
        <f>IF(INDEX(挂机升级突破!$Y$35:$Y$55,卡牌消耗!L372)&gt;0,INDEX(挂机升级突破!$AH$35:$AH$55,卡牌消耗!L372),"")</f>
        <v>75</v>
      </c>
    </row>
    <row r="373" spans="9:21" ht="16.5" x14ac:dyDescent="0.2">
      <c r="I373" s="35">
        <v>337</v>
      </c>
      <c r="J373" s="15">
        <f t="shared" si="26"/>
        <v>1102017</v>
      </c>
      <c r="K373" s="15">
        <f t="shared" si="27"/>
        <v>3</v>
      </c>
      <c r="L373" s="15">
        <f t="shared" si="29"/>
        <v>1</v>
      </c>
      <c r="M373" s="15" t="str">
        <f t="shared" si="28"/>
        <v>蓝</v>
      </c>
      <c r="N373" s="15" t="str">
        <f t="shared" si="30"/>
        <v/>
      </c>
      <c r="O373" s="15" t="str">
        <f>IF(L373&gt;1,INDEX(挂机升级突破!$AI$35:$AI$55,卡牌消耗!L373),"")</f>
        <v/>
      </c>
      <c r="P373" s="15" t="str">
        <f>IF(L373&gt;1,INDEX(价值概述!$A$4:$A$8,INDEX(挂机升级突破!$W$35:$W$55,卡牌消耗!L373)),"")</f>
        <v/>
      </c>
      <c r="Q373" s="15" t="str">
        <f>IF(L373&gt;1,INDEX(挂机升级突破!$Z$35:$AD$55,卡牌消耗!L373,INDEX(挂机升级突破!$W$35:$W$55,卡牌消耗!L373)),"")</f>
        <v/>
      </c>
      <c r="R373" s="15" t="str">
        <f>IF(INDEX(挂机升级突破!$X$35:$X$55,卡牌消耗!L373)&gt;0,INDEX($G$2:$I$2,INDEX(挂机升级突破!$X$35:$X$55,卡牌消耗!L373))&amp;M373,"")</f>
        <v/>
      </c>
      <c r="S373" s="15" t="str">
        <f>IF(R373="","",INDEX(挂机升级突破!$AE$35:$AG$55,卡牌消耗!L373,INDEX(挂机升级突破!$X$35:$X$55,卡牌消耗!L373)))</f>
        <v/>
      </c>
      <c r="T373" s="15" t="str">
        <f>IF(INDEX(挂机升级突破!$Y$35:$Y$55,卡牌消耗!L373)&gt;0,"灵玉","")</f>
        <v/>
      </c>
      <c r="U373" s="15" t="str">
        <f>IF(INDEX(挂机升级突破!$Y$35:$Y$55,卡牌消耗!L373)&gt;0,INDEX(挂机升级突破!$AH$35:$AH$55,卡牌消耗!L373),"")</f>
        <v/>
      </c>
    </row>
    <row r="374" spans="9:21" ht="16.5" x14ac:dyDescent="0.2">
      <c r="I374" s="35">
        <v>338</v>
      </c>
      <c r="J374" s="15">
        <f t="shared" si="26"/>
        <v>1102017</v>
      </c>
      <c r="K374" s="15">
        <f t="shared" si="27"/>
        <v>3</v>
      </c>
      <c r="L374" s="15">
        <f t="shared" si="29"/>
        <v>2</v>
      </c>
      <c r="M374" s="15" t="str">
        <f t="shared" si="28"/>
        <v>蓝</v>
      </c>
      <c r="N374" s="15" t="str">
        <f t="shared" si="30"/>
        <v>金币</v>
      </c>
      <c r="O374" s="15">
        <f>IF(L374&gt;1,INDEX(挂机升级突破!$AI$35:$AI$55,卡牌消耗!L374),"")</f>
        <v>2500</v>
      </c>
      <c r="P374" s="15" t="str">
        <f>IF(L374&gt;1,INDEX(价值概述!$A$4:$A$8,INDEX(挂机升级突破!$W$35:$W$55,卡牌消耗!L374)),"")</f>
        <v>绿色基础材料</v>
      </c>
      <c r="Q374" s="15">
        <f>IF(L374&gt;1,INDEX(挂机升级突破!$Z$35:$AD$55,卡牌消耗!L374,INDEX(挂机升级突破!$W$35:$W$55,卡牌消耗!L374)),"")</f>
        <v>10</v>
      </c>
      <c r="R374" s="15" t="str">
        <f>IF(INDEX(挂机升级突破!$X$35:$X$55,卡牌消耗!L374)&gt;0,INDEX($G$2:$I$2,INDEX(挂机升级突破!$X$35:$X$55,卡牌消耗!L374))&amp;M374,"")</f>
        <v/>
      </c>
      <c r="S374" s="15" t="str">
        <f>IF(R374="","",INDEX(挂机升级突破!$AE$35:$AG$55,卡牌消耗!L374,INDEX(挂机升级突破!$X$35:$X$55,卡牌消耗!L374)))</f>
        <v/>
      </c>
      <c r="T374" s="15" t="str">
        <f>IF(INDEX(挂机升级突破!$Y$35:$Y$55,卡牌消耗!L374)&gt;0,"灵玉","")</f>
        <v/>
      </c>
      <c r="U374" s="15" t="str">
        <f>IF(INDEX(挂机升级突破!$Y$35:$Y$55,卡牌消耗!L374)&gt;0,INDEX(挂机升级突破!$AH$35:$AH$55,卡牌消耗!L374),"")</f>
        <v/>
      </c>
    </row>
    <row r="375" spans="9:21" ht="16.5" x14ac:dyDescent="0.2">
      <c r="I375" s="35">
        <v>339</v>
      </c>
      <c r="J375" s="15">
        <f t="shared" si="26"/>
        <v>1102017</v>
      </c>
      <c r="K375" s="15">
        <f t="shared" si="27"/>
        <v>3</v>
      </c>
      <c r="L375" s="15">
        <f t="shared" si="29"/>
        <v>3</v>
      </c>
      <c r="M375" s="15" t="str">
        <f t="shared" si="28"/>
        <v>蓝</v>
      </c>
      <c r="N375" s="15" t="str">
        <f t="shared" si="30"/>
        <v>金币</v>
      </c>
      <c r="O375" s="15">
        <f>IF(L375&gt;1,INDEX(挂机升级突破!$AI$35:$AI$55,卡牌消耗!L375),"")</f>
        <v>8000</v>
      </c>
      <c r="P375" s="15" t="str">
        <f>IF(L375&gt;1,INDEX(价值概述!$A$4:$A$8,INDEX(挂机升级突破!$W$35:$W$55,卡牌消耗!L375)),"")</f>
        <v>绿色基础材料</v>
      </c>
      <c r="Q375" s="15">
        <f>IF(L375&gt;1,INDEX(挂机升级突破!$Z$35:$AD$55,卡牌消耗!L375,INDEX(挂机升级突破!$W$35:$W$55,卡牌消耗!L375)),"")</f>
        <v>40</v>
      </c>
      <c r="R375" s="15" t="str">
        <f>IF(INDEX(挂机升级突破!$X$35:$X$55,卡牌消耗!L375)&gt;0,INDEX($G$2:$I$2,INDEX(挂机升级突破!$X$35:$X$55,卡牌消耗!L375))&amp;M375,"")</f>
        <v/>
      </c>
      <c r="S375" s="15" t="str">
        <f>IF(R375="","",INDEX(挂机升级突破!$AE$35:$AG$55,卡牌消耗!L375,INDEX(挂机升级突破!$X$35:$X$55,卡牌消耗!L375)))</f>
        <v/>
      </c>
      <c r="T375" s="15" t="str">
        <f>IF(INDEX(挂机升级突破!$Y$35:$Y$55,卡牌消耗!L375)&gt;0,"灵玉","")</f>
        <v/>
      </c>
      <c r="U375" s="15" t="str">
        <f>IF(INDEX(挂机升级突破!$Y$35:$Y$55,卡牌消耗!L375)&gt;0,INDEX(挂机升级突破!$AH$35:$AH$55,卡牌消耗!L375),"")</f>
        <v/>
      </c>
    </row>
    <row r="376" spans="9:21" ht="16.5" x14ac:dyDescent="0.2">
      <c r="I376" s="35">
        <v>340</v>
      </c>
      <c r="J376" s="15">
        <f t="shared" si="26"/>
        <v>1102017</v>
      </c>
      <c r="K376" s="15">
        <f t="shared" si="27"/>
        <v>3</v>
      </c>
      <c r="L376" s="15">
        <f t="shared" si="29"/>
        <v>4</v>
      </c>
      <c r="M376" s="15" t="str">
        <f t="shared" si="28"/>
        <v>蓝</v>
      </c>
      <c r="N376" s="15" t="str">
        <f t="shared" si="30"/>
        <v>金币</v>
      </c>
      <c r="O376" s="15">
        <f>IF(L376&gt;1,INDEX(挂机升级突破!$AI$35:$AI$55,卡牌消耗!L376),"")</f>
        <v>16500</v>
      </c>
      <c r="P376" s="15" t="str">
        <f>IF(L376&gt;1,INDEX(价值概述!$A$4:$A$8,INDEX(挂机升级突破!$W$35:$W$55,卡牌消耗!L376)),"")</f>
        <v>绿色基础材料</v>
      </c>
      <c r="Q376" s="15">
        <f>IF(L376&gt;1,INDEX(挂机升级突破!$Z$35:$AD$55,卡牌消耗!L376,INDEX(挂机升级突破!$W$35:$W$55,卡牌消耗!L376)),"")</f>
        <v>80</v>
      </c>
      <c r="R376" s="15" t="str">
        <f>IF(INDEX(挂机升级突破!$X$35:$X$55,卡牌消耗!L376)&gt;0,INDEX($G$2:$I$2,INDEX(挂机升级突破!$X$35:$X$55,卡牌消耗!L376))&amp;M376,"")</f>
        <v>初级蓝</v>
      </c>
      <c r="S376" s="15">
        <f>IF(R376="","",INDEX(挂机升级突破!$AE$35:$AG$55,卡牌消耗!L376,INDEX(挂机升级突破!$X$35:$X$55,卡牌消耗!L376)))</f>
        <v>40</v>
      </c>
      <c r="T376" s="15" t="str">
        <f>IF(INDEX(挂机升级突破!$Y$35:$Y$55,卡牌消耗!L376)&gt;0,"灵玉","")</f>
        <v/>
      </c>
      <c r="U376" s="15" t="str">
        <f>IF(INDEX(挂机升级突破!$Y$35:$Y$55,卡牌消耗!L376)&gt;0,INDEX(挂机升级突破!$AH$35:$AH$55,卡牌消耗!L376),"")</f>
        <v/>
      </c>
    </row>
    <row r="377" spans="9:21" ht="16.5" x14ac:dyDescent="0.2">
      <c r="I377" s="35">
        <v>341</v>
      </c>
      <c r="J377" s="15">
        <f t="shared" si="26"/>
        <v>1102017</v>
      </c>
      <c r="K377" s="15">
        <f t="shared" si="27"/>
        <v>3</v>
      </c>
      <c r="L377" s="15">
        <f t="shared" si="29"/>
        <v>5</v>
      </c>
      <c r="M377" s="15" t="str">
        <f t="shared" si="28"/>
        <v>蓝</v>
      </c>
      <c r="N377" s="15" t="str">
        <f t="shared" si="30"/>
        <v>金币</v>
      </c>
      <c r="O377" s="15">
        <f>IF(L377&gt;1,INDEX(挂机升级突破!$AI$35:$AI$55,卡牌消耗!L377),"")</f>
        <v>22500</v>
      </c>
      <c r="P377" s="15" t="str">
        <f>IF(L377&gt;1,INDEX(价值概述!$A$4:$A$8,INDEX(挂机升级突破!$W$35:$W$55,卡牌消耗!L377)),"")</f>
        <v>蓝色基础材料</v>
      </c>
      <c r="Q377" s="15">
        <f>IF(L377&gt;1,INDEX(挂机升级突破!$Z$35:$AD$55,卡牌消耗!L377,INDEX(挂机升级突破!$W$35:$W$55,卡牌消耗!L377)),"")</f>
        <v>35</v>
      </c>
      <c r="R377" s="15" t="str">
        <f>IF(INDEX(挂机升级突破!$X$35:$X$55,卡牌消耗!L377)&gt;0,INDEX($G$2:$I$2,INDEX(挂机升级突破!$X$35:$X$55,卡牌消耗!L377))&amp;M377,"")</f>
        <v>初级蓝</v>
      </c>
      <c r="S377" s="15">
        <f>IF(R377="","",INDEX(挂机升级突破!$AE$35:$AG$55,卡牌消耗!L377,INDEX(挂机升级突破!$X$35:$X$55,卡牌消耗!L377)))</f>
        <v>65</v>
      </c>
      <c r="T377" s="15" t="str">
        <f>IF(INDEX(挂机升级突破!$Y$35:$Y$55,卡牌消耗!L377)&gt;0,"灵玉","")</f>
        <v/>
      </c>
      <c r="U377" s="15" t="str">
        <f>IF(INDEX(挂机升级突破!$Y$35:$Y$55,卡牌消耗!L377)&gt;0,INDEX(挂机升级突破!$AH$35:$AH$55,卡牌消耗!L377),"")</f>
        <v/>
      </c>
    </row>
    <row r="378" spans="9:21" ht="16.5" x14ac:dyDescent="0.2">
      <c r="I378" s="35">
        <v>342</v>
      </c>
      <c r="J378" s="15">
        <f t="shared" si="26"/>
        <v>1102017</v>
      </c>
      <c r="K378" s="15">
        <f t="shared" si="27"/>
        <v>3</v>
      </c>
      <c r="L378" s="15">
        <f t="shared" si="29"/>
        <v>6</v>
      </c>
      <c r="M378" s="15" t="str">
        <f t="shared" si="28"/>
        <v>蓝</v>
      </c>
      <c r="N378" s="15" t="str">
        <f t="shared" si="30"/>
        <v>金币</v>
      </c>
      <c r="O378" s="15">
        <f>IF(L378&gt;1,INDEX(挂机升级突破!$AI$35:$AI$55,卡牌消耗!L378),"")</f>
        <v>53000</v>
      </c>
      <c r="P378" s="15" t="str">
        <f>IF(L378&gt;1,INDEX(价值概述!$A$4:$A$8,INDEX(挂机升级突破!$W$35:$W$55,卡牌消耗!L378)),"")</f>
        <v>蓝色基础材料</v>
      </c>
      <c r="Q378" s="15">
        <f>IF(L378&gt;1,INDEX(挂机升级突破!$Z$35:$AD$55,卡牌消耗!L378,INDEX(挂机升级突破!$W$35:$W$55,卡牌消耗!L378)),"")</f>
        <v>70</v>
      </c>
      <c r="R378" s="15" t="str">
        <f>IF(INDEX(挂机升级突破!$X$35:$X$55,卡牌消耗!L378)&gt;0,INDEX($G$2:$I$2,INDEX(挂机升级突破!$X$35:$X$55,卡牌消耗!L378))&amp;M378,"")</f>
        <v>初级蓝</v>
      </c>
      <c r="S378" s="15">
        <f>IF(R378="","",INDEX(挂机升级突破!$AE$35:$AG$55,卡牌消耗!L378,INDEX(挂机升级突破!$X$35:$X$55,卡牌消耗!L378)))</f>
        <v>85</v>
      </c>
      <c r="T378" s="15" t="str">
        <f>IF(INDEX(挂机升级突破!$Y$35:$Y$55,卡牌消耗!L378)&gt;0,"灵玉","")</f>
        <v/>
      </c>
      <c r="U378" s="15" t="str">
        <f>IF(INDEX(挂机升级突破!$Y$35:$Y$55,卡牌消耗!L378)&gt;0,INDEX(挂机升级突破!$AH$35:$AH$55,卡牌消耗!L378),"")</f>
        <v/>
      </c>
    </row>
    <row r="379" spans="9:21" ht="16.5" x14ac:dyDescent="0.2">
      <c r="I379" s="35">
        <v>343</v>
      </c>
      <c r="J379" s="15">
        <f t="shared" si="26"/>
        <v>1102017</v>
      </c>
      <c r="K379" s="15">
        <f t="shared" si="27"/>
        <v>3</v>
      </c>
      <c r="L379" s="15">
        <f t="shared" si="29"/>
        <v>7</v>
      </c>
      <c r="M379" s="15" t="str">
        <f t="shared" si="28"/>
        <v>蓝</v>
      </c>
      <c r="N379" s="15" t="str">
        <f t="shared" si="30"/>
        <v>金币</v>
      </c>
      <c r="O379" s="15">
        <f>IF(L379&gt;1,INDEX(挂机升级突破!$AI$35:$AI$55,卡牌消耗!L379),"")</f>
        <v>59500</v>
      </c>
      <c r="P379" s="15" t="str">
        <f>IF(L379&gt;1,INDEX(价值概述!$A$4:$A$8,INDEX(挂机升级突破!$W$35:$W$55,卡牌消耗!L379)),"")</f>
        <v>蓝色基础材料</v>
      </c>
      <c r="Q379" s="15">
        <f>IF(L379&gt;1,INDEX(挂机升级突破!$Z$35:$AD$55,卡牌消耗!L379,INDEX(挂机升级突破!$W$35:$W$55,卡牌消耗!L379)),"")</f>
        <v>110</v>
      </c>
      <c r="R379" s="15" t="str">
        <f>IF(INDEX(挂机升级突破!$X$35:$X$55,卡牌消耗!L379)&gt;0,INDEX($G$2:$I$2,INDEX(挂机升级突破!$X$35:$X$55,卡牌消耗!L379))&amp;M379,"")</f>
        <v>初级蓝</v>
      </c>
      <c r="S379" s="15">
        <f>IF(R379="","",INDEX(挂机升级突破!$AE$35:$AG$55,卡牌消耗!L379,INDEX(挂机升级突破!$X$35:$X$55,卡牌消耗!L379)))</f>
        <v>110</v>
      </c>
      <c r="T379" s="15" t="str">
        <f>IF(INDEX(挂机升级突破!$Y$35:$Y$55,卡牌消耗!L379)&gt;0,"灵玉","")</f>
        <v/>
      </c>
      <c r="U379" s="15" t="str">
        <f>IF(INDEX(挂机升级突破!$Y$35:$Y$55,卡牌消耗!L379)&gt;0,INDEX(挂机升级突破!$AH$35:$AH$55,卡牌消耗!L379),"")</f>
        <v/>
      </c>
    </row>
    <row r="380" spans="9:21" ht="16.5" x14ac:dyDescent="0.2">
      <c r="I380" s="35">
        <v>344</v>
      </c>
      <c r="J380" s="15">
        <f t="shared" si="26"/>
        <v>1102017</v>
      </c>
      <c r="K380" s="15">
        <f t="shared" si="27"/>
        <v>3</v>
      </c>
      <c r="L380" s="15">
        <f t="shared" si="29"/>
        <v>8</v>
      </c>
      <c r="M380" s="15" t="str">
        <f t="shared" si="28"/>
        <v>蓝</v>
      </c>
      <c r="N380" s="15" t="str">
        <f t="shared" si="30"/>
        <v>金币</v>
      </c>
      <c r="O380" s="15">
        <f>IF(L380&gt;1,INDEX(挂机升级突破!$AI$35:$AI$55,卡牌消耗!L380),"")</f>
        <v>65500</v>
      </c>
      <c r="P380" s="15" t="str">
        <f>IF(L380&gt;1,INDEX(价值概述!$A$4:$A$8,INDEX(挂机升级突破!$W$35:$W$55,卡牌消耗!L380)),"")</f>
        <v>蓝色基础材料</v>
      </c>
      <c r="Q380" s="15">
        <f>IF(L380&gt;1,INDEX(挂机升级突破!$Z$35:$AD$55,卡牌消耗!L380,INDEX(挂机升级突破!$W$35:$W$55,卡牌消耗!L380)),"")</f>
        <v>145</v>
      </c>
      <c r="R380" s="15" t="str">
        <f>IF(INDEX(挂机升级突破!$X$35:$X$55,卡牌消耗!L380)&gt;0,INDEX($G$2:$I$2,INDEX(挂机升级突破!$X$35:$X$55,卡牌消耗!L380))&amp;M380,"")</f>
        <v>初级蓝</v>
      </c>
      <c r="S380" s="15">
        <f>IF(R380="","",INDEX(挂机升级突破!$AE$35:$AG$55,卡牌消耗!L380,INDEX(挂机升级突破!$X$35:$X$55,卡牌消耗!L380)))</f>
        <v>130</v>
      </c>
      <c r="T380" s="15" t="str">
        <f>IF(INDEX(挂机升级突破!$Y$35:$Y$55,卡牌消耗!L380)&gt;0,"灵玉","")</f>
        <v/>
      </c>
      <c r="U380" s="15" t="str">
        <f>IF(INDEX(挂机升级突破!$Y$35:$Y$55,卡牌消耗!L380)&gt;0,INDEX(挂机升级突破!$AH$35:$AH$55,卡牌消耗!L380),"")</f>
        <v/>
      </c>
    </row>
    <row r="381" spans="9:21" ht="16.5" x14ac:dyDescent="0.2">
      <c r="I381" s="35">
        <v>345</v>
      </c>
      <c r="J381" s="15">
        <f t="shared" si="26"/>
        <v>1102017</v>
      </c>
      <c r="K381" s="15">
        <f t="shared" si="27"/>
        <v>3</v>
      </c>
      <c r="L381" s="15">
        <f t="shared" si="29"/>
        <v>9</v>
      </c>
      <c r="M381" s="15" t="str">
        <f t="shared" si="28"/>
        <v>蓝</v>
      </c>
      <c r="N381" s="15" t="str">
        <f t="shared" si="30"/>
        <v>金币</v>
      </c>
      <c r="O381" s="15">
        <f>IF(L381&gt;1,INDEX(挂机升级突破!$AI$35:$AI$55,卡牌消耗!L381),"")</f>
        <v>76000</v>
      </c>
      <c r="P381" s="15" t="str">
        <f>IF(L381&gt;1,INDEX(价值概述!$A$4:$A$8,INDEX(挂机升级突破!$W$35:$W$55,卡牌消耗!L381)),"")</f>
        <v>紫色基础材料</v>
      </c>
      <c r="Q381" s="15">
        <f>IF(L381&gt;1,INDEX(挂机升级突破!$Z$35:$AD$55,卡牌消耗!L381,INDEX(挂机升级突破!$W$35:$W$55,卡牌消耗!L381)),"")</f>
        <v>70</v>
      </c>
      <c r="R381" s="15" t="str">
        <f>IF(INDEX(挂机升级突破!$X$35:$X$55,卡牌消耗!L381)&gt;0,INDEX($G$2:$I$2,INDEX(挂机升级突破!$X$35:$X$55,卡牌消耗!L381))&amp;M381,"")</f>
        <v>中级蓝</v>
      </c>
      <c r="S381" s="15">
        <f>IF(R381="","",INDEX(挂机升级突破!$AE$35:$AG$55,卡牌消耗!L381,INDEX(挂机升级突破!$X$35:$X$55,卡牌消耗!L381)))</f>
        <v>55</v>
      </c>
      <c r="T381" s="15" t="str">
        <f>IF(INDEX(挂机升级突破!$Y$35:$Y$55,卡牌消耗!L381)&gt;0,"灵玉","")</f>
        <v/>
      </c>
      <c r="U381" s="15" t="str">
        <f>IF(INDEX(挂机升级突破!$Y$35:$Y$55,卡牌消耗!L381)&gt;0,INDEX(挂机升级突破!$AH$35:$AH$55,卡牌消耗!L381),"")</f>
        <v/>
      </c>
    </row>
    <row r="382" spans="9:21" ht="16.5" x14ac:dyDescent="0.2">
      <c r="I382" s="35">
        <v>346</v>
      </c>
      <c r="J382" s="15">
        <f t="shared" si="26"/>
        <v>1102017</v>
      </c>
      <c r="K382" s="15">
        <f t="shared" si="27"/>
        <v>3</v>
      </c>
      <c r="L382" s="15">
        <f t="shared" si="29"/>
        <v>10</v>
      </c>
      <c r="M382" s="15" t="str">
        <f t="shared" si="28"/>
        <v>蓝</v>
      </c>
      <c r="N382" s="15" t="str">
        <f t="shared" si="30"/>
        <v>金币</v>
      </c>
      <c r="O382" s="15">
        <f>IF(L382&gt;1,INDEX(挂机升级突破!$AI$35:$AI$55,卡牌消耗!L382),"")</f>
        <v>83000</v>
      </c>
      <c r="P382" s="15" t="str">
        <f>IF(L382&gt;1,INDEX(价值概述!$A$4:$A$8,INDEX(挂机升级突破!$W$35:$W$55,卡牌消耗!L382)),"")</f>
        <v>紫色基础材料</v>
      </c>
      <c r="Q382" s="15">
        <f>IF(L382&gt;1,INDEX(挂机升级突破!$Z$35:$AD$55,卡牌消耗!L382,INDEX(挂机升级突破!$W$35:$W$55,卡牌消耗!L382)),"")</f>
        <v>140</v>
      </c>
      <c r="R382" s="15" t="str">
        <f>IF(INDEX(挂机升级突破!$X$35:$X$55,卡牌消耗!L382)&gt;0,INDEX($G$2:$I$2,INDEX(挂机升级突破!$X$35:$X$55,卡牌消耗!L382))&amp;M382,"")</f>
        <v>中级蓝</v>
      </c>
      <c r="S382" s="15">
        <f>IF(R382="","",INDEX(挂机升级突破!$AE$35:$AG$55,卡牌消耗!L382,INDEX(挂机升级突破!$X$35:$X$55,卡牌消耗!L382)))</f>
        <v>95</v>
      </c>
      <c r="T382" s="15" t="str">
        <f>IF(INDEX(挂机升级突破!$Y$35:$Y$55,卡牌消耗!L382)&gt;0,"灵玉","")</f>
        <v/>
      </c>
      <c r="U382" s="15" t="str">
        <f>IF(INDEX(挂机升级突破!$Y$35:$Y$55,卡牌消耗!L382)&gt;0,INDEX(挂机升级突破!$AH$35:$AH$55,卡牌消耗!L382),"")</f>
        <v/>
      </c>
    </row>
    <row r="383" spans="9:21" ht="16.5" x14ac:dyDescent="0.2">
      <c r="I383" s="35">
        <v>347</v>
      </c>
      <c r="J383" s="15">
        <f t="shared" si="26"/>
        <v>1102017</v>
      </c>
      <c r="K383" s="15">
        <f t="shared" si="27"/>
        <v>3</v>
      </c>
      <c r="L383" s="15">
        <f t="shared" si="29"/>
        <v>11</v>
      </c>
      <c r="M383" s="15" t="str">
        <f t="shared" si="28"/>
        <v>蓝</v>
      </c>
      <c r="N383" s="15" t="str">
        <f t="shared" si="30"/>
        <v>金币</v>
      </c>
      <c r="O383" s="15">
        <f>IF(L383&gt;1,INDEX(挂机升级突破!$AI$35:$AI$55,卡牌消耗!L383),"")</f>
        <v>90000</v>
      </c>
      <c r="P383" s="15" t="str">
        <f>IF(L383&gt;1,INDEX(价值概述!$A$4:$A$8,INDEX(挂机升级突破!$W$35:$W$55,卡牌消耗!L383)),"")</f>
        <v>紫色基础材料</v>
      </c>
      <c r="Q383" s="15">
        <f>IF(L383&gt;1,INDEX(挂机升级突破!$Z$35:$AD$55,卡牌消耗!L383,INDEX(挂机升级突破!$W$35:$W$55,卡牌消耗!L383)),"")</f>
        <v>215</v>
      </c>
      <c r="R383" s="15" t="str">
        <f>IF(INDEX(挂机升级突破!$X$35:$X$55,卡牌消耗!L383)&gt;0,INDEX($G$2:$I$2,INDEX(挂机升级突破!$X$35:$X$55,卡牌消耗!L383))&amp;M383,"")</f>
        <v>中级蓝</v>
      </c>
      <c r="S383" s="15">
        <f>IF(R383="","",INDEX(挂机升级突破!$AE$35:$AG$55,卡牌消耗!L383,INDEX(挂机升级突破!$X$35:$X$55,卡牌消耗!L383)))</f>
        <v>145</v>
      </c>
      <c r="T383" s="15" t="str">
        <f>IF(INDEX(挂机升级突破!$Y$35:$Y$55,卡牌消耗!L383)&gt;0,"灵玉","")</f>
        <v/>
      </c>
      <c r="U383" s="15" t="str">
        <f>IF(INDEX(挂机升级突破!$Y$35:$Y$55,卡牌消耗!L383)&gt;0,INDEX(挂机升级突破!$AH$35:$AH$55,卡牌消耗!L383),"")</f>
        <v/>
      </c>
    </row>
    <row r="384" spans="9:21" ht="16.5" x14ac:dyDescent="0.2">
      <c r="I384" s="35">
        <v>348</v>
      </c>
      <c r="J384" s="15">
        <f t="shared" si="26"/>
        <v>1102017</v>
      </c>
      <c r="K384" s="15">
        <f t="shared" si="27"/>
        <v>3</v>
      </c>
      <c r="L384" s="15">
        <f t="shared" si="29"/>
        <v>12</v>
      </c>
      <c r="M384" s="15" t="str">
        <f t="shared" si="28"/>
        <v>蓝</v>
      </c>
      <c r="N384" s="15" t="str">
        <f t="shared" si="30"/>
        <v>金币</v>
      </c>
      <c r="O384" s="15">
        <f>IF(L384&gt;1,INDEX(挂机升级突破!$AI$35:$AI$55,卡牌消耗!L384),"")</f>
        <v>97000</v>
      </c>
      <c r="P384" s="15" t="str">
        <f>IF(L384&gt;1,INDEX(价值概述!$A$4:$A$8,INDEX(挂机升级突破!$W$35:$W$55,卡牌消耗!L384)),"")</f>
        <v>紫色基础材料</v>
      </c>
      <c r="Q384" s="15">
        <f>IF(L384&gt;1,INDEX(挂机升级突破!$Z$35:$AD$55,卡牌消耗!L384,INDEX(挂机升级突破!$W$35:$W$55,卡牌消耗!L384)),"")</f>
        <v>285</v>
      </c>
      <c r="R384" s="15" t="str">
        <f>IF(INDEX(挂机升级突破!$X$35:$X$55,卡牌消耗!L384)&gt;0,INDEX($G$2:$I$2,INDEX(挂机升级突破!$X$35:$X$55,卡牌消耗!L384))&amp;M384,"")</f>
        <v>中级蓝</v>
      </c>
      <c r="S384" s="15">
        <f>IF(R384="","",INDEX(挂机升级突破!$AE$35:$AG$55,卡牌消耗!L384,INDEX(挂机升级突破!$X$35:$X$55,卡牌消耗!L384)))</f>
        <v>185</v>
      </c>
      <c r="T384" s="15" t="str">
        <f>IF(INDEX(挂机升级突破!$Y$35:$Y$55,卡牌消耗!L384)&gt;0,"灵玉","")</f>
        <v/>
      </c>
      <c r="U384" s="15" t="str">
        <f>IF(INDEX(挂机升级突破!$Y$35:$Y$55,卡牌消耗!L384)&gt;0,INDEX(挂机升级突破!$AH$35:$AH$55,卡牌消耗!L384),"")</f>
        <v/>
      </c>
    </row>
    <row r="385" spans="9:21" ht="16.5" x14ac:dyDescent="0.2">
      <c r="I385" s="35">
        <v>349</v>
      </c>
      <c r="J385" s="15">
        <f t="shared" si="26"/>
        <v>1102017</v>
      </c>
      <c r="K385" s="15">
        <f t="shared" si="27"/>
        <v>3</v>
      </c>
      <c r="L385" s="15">
        <f t="shared" si="29"/>
        <v>13</v>
      </c>
      <c r="M385" s="15" t="str">
        <f t="shared" si="28"/>
        <v>蓝</v>
      </c>
      <c r="N385" s="15" t="str">
        <f t="shared" si="30"/>
        <v>金币</v>
      </c>
      <c r="O385" s="15">
        <f>IF(L385&gt;1,INDEX(挂机升级突破!$AI$35:$AI$55,卡牌消耗!L385),"")</f>
        <v>122000</v>
      </c>
      <c r="P385" s="15" t="str">
        <f>IF(L385&gt;1,INDEX(价值概述!$A$4:$A$8,INDEX(挂机升级突破!$W$35:$W$55,卡牌消耗!L385)),"")</f>
        <v>橙色基础材料</v>
      </c>
      <c r="Q385" s="15">
        <f>IF(L385&gt;1,INDEX(挂机升级突破!$Z$35:$AD$55,卡牌消耗!L385,INDEX(挂机升级突破!$W$35:$W$55,卡牌消耗!L385)),"")</f>
        <v>115</v>
      </c>
      <c r="R385" s="15" t="str">
        <f>IF(INDEX(挂机升级突破!$X$35:$X$55,卡牌消耗!L385)&gt;0,INDEX($G$2:$I$2,INDEX(挂机升级突破!$X$35:$X$55,卡牌消耗!L385))&amp;M385,"")</f>
        <v>中级蓝</v>
      </c>
      <c r="S385" s="15">
        <f>IF(R385="","",INDEX(挂机升级突破!$AE$35:$AG$55,卡牌消耗!L385,INDEX(挂机升级突破!$X$35:$X$55,卡牌消耗!L385)))</f>
        <v>225</v>
      </c>
      <c r="T385" s="15" t="str">
        <f>IF(INDEX(挂机升级突破!$Y$35:$Y$55,卡牌消耗!L385)&gt;0,"灵玉","")</f>
        <v/>
      </c>
      <c r="U385" s="15" t="str">
        <f>IF(INDEX(挂机升级突破!$Y$35:$Y$55,卡牌消耗!L385)&gt;0,INDEX(挂机升级突破!$AH$35:$AH$55,卡牌消耗!L385),"")</f>
        <v/>
      </c>
    </row>
    <row r="386" spans="9:21" ht="16.5" x14ac:dyDescent="0.2">
      <c r="I386" s="35">
        <v>350</v>
      </c>
      <c r="J386" s="15">
        <f t="shared" si="26"/>
        <v>1102017</v>
      </c>
      <c r="K386" s="15">
        <f t="shared" si="27"/>
        <v>3</v>
      </c>
      <c r="L386" s="15">
        <f t="shared" si="29"/>
        <v>14</v>
      </c>
      <c r="M386" s="15" t="str">
        <f t="shared" si="28"/>
        <v>蓝</v>
      </c>
      <c r="N386" s="15" t="str">
        <f t="shared" si="30"/>
        <v>金币</v>
      </c>
      <c r="O386" s="15">
        <f>IF(L386&gt;1,INDEX(挂机升级突破!$AI$35:$AI$55,卡牌消耗!L386),"")</f>
        <v>162500</v>
      </c>
      <c r="P386" s="15" t="str">
        <f>IF(L386&gt;1,INDEX(价值概述!$A$4:$A$8,INDEX(挂机升级突破!$W$35:$W$55,卡牌消耗!L386)),"")</f>
        <v>橙色基础材料</v>
      </c>
      <c r="Q386" s="15">
        <f>IF(L386&gt;1,INDEX(挂机升级突破!$Z$35:$AD$55,卡牌消耗!L386,INDEX(挂机升级突破!$W$35:$W$55,卡牌消耗!L386)),"")</f>
        <v>235</v>
      </c>
      <c r="R386" s="15" t="str">
        <f>IF(INDEX(挂机升级突破!$X$35:$X$55,卡牌消耗!L386)&gt;0,INDEX($G$2:$I$2,INDEX(挂机升级突破!$X$35:$X$55,卡牌消耗!L386))&amp;M386,"")</f>
        <v>中级蓝</v>
      </c>
      <c r="S386" s="15">
        <f>IF(R386="","",INDEX(挂机升级突破!$AE$35:$AG$55,卡牌消耗!L386,INDEX(挂机升级突破!$X$35:$X$55,卡牌消耗!L386)))</f>
        <v>265</v>
      </c>
      <c r="T386" s="15" t="str">
        <f>IF(INDEX(挂机升级突破!$Y$35:$Y$55,卡牌消耗!L386)&gt;0,"灵玉","")</f>
        <v/>
      </c>
      <c r="U386" s="15" t="str">
        <f>IF(INDEX(挂机升级突破!$Y$35:$Y$55,卡牌消耗!L386)&gt;0,INDEX(挂机升级突破!$AH$35:$AH$55,卡牌消耗!L386),"")</f>
        <v/>
      </c>
    </row>
    <row r="387" spans="9:21" ht="16.5" x14ac:dyDescent="0.2">
      <c r="I387" s="35">
        <v>351</v>
      </c>
      <c r="J387" s="15">
        <f t="shared" si="26"/>
        <v>1102017</v>
      </c>
      <c r="K387" s="15">
        <f t="shared" si="27"/>
        <v>3</v>
      </c>
      <c r="L387" s="15">
        <f t="shared" si="29"/>
        <v>15</v>
      </c>
      <c r="M387" s="15" t="str">
        <f t="shared" si="28"/>
        <v>蓝</v>
      </c>
      <c r="N387" s="15" t="str">
        <f t="shared" si="30"/>
        <v>金币</v>
      </c>
      <c r="O387" s="15">
        <f>IF(L387&gt;1,INDEX(挂机升级突破!$AI$35:$AI$55,卡牌消耗!L387),"")</f>
        <v>190000</v>
      </c>
      <c r="P387" s="15" t="str">
        <f>IF(L387&gt;1,INDEX(价值概述!$A$4:$A$8,INDEX(挂机升级突破!$W$35:$W$55,卡牌消耗!L387)),"")</f>
        <v>橙色基础材料</v>
      </c>
      <c r="Q387" s="15">
        <f>IF(L387&gt;1,INDEX(挂机升级突破!$Z$35:$AD$55,卡牌消耗!L387,INDEX(挂机升级突破!$W$35:$W$55,卡牌消耗!L387)),"")</f>
        <v>355</v>
      </c>
      <c r="R387" s="15" t="str">
        <f>IF(INDEX(挂机升级突破!$X$35:$X$55,卡牌消耗!L387)&gt;0,INDEX($G$2:$I$2,INDEX(挂机升级突破!$X$35:$X$55,卡牌消耗!L387))&amp;M387,"")</f>
        <v>高级蓝</v>
      </c>
      <c r="S387" s="15">
        <f>IF(R387="","",INDEX(挂机升级突破!$AE$35:$AG$55,卡牌消耗!L387,INDEX(挂机升级突破!$X$35:$X$55,卡牌消耗!L387)))</f>
        <v>45</v>
      </c>
      <c r="T387" s="15" t="str">
        <f>IF(INDEX(挂机升级突破!$Y$35:$Y$55,卡牌消耗!L387)&gt;0,"灵玉","")</f>
        <v/>
      </c>
      <c r="U387" s="15" t="str">
        <f>IF(INDEX(挂机升级突破!$Y$35:$Y$55,卡牌消耗!L387)&gt;0,INDEX(挂机升级突破!$AH$35:$AH$55,卡牌消耗!L387),"")</f>
        <v/>
      </c>
    </row>
    <row r="388" spans="9:21" ht="16.5" x14ac:dyDescent="0.2">
      <c r="I388" s="35">
        <v>352</v>
      </c>
      <c r="J388" s="15">
        <f t="shared" si="26"/>
        <v>1102017</v>
      </c>
      <c r="K388" s="15">
        <f t="shared" si="27"/>
        <v>3</v>
      </c>
      <c r="L388" s="15">
        <f t="shared" si="29"/>
        <v>16</v>
      </c>
      <c r="M388" s="15" t="str">
        <f t="shared" si="28"/>
        <v>蓝</v>
      </c>
      <c r="N388" s="15" t="str">
        <f t="shared" si="30"/>
        <v>金币</v>
      </c>
      <c r="O388" s="15">
        <f>IF(L388&gt;1,INDEX(挂机升级突破!$AI$35:$AI$55,卡牌消耗!L388),"")</f>
        <v>219000</v>
      </c>
      <c r="P388" s="15" t="str">
        <f>IF(L388&gt;1,INDEX(价值概述!$A$4:$A$8,INDEX(挂机升级突破!$W$35:$W$55,卡牌消耗!L388)),"")</f>
        <v>橙色基础材料</v>
      </c>
      <c r="Q388" s="15">
        <f>IF(L388&gt;1,INDEX(挂机升级突破!$Z$35:$AD$55,卡牌消耗!L388,INDEX(挂机升级突破!$W$35:$W$55,卡牌消耗!L388)),"")</f>
        <v>475</v>
      </c>
      <c r="R388" s="15" t="str">
        <f>IF(INDEX(挂机升级突破!$X$35:$X$55,卡牌消耗!L388)&gt;0,INDEX($G$2:$I$2,INDEX(挂机升级突破!$X$35:$X$55,卡牌消耗!L388))&amp;M388,"")</f>
        <v>高级蓝</v>
      </c>
      <c r="S388" s="15">
        <f>IF(R388="","",INDEX(挂机升级突破!$AE$35:$AG$55,卡牌消耗!L388,INDEX(挂机升级突破!$X$35:$X$55,卡牌消耗!L388)))</f>
        <v>70</v>
      </c>
      <c r="T388" s="15" t="str">
        <f>IF(INDEX(挂机升级突破!$Y$35:$Y$55,卡牌消耗!L388)&gt;0,"灵玉","")</f>
        <v/>
      </c>
      <c r="U388" s="15" t="str">
        <f>IF(INDEX(挂机升级突破!$Y$35:$Y$55,卡牌消耗!L388)&gt;0,INDEX(挂机升级突破!$AH$35:$AH$55,卡牌消耗!L388),"")</f>
        <v/>
      </c>
    </row>
    <row r="389" spans="9:21" ht="16.5" x14ac:dyDescent="0.2">
      <c r="I389" s="35">
        <v>353</v>
      </c>
      <c r="J389" s="15">
        <f t="shared" si="26"/>
        <v>1102017</v>
      </c>
      <c r="K389" s="15">
        <f t="shared" si="27"/>
        <v>3</v>
      </c>
      <c r="L389" s="15">
        <f t="shared" si="29"/>
        <v>17</v>
      </c>
      <c r="M389" s="15" t="str">
        <f t="shared" si="28"/>
        <v>蓝</v>
      </c>
      <c r="N389" s="15" t="str">
        <f t="shared" si="30"/>
        <v>金币</v>
      </c>
      <c r="O389" s="15">
        <f>IF(L389&gt;1,INDEX(挂机升级突破!$AI$35:$AI$55,卡牌消耗!L389),"")</f>
        <v>228000</v>
      </c>
      <c r="P389" s="15" t="str">
        <f>IF(L389&gt;1,INDEX(价值概述!$A$4:$A$8,INDEX(挂机升级突破!$W$35:$W$55,卡牌消耗!L389)),"")</f>
        <v>红色基础材料</v>
      </c>
      <c r="Q389" s="15">
        <f>IF(L389&gt;1,INDEX(挂机升级突破!$Z$35:$AD$55,卡牌消耗!L389,INDEX(挂机升级突破!$W$35:$W$55,卡牌消耗!L389)),"")</f>
        <v>45</v>
      </c>
      <c r="R389" s="15" t="str">
        <f>IF(INDEX(挂机升级突破!$X$35:$X$55,卡牌消耗!L389)&gt;0,INDEX($G$2:$I$2,INDEX(挂机升级突破!$X$35:$X$55,卡牌消耗!L389))&amp;M389,"")</f>
        <v>高级蓝</v>
      </c>
      <c r="S389" s="15">
        <f>IF(R389="","",INDEX(挂机升级突破!$AE$35:$AG$55,卡牌消耗!L389,INDEX(挂机升级突破!$X$35:$X$55,卡牌消耗!L389)))</f>
        <v>100</v>
      </c>
      <c r="T389" s="15" t="str">
        <f>IF(INDEX(挂机升级突破!$Y$35:$Y$55,卡牌消耗!L389)&gt;0,"灵玉","")</f>
        <v>灵玉</v>
      </c>
      <c r="U389" s="15">
        <f>IF(INDEX(挂机升级突破!$Y$35:$Y$55,卡牌消耗!L389)&gt;0,INDEX(挂机升级突破!$AH$35:$AH$55,卡牌消耗!L389),"")</f>
        <v>25</v>
      </c>
    </row>
    <row r="390" spans="9:21" ht="16.5" x14ac:dyDescent="0.2">
      <c r="I390" s="35">
        <v>354</v>
      </c>
      <c r="J390" s="15">
        <f t="shared" si="26"/>
        <v>1102017</v>
      </c>
      <c r="K390" s="15">
        <f t="shared" si="27"/>
        <v>3</v>
      </c>
      <c r="L390" s="15">
        <f t="shared" si="29"/>
        <v>18</v>
      </c>
      <c r="M390" s="15" t="str">
        <f t="shared" si="28"/>
        <v>蓝</v>
      </c>
      <c r="N390" s="15" t="str">
        <f t="shared" si="30"/>
        <v>金币</v>
      </c>
      <c r="O390" s="15">
        <f>IF(L390&gt;1,INDEX(挂机升级突破!$AI$35:$AI$55,卡牌消耗!L390),"")</f>
        <v>319500</v>
      </c>
      <c r="P390" s="15" t="str">
        <f>IF(L390&gt;1,INDEX(价值概述!$A$4:$A$8,INDEX(挂机升级突破!$W$35:$W$55,卡牌消耗!L390)),"")</f>
        <v>红色基础材料</v>
      </c>
      <c r="Q390" s="15">
        <f>IF(L390&gt;1,INDEX(挂机升级突破!$Z$35:$AD$55,卡牌消耗!L390,INDEX(挂机升级突破!$W$35:$W$55,卡牌消耗!L390)),"")</f>
        <v>65</v>
      </c>
      <c r="R390" s="15" t="str">
        <f>IF(INDEX(挂机升级突破!$X$35:$X$55,卡牌消耗!L390)&gt;0,INDEX($G$2:$I$2,INDEX(挂机升级突破!$X$35:$X$55,卡牌消耗!L390))&amp;M390,"")</f>
        <v>高级蓝</v>
      </c>
      <c r="S390" s="15">
        <f>IF(R390="","",INDEX(挂机升级突破!$AE$35:$AG$55,卡牌消耗!L390,INDEX(挂机升级突破!$X$35:$X$55,卡牌消耗!L390)))</f>
        <v>125</v>
      </c>
      <c r="T390" s="15" t="str">
        <f>IF(INDEX(挂机升级突破!$Y$35:$Y$55,卡牌消耗!L390)&gt;0,"灵玉","")</f>
        <v>灵玉</v>
      </c>
      <c r="U390" s="15">
        <f>IF(INDEX(挂机升级突破!$Y$35:$Y$55,卡牌消耗!L390)&gt;0,INDEX(挂机升级突破!$AH$35:$AH$55,卡牌消耗!L390),"")</f>
        <v>35</v>
      </c>
    </row>
    <row r="391" spans="9:21" ht="16.5" x14ac:dyDescent="0.2">
      <c r="I391" s="35">
        <v>355</v>
      </c>
      <c r="J391" s="15">
        <f t="shared" si="26"/>
        <v>1102017</v>
      </c>
      <c r="K391" s="15">
        <f t="shared" si="27"/>
        <v>3</v>
      </c>
      <c r="L391" s="15">
        <f t="shared" si="29"/>
        <v>19</v>
      </c>
      <c r="M391" s="15" t="str">
        <f t="shared" si="28"/>
        <v>蓝</v>
      </c>
      <c r="N391" s="15" t="str">
        <f t="shared" si="30"/>
        <v>金币</v>
      </c>
      <c r="O391" s="15">
        <f>IF(L391&gt;1,INDEX(挂机升级突破!$AI$35:$AI$55,卡牌消耗!L391),"")</f>
        <v>426000</v>
      </c>
      <c r="P391" s="15" t="str">
        <f>IF(L391&gt;1,INDEX(价值概述!$A$4:$A$8,INDEX(挂机升级突破!$W$35:$W$55,卡牌消耗!L391)),"")</f>
        <v>红色基础材料</v>
      </c>
      <c r="Q391" s="15">
        <f>IF(L391&gt;1,INDEX(挂机升级突破!$Z$35:$AD$55,卡牌消耗!L391,INDEX(挂机升级突破!$W$35:$W$55,卡牌消耗!L391)),"")</f>
        <v>90</v>
      </c>
      <c r="R391" s="15" t="str">
        <f>IF(INDEX(挂机升级突破!$X$35:$X$55,卡牌消耗!L391)&gt;0,INDEX($G$2:$I$2,INDEX(挂机升级突破!$X$35:$X$55,卡牌消耗!L391))&amp;M391,"")</f>
        <v>高级蓝</v>
      </c>
      <c r="S391" s="15">
        <f>IF(R391="","",INDEX(挂机升级突破!$AE$35:$AG$55,卡牌消耗!L391,INDEX(挂机升级突破!$X$35:$X$55,卡牌消耗!L391)))</f>
        <v>155</v>
      </c>
      <c r="T391" s="15" t="str">
        <f>IF(INDEX(挂机升级突破!$Y$35:$Y$55,卡牌消耗!L391)&gt;0,"灵玉","")</f>
        <v>灵玉</v>
      </c>
      <c r="U391" s="15">
        <f>IF(INDEX(挂机升级突破!$Y$35:$Y$55,卡牌消耗!L391)&gt;0,INDEX(挂机升级突破!$AH$35:$AH$55,卡牌消耗!L391),"")</f>
        <v>50</v>
      </c>
    </row>
    <row r="392" spans="9:21" ht="16.5" x14ac:dyDescent="0.2">
      <c r="I392" s="35">
        <v>356</v>
      </c>
      <c r="J392" s="15">
        <f t="shared" si="26"/>
        <v>1102017</v>
      </c>
      <c r="K392" s="15">
        <f t="shared" si="27"/>
        <v>3</v>
      </c>
      <c r="L392" s="15">
        <f t="shared" si="29"/>
        <v>20</v>
      </c>
      <c r="M392" s="15" t="str">
        <f t="shared" si="28"/>
        <v>蓝</v>
      </c>
      <c r="N392" s="15" t="str">
        <f t="shared" si="30"/>
        <v>金币</v>
      </c>
      <c r="O392" s="15">
        <f>IF(L392&gt;1,INDEX(挂机升级突破!$AI$35:$AI$55,卡牌消耗!L392),"")</f>
        <v>532500</v>
      </c>
      <c r="P392" s="15" t="str">
        <f>IF(L392&gt;1,INDEX(价值概述!$A$4:$A$8,INDEX(挂机升级突破!$W$35:$W$55,卡牌消耗!L392)),"")</f>
        <v>红色基础材料</v>
      </c>
      <c r="Q392" s="15">
        <f>IF(L392&gt;1,INDEX(挂机升级突破!$Z$35:$AD$55,卡牌消耗!L392,INDEX(挂机升级突破!$W$35:$W$55,卡牌消耗!L392)),"")</f>
        <v>110</v>
      </c>
      <c r="R392" s="15" t="str">
        <f>IF(INDEX(挂机升级突破!$X$35:$X$55,卡牌消耗!L392)&gt;0,INDEX($G$2:$I$2,INDEX(挂机升级突破!$X$35:$X$55,卡牌消耗!L392))&amp;M392,"")</f>
        <v>高级蓝</v>
      </c>
      <c r="S392" s="15">
        <f>IF(R392="","",INDEX(挂机升级突破!$AE$35:$AG$55,卡牌消耗!L392,INDEX(挂机升级突破!$X$35:$X$55,卡牌消耗!L392)))</f>
        <v>180</v>
      </c>
      <c r="T392" s="15" t="str">
        <f>IF(INDEX(挂机升级突破!$Y$35:$Y$55,卡牌消耗!L392)&gt;0,"灵玉","")</f>
        <v>灵玉</v>
      </c>
      <c r="U392" s="15">
        <f>IF(INDEX(挂机升级突破!$Y$35:$Y$55,卡牌消耗!L392)&gt;0,INDEX(挂机升级突破!$AH$35:$AH$55,卡牌消耗!L392),"")</f>
        <v>65</v>
      </c>
    </row>
    <row r="393" spans="9:21" ht="16.5" x14ac:dyDescent="0.2">
      <c r="I393" s="35">
        <v>357</v>
      </c>
      <c r="J393" s="15">
        <f t="shared" si="26"/>
        <v>1102017</v>
      </c>
      <c r="K393" s="15">
        <f t="shared" si="27"/>
        <v>3</v>
      </c>
      <c r="L393" s="15">
        <f t="shared" si="29"/>
        <v>21</v>
      </c>
      <c r="M393" s="15" t="str">
        <f t="shared" si="28"/>
        <v>蓝</v>
      </c>
      <c r="N393" s="15" t="str">
        <f t="shared" si="30"/>
        <v>金币</v>
      </c>
      <c r="O393" s="15">
        <f>IF(L393&gt;1,INDEX(挂机升级突破!$AI$35:$AI$55,卡牌消耗!L393),"")</f>
        <v>639000</v>
      </c>
      <c r="P393" s="15" t="str">
        <f>IF(L393&gt;1,INDEX(价值概述!$A$4:$A$8,INDEX(挂机升级突破!$W$35:$W$55,卡牌消耗!L393)),"")</f>
        <v>红色基础材料</v>
      </c>
      <c r="Q393" s="15">
        <f>IF(L393&gt;1,INDEX(挂机升级突破!$Z$35:$AD$55,卡牌消耗!L393,INDEX(挂机升级突破!$W$35:$W$55,卡牌消耗!L393)),"")</f>
        <v>135</v>
      </c>
      <c r="R393" s="15" t="str">
        <f>IF(INDEX(挂机升级突破!$X$35:$X$55,卡牌消耗!L393)&gt;0,INDEX($G$2:$I$2,INDEX(挂机升级突破!$X$35:$X$55,卡牌消耗!L393))&amp;M393,"")</f>
        <v>高级蓝</v>
      </c>
      <c r="S393" s="15">
        <f>IF(R393="","",INDEX(挂机升级突破!$AE$35:$AG$55,卡牌消耗!L393,INDEX(挂机升级突破!$X$35:$X$55,卡牌消耗!L393)))</f>
        <v>225</v>
      </c>
      <c r="T393" s="15" t="str">
        <f>IF(INDEX(挂机升级突破!$Y$35:$Y$55,卡牌消耗!L393)&gt;0,"灵玉","")</f>
        <v>灵玉</v>
      </c>
      <c r="U393" s="15">
        <f>IF(INDEX(挂机升级突破!$Y$35:$Y$55,卡牌消耗!L393)&gt;0,INDEX(挂机升级突破!$AH$35:$AH$55,卡牌消耗!L393),"")</f>
        <v>75</v>
      </c>
    </row>
    <row r="394" spans="9:21" ht="16.5" x14ac:dyDescent="0.2">
      <c r="I394" s="35">
        <v>358</v>
      </c>
      <c r="J394" s="15">
        <f t="shared" si="26"/>
        <v>1102018</v>
      </c>
      <c r="K394" s="15">
        <f t="shared" si="27"/>
        <v>3</v>
      </c>
      <c r="L394" s="15">
        <f t="shared" si="29"/>
        <v>1</v>
      </c>
      <c r="M394" s="15" t="str">
        <f t="shared" si="28"/>
        <v>黄</v>
      </c>
      <c r="N394" s="15" t="str">
        <f t="shared" si="30"/>
        <v/>
      </c>
      <c r="O394" s="15" t="str">
        <f>IF(L394&gt;1,INDEX(挂机升级突破!$AI$35:$AI$55,卡牌消耗!L394),"")</f>
        <v/>
      </c>
      <c r="P394" s="15" t="str">
        <f>IF(L394&gt;1,INDEX(价值概述!$A$4:$A$8,INDEX(挂机升级突破!$W$35:$W$55,卡牌消耗!L394)),"")</f>
        <v/>
      </c>
      <c r="Q394" s="15" t="str">
        <f>IF(L394&gt;1,INDEX(挂机升级突破!$Z$35:$AD$55,卡牌消耗!L394,INDEX(挂机升级突破!$W$35:$W$55,卡牌消耗!L394)),"")</f>
        <v/>
      </c>
      <c r="R394" s="15" t="str">
        <f>IF(INDEX(挂机升级突破!$X$35:$X$55,卡牌消耗!L394)&gt;0,INDEX($G$2:$I$2,INDEX(挂机升级突破!$X$35:$X$55,卡牌消耗!L394))&amp;M394,"")</f>
        <v/>
      </c>
      <c r="S394" s="15" t="str">
        <f>IF(R394="","",INDEX(挂机升级突破!$AE$35:$AG$55,卡牌消耗!L394,INDEX(挂机升级突破!$X$35:$X$55,卡牌消耗!L394)))</f>
        <v/>
      </c>
      <c r="T394" s="15" t="str">
        <f>IF(INDEX(挂机升级突破!$Y$35:$Y$55,卡牌消耗!L394)&gt;0,"灵玉","")</f>
        <v/>
      </c>
      <c r="U394" s="15" t="str">
        <f>IF(INDEX(挂机升级突破!$Y$35:$Y$55,卡牌消耗!L394)&gt;0,INDEX(挂机升级突破!$AH$35:$AH$55,卡牌消耗!L394),"")</f>
        <v/>
      </c>
    </row>
    <row r="395" spans="9:21" ht="16.5" x14ac:dyDescent="0.2">
      <c r="I395" s="35">
        <v>359</v>
      </c>
      <c r="J395" s="15">
        <f t="shared" si="26"/>
        <v>1102018</v>
      </c>
      <c r="K395" s="15">
        <f t="shared" si="27"/>
        <v>3</v>
      </c>
      <c r="L395" s="15">
        <f t="shared" si="29"/>
        <v>2</v>
      </c>
      <c r="M395" s="15" t="str">
        <f t="shared" si="28"/>
        <v>黄</v>
      </c>
      <c r="N395" s="15" t="str">
        <f t="shared" si="30"/>
        <v>金币</v>
      </c>
      <c r="O395" s="15">
        <f>IF(L395&gt;1,INDEX(挂机升级突破!$AI$35:$AI$55,卡牌消耗!L395),"")</f>
        <v>2500</v>
      </c>
      <c r="P395" s="15" t="str">
        <f>IF(L395&gt;1,INDEX(价值概述!$A$4:$A$8,INDEX(挂机升级突破!$W$35:$W$55,卡牌消耗!L395)),"")</f>
        <v>绿色基础材料</v>
      </c>
      <c r="Q395" s="15">
        <f>IF(L395&gt;1,INDEX(挂机升级突破!$Z$35:$AD$55,卡牌消耗!L395,INDEX(挂机升级突破!$W$35:$W$55,卡牌消耗!L395)),"")</f>
        <v>10</v>
      </c>
      <c r="R395" s="15" t="str">
        <f>IF(INDEX(挂机升级突破!$X$35:$X$55,卡牌消耗!L395)&gt;0,INDEX($G$2:$I$2,INDEX(挂机升级突破!$X$35:$X$55,卡牌消耗!L395))&amp;M395,"")</f>
        <v/>
      </c>
      <c r="S395" s="15" t="str">
        <f>IF(R395="","",INDEX(挂机升级突破!$AE$35:$AG$55,卡牌消耗!L395,INDEX(挂机升级突破!$X$35:$X$55,卡牌消耗!L395)))</f>
        <v/>
      </c>
      <c r="T395" s="15" t="str">
        <f>IF(INDEX(挂机升级突破!$Y$35:$Y$55,卡牌消耗!L395)&gt;0,"灵玉","")</f>
        <v/>
      </c>
      <c r="U395" s="15" t="str">
        <f>IF(INDEX(挂机升级突破!$Y$35:$Y$55,卡牌消耗!L395)&gt;0,INDEX(挂机升级突破!$AH$35:$AH$55,卡牌消耗!L395),"")</f>
        <v/>
      </c>
    </row>
    <row r="396" spans="9:21" ht="16.5" x14ac:dyDescent="0.2">
      <c r="I396" s="35">
        <v>360</v>
      </c>
      <c r="J396" s="15">
        <f t="shared" si="26"/>
        <v>1102018</v>
      </c>
      <c r="K396" s="15">
        <f t="shared" si="27"/>
        <v>3</v>
      </c>
      <c r="L396" s="15">
        <f t="shared" si="29"/>
        <v>3</v>
      </c>
      <c r="M396" s="15" t="str">
        <f t="shared" si="28"/>
        <v>黄</v>
      </c>
      <c r="N396" s="15" t="str">
        <f t="shared" si="30"/>
        <v>金币</v>
      </c>
      <c r="O396" s="15">
        <f>IF(L396&gt;1,INDEX(挂机升级突破!$AI$35:$AI$55,卡牌消耗!L396),"")</f>
        <v>8000</v>
      </c>
      <c r="P396" s="15" t="str">
        <f>IF(L396&gt;1,INDEX(价值概述!$A$4:$A$8,INDEX(挂机升级突破!$W$35:$W$55,卡牌消耗!L396)),"")</f>
        <v>绿色基础材料</v>
      </c>
      <c r="Q396" s="15">
        <f>IF(L396&gt;1,INDEX(挂机升级突破!$Z$35:$AD$55,卡牌消耗!L396,INDEX(挂机升级突破!$W$35:$W$55,卡牌消耗!L396)),"")</f>
        <v>40</v>
      </c>
      <c r="R396" s="15" t="str">
        <f>IF(INDEX(挂机升级突破!$X$35:$X$55,卡牌消耗!L396)&gt;0,INDEX($G$2:$I$2,INDEX(挂机升级突破!$X$35:$X$55,卡牌消耗!L396))&amp;M396,"")</f>
        <v/>
      </c>
      <c r="S396" s="15" t="str">
        <f>IF(R396="","",INDEX(挂机升级突破!$AE$35:$AG$55,卡牌消耗!L396,INDEX(挂机升级突破!$X$35:$X$55,卡牌消耗!L396)))</f>
        <v/>
      </c>
      <c r="T396" s="15" t="str">
        <f>IF(INDEX(挂机升级突破!$Y$35:$Y$55,卡牌消耗!L396)&gt;0,"灵玉","")</f>
        <v/>
      </c>
      <c r="U396" s="15" t="str">
        <f>IF(INDEX(挂机升级突破!$Y$35:$Y$55,卡牌消耗!L396)&gt;0,INDEX(挂机升级突破!$AH$35:$AH$55,卡牌消耗!L396),"")</f>
        <v/>
      </c>
    </row>
    <row r="397" spans="9:21" ht="16.5" x14ac:dyDescent="0.2">
      <c r="I397" s="35">
        <v>361</v>
      </c>
      <c r="J397" s="15">
        <f t="shared" si="26"/>
        <v>1102018</v>
      </c>
      <c r="K397" s="15">
        <f t="shared" si="27"/>
        <v>3</v>
      </c>
      <c r="L397" s="15">
        <f t="shared" si="29"/>
        <v>4</v>
      </c>
      <c r="M397" s="15" t="str">
        <f t="shared" si="28"/>
        <v>黄</v>
      </c>
      <c r="N397" s="15" t="str">
        <f t="shared" si="30"/>
        <v>金币</v>
      </c>
      <c r="O397" s="15">
        <f>IF(L397&gt;1,INDEX(挂机升级突破!$AI$35:$AI$55,卡牌消耗!L397),"")</f>
        <v>16500</v>
      </c>
      <c r="P397" s="15" t="str">
        <f>IF(L397&gt;1,INDEX(价值概述!$A$4:$A$8,INDEX(挂机升级突破!$W$35:$W$55,卡牌消耗!L397)),"")</f>
        <v>绿色基础材料</v>
      </c>
      <c r="Q397" s="15">
        <f>IF(L397&gt;1,INDEX(挂机升级突破!$Z$35:$AD$55,卡牌消耗!L397,INDEX(挂机升级突破!$W$35:$W$55,卡牌消耗!L397)),"")</f>
        <v>80</v>
      </c>
      <c r="R397" s="15" t="str">
        <f>IF(INDEX(挂机升级突破!$X$35:$X$55,卡牌消耗!L397)&gt;0,INDEX($G$2:$I$2,INDEX(挂机升级突破!$X$35:$X$55,卡牌消耗!L397))&amp;M397,"")</f>
        <v>初级黄</v>
      </c>
      <c r="S397" s="15">
        <f>IF(R397="","",INDEX(挂机升级突破!$AE$35:$AG$55,卡牌消耗!L397,INDEX(挂机升级突破!$X$35:$X$55,卡牌消耗!L397)))</f>
        <v>40</v>
      </c>
      <c r="T397" s="15" t="str">
        <f>IF(INDEX(挂机升级突破!$Y$35:$Y$55,卡牌消耗!L397)&gt;0,"灵玉","")</f>
        <v/>
      </c>
      <c r="U397" s="15" t="str">
        <f>IF(INDEX(挂机升级突破!$Y$35:$Y$55,卡牌消耗!L397)&gt;0,INDEX(挂机升级突破!$AH$35:$AH$55,卡牌消耗!L397),"")</f>
        <v/>
      </c>
    </row>
    <row r="398" spans="9:21" ht="16.5" x14ac:dyDescent="0.2">
      <c r="I398" s="35">
        <v>362</v>
      </c>
      <c r="J398" s="15">
        <f t="shared" si="26"/>
        <v>1102018</v>
      </c>
      <c r="K398" s="15">
        <f t="shared" si="27"/>
        <v>3</v>
      </c>
      <c r="L398" s="15">
        <f t="shared" si="29"/>
        <v>5</v>
      </c>
      <c r="M398" s="15" t="str">
        <f t="shared" si="28"/>
        <v>黄</v>
      </c>
      <c r="N398" s="15" t="str">
        <f t="shared" si="30"/>
        <v>金币</v>
      </c>
      <c r="O398" s="15">
        <f>IF(L398&gt;1,INDEX(挂机升级突破!$AI$35:$AI$55,卡牌消耗!L398),"")</f>
        <v>22500</v>
      </c>
      <c r="P398" s="15" t="str">
        <f>IF(L398&gt;1,INDEX(价值概述!$A$4:$A$8,INDEX(挂机升级突破!$W$35:$W$55,卡牌消耗!L398)),"")</f>
        <v>蓝色基础材料</v>
      </c>
      <c r="Q398" s="15">
        <f>IF(L398&gt;1,INDEX(挂机升级突破!$Z$35:$AD$55,卡牌消耗!L398,INDEX(挂机升级突破!$W$35:$W$55,卡牌消耗!L398)),"")</f>
        <v>35</v>
      </c>
      <c r="R398" s="15" t="str">
        <f>IF(INDEX(挂机升级突破!$X$35:$X$55,卡牌消耗!L398)&gt;0,INDEX($G$2:$I$2,INDEX(挂机升级突破!$X$35:$X$55,卡牌消耗!L398))&amp;M398,"")</f>
        <v>初级黄</v>
      </c>
      <c r="S398" s="15">
        <f>IF(R398="","",INDEX(挂机升级突破!$AE$35:$AG$55,卡牌消耗!L398,INDEX(挂机升级突破!$X$35:$X$55,卡牌消耗!L398)))</f>
        <v>65</v>
      </c>
      <c r="T398" s="15" t="str">
        <f>IF(INDEX(挂机升级突破!$Y$35:$Y$55,卡牌消耗!L398)&gt;0,"灵玉","")</f>
        <v/>
      </c>
      <c r="U398" s="15" t="str">
        <f>IF(INDEX(挂机升级突破!$Y$35:$Y$55,卡牌消耗!L398)&gt;0,INDEX(挂机升级突破!$AH$35:$AH$55,卡牌消耗!L398),"")</f>
        <v/>
      </c>
    </row>
    <row r="399" spans="9:21" ht="16.5" x14ac:dyDescent="0.2">
      <c r="I399" s="35">
        <v>363</v>
      </c>
      <c r="J399" s="15">
        <f t="shared" si="26"/>
        <v>1102018</v>
      </c>
      <c r="K399" s="15">
        <f t="shared" si="27"/>
        <v>3</v>
      </c>
      <c r="L399" s="15">
        <f t="shared" si="29"/>
        <v>6</v>
      </c>
      <c r="M399" s="15" t="str">
        <f t="shared" si="28"/>
        <v>黄</v>
      </c>
      <c r="N399" s="15" t="str">
        <f t="shared" si="30"/>
        <v>金币</v>
      </c>
      <c r="O399" s="15">
        <f>IF(L399&gt;1,INDEX(挂机升级突破!$AI$35:$AI$55,卡牌消耗!L399),"")</f>
        <v>53000</v>
      </c>
      <c r="P399" s="15" t="str">
        <f>IF(L399&gt;1,INDEX(价值概述!$A$4:$A$8,INDEX(挂机升级突破!$W$35:$W$55,卡牌消耗!L399)),"")</f>
        <v>蓝色基础材料</v>
      </c>
      <c r="Q399" s="15">
        <f>IF(L399&gt;1,INDEX(挂机升级突破!$Z$35:$AD$55,卡牌消耗!L399,INDEX(挂机升级突破!$W$35:$W$55,卡牌消耗!L399)),"")</f>
        <v>70</v>
      </c>
      <c r="R399" s="15" t="str">
        <f>IF(INDEX(挂机升级突破!$X$35:$X$55,卡牌消耗!L399)&gt;0,INDEX($G$2:$I$2,INDEX(挂机升级突破!$X$35:$X$55,卡牌消耗!L399))&amp;M399,"")</f>
        <v>初级黄</v>
      </c>
      <c r="S399" s="15">
        <f>IF(R399="","",INDEX(挂机升级突破!$AE$35:$AG$55,卡牌消耗!L399,INDEX(挂机升级突破!$X$35:$X$55,卡牌消耗!L399)))</f>
        <v>85</v>
      </c>
      <c r="T399" s="15" t="str">
        <f>IF(INDEX(挂机升级突破!$Y$35:$Y$55,卡牌消耗!L399)&gt;0,"灵玉","")</f>
        <v/>
      </c>
      <c r="U399" s="15" t="str">
        <f>IF(INDEX(挂机升级突破!$Y$35:$Y$55,卡牌消耗!L399)&gt;0,INDEX(挂机升级突破!$AH$35:$AH$55,卡牌消耗!L399),"")</f>
        <v/>
      </c>
    </row>
    <row r="400" spans="9:21" ht="16.5" x14ac:dyDescent="0.2">
      <c r="I400" s="35">
        <v>364</v>
      </c>
      <c r="J400" s="15">
        <f t="shared" si="26"/>
        <v>1102018</v>
      </c>
      <c r="K400" s="15">
        <f t="shared" si="27"/>
        <v>3</v>
      </c>
      <c r="L400" s="15">
        <f t="shared" si="29"/>
        <v>7</v>
      </c>
      <c r="M400" s="15" t="str">
        <f t="shared" si="28"/>
        <v>黄</v>
      </c>
      <c r="N400" s="15" t="str">
        <f t="shared" si="30"/>
        <v>金币</v>
      </c>
      <c r="O400" s="15">
        <f>IF(L400&gt;1,INDEX(挂机升级突破!$AI$35:$AI$55,卡牌消耗!L400),"")</f>
        <v>59500</v>
      </c>
      <c r="P400" s="15" t="str">
        <f>IF(L400&gt;1,INDEX(价值概述!$A$4:$A$8,INDEX(挂机升级突破!$W$35:$W$55,卡牌消耗!L400)),"")</f>
        <v>蓝色基础材料</v>
      </c>
      <c r="Q400" s="15">
        <f>IF(L400&gt;1,INDEX(挂机升级突破!$Z$35:$AD$55,卡牌消耗!L400,INDEX(挂机升级突破!$W$35:$W$55,卡牌消耗!L400)),"")</f>
        <v>110</v>
      </c>
      <c r="R400" s="15" t="str">
        <f>IF(INDEX(挂机升级突破!$X$35:$X$55,卡牌消耗!L400)&gt;0,INDEX($G$2:$I$2,INDEX(挂机升级突破!$X$35:$X$55,卡牌消耗!L400))&amp;M400,"")</f>
        <v>初级黄</v>
      </c>
      <c r="S400" s="15">
        <f>IF(R400="","",INDEX(挂机升级突破!$AE$35:$AG$55,卡牌消耗!L400,INDEX(挂机升级突破!$X$35:$X$55,卡牌消耗!L400)))</f>
        <v>110</v>
      </c>
      <c r="T400" s="15" t="str">
        <f>IF(INDEX(挂机升级突破!$Y$35:$Y$55,卡牌消耗!L400)&gt;0,"灵玉","")</f>
        <v/>
      </c>
      <c r="U400" s="15" t="str">
        <f>IF(INDEX(挂机升级突破!$Y$35:$Y$55,卡牌消耗!L400)&gt;0,INDEX(挂机升级突破!$AH$35:$AH$55,卡牌消耗!L400),"")</f>
        <v/>
      </c>
    </row>
    <row r="401" spans="9:21" ht="16.5" x14ac:dyDescent="0.2">
      <c r="I401" s="35">
        <v>365</v>
      </c>
      <c r="J401" s="15">
        <f t="shared" si="26"/>
        <v>1102018</v>
      </c>
      <c r="K401" s="15">
        <f t="shared" si="27"/>
        <v>3</v>
      </c>
      <c r="L401" s="15">
        <f t="shared" si="29"/>
        <v>8</v>
      </c>
      <c r="M401" s="15" t="str">
        <f t="shared" si="28"/>
        <v>黄</v>
      </c>
      <c r="N401" s="15" t="str">
        <f t="shared" si="30"/>
        <v>金币</v>
      </c>
      <c r="O401" s="15">
        <f>IF(L401&gt;1,INDEX(挂机升级突破!$AI$35:$AI$55,卡牌消耗!L401),"")</f>
        <v>65500</v>
      </c>
      <c r="P401" s="15" t="str">
        <f>IF(L401&gt;1,INDEX(价值概述!$A$4:$A$8,INDEX(挂机升级突破!$W$35:$W$55,卡牌消耗!L401)),"")</f>
        <v>蓝色基础材料</v>
      </c>
      <c r="Q401" s="15">
        <f>IF(L401&gt;1,INDEX(挂机升级突破!$Z$35:$AD$55,卡牌消耗!L401,INDEX(挂机升级突破!$W$35:$W$55,卡牌消耗!L401)),"")</f>
        <v>145</v>
      </c>
      <c r="R401" s="15" t="str">
        <f>IF(INDEX(挂机升级突破!$X$35:$X$55,卡牌消耗!L401)&gt;0,INDEX($G$2:$I$2,INDEX(挂机升级突破!$X$35:$X$55,卡牌消耗!L401))&amp;M401,"")</f>
        <v>初级黄</v>
      </c>
      <c r="S401" s="15">
        <f>IF(R401="","",INDEX(挂机升级突破!$AE$35:$AG$55,卡牌消耗!L401,INDEX(挂机升级突破!$X$35:$X$55,卡牌消耗!L401)))</f>
        <v>130</v>
      </c>
      <c r="T401" s="15" t="str">
        <f>IF(INDEX(挂机升级突破!$Y$35:$Y$55,卡牌消耗!L401)&gt;0,"灵玉","")</f>
        <v/>
      </c>
      <c r="U401" s="15" t="str">
        <f>IF(INDEX(挂机升级突破!$Y$35:$Y$55,卡牌消耗!L401)&gt;0,INDEX(挂机升级突破!$AH$35:$AH$55,卡牌消耗!L401),"")</f>
        <v/>
      </c>
    </row>
    <row r="402" spans="9:21" ht="16.5" x14ac:dyDescent="0.2">
      <c r="I402" s="35">
        <v>366</v>
      </c>
      <c r="J402" s="15">
        <f t="shared" si="26"/>
        <v>1102018</v>
      </c>
      <c r="K402" s="15">
        <f t="shared" si="27"/>
        <v>3</v>
      </c>
      <c r="L402" s="15">
        <f t="shared" si="29"/>
        <v>9</v>
      </c>
      <c r="M402" s="15" t="str">
        <f t="shared" si="28"/>
        <v>黄</v>
      </c>
      <c r="N402" s="15" t="str">
        <f t="shared" si="30"/>
        <v>金币</v>
      </c>
      <c r="O402" s="15">
        <f>IF(L402&gt;1,INDEX(挂机升级突破!$AI$35:$AI$55,卡牌消耗!L402),"")</f>
        <v>76000</v>
      </c>
      <c r="P402" s="15" t="str">
        <f>IF(L402&gt;1,INDEX(价值概述!$A$4:$A$8,INDEX(挂机升级突破!$W$35:$W$55,卡牌消耗!L402)),"")</f>
        <v>紫色基础材料</v>
      </c>
      <c r="Q402" s="15">
        <f>IF(L402&gt;1,INDEX(挂机升级突破!$Z$35:$AD$55,卡牌消耗!L402,INDEX(挂机升级突破!$W$35:$W$55,卡牌消耗!L402)),"")</f>
        <v>70</v>
      </c>
      <c r="R402" s="15" t="str">
        <f>IF(INDEX(挂机升级突破!$X$35:$X$55,卡牌消耗!L402)&gt;0,INDEX($G$2:$I$2,INDEX(挂机升级突破!$X$35:$X$55,卡牌消耗!L402))&amp;M402,"")</f>
        <v>中级黄</v>
      </c>
      <c r="S402" s="15">
        <f>IF(R402="","",INDEX(挂机升级突破!$AE$35:$AG$55,卡牌消耗!L402,INDEX(挂机升级突破!$X$35:$X$55,卡牌消耗!L402)))</f>
        <v>55</v>
      </c>
      <c r="T402" s="15" t="str">
        <f>IF(INDEX(挂机升级突破!$Y$35:$Y$55,卡牌消耗!L402)&gt;0,"灵玉","")</f>
        <v/>
      </c>
      <c r="U402" s="15" t="str">
        <f>IF(INDEX(挂机升级突破!$Y$35:$Y$55,卡牌消耗!L402)&gt;0,INDEX(挂机升级突破!$AH$35:$AH$55,卡牌消耗!L402),"")</f>
        <v/>
      </c>
    </row>
    <row r="403" spans="9:21" ht="16.5" x14ac:dyDescent="0.2">
      <c r="I403" s="35">
        <v>367</v>
      </c>
      <c r="J403" s="15">
        <f t="shared" si="26"/>
        <v>1102018</v>
      </c>
      <c r="K403" s="15">
        <f t="shared" si="27"/>
        <v>3</v>
      </c>
      <c r="L403" s="15">
        <f t="shared" si="29"/>
        <v>10</v>
      </c>
      <c r="M403" s="15" t="str">
        <f t="shared" si="28"/>
        <v>黄</v>
      </c>
      <c r="N403" s="15" t="str">
        <f t="shared" si="30"/>
        <v>金币</v>
      </c>
      <c r="O403" s="15">
        <f>IF(L403&gt;1,INDEX(挂机升级突破!$AI$35:$AI$55,卡牌消耗!L403),"")</f>
        <v>83000</v>
      </c>
      <c r="P403" s="15" t="str">
        <f>IF(L403&gt;1,INDEX(价值概述!$A$4:$A$8,INDEX(挂机升级突破!$W$35:$W$55,卡牌消耗!L403)),"")</f>
        <v>紫色基础材料</v>
      </c>
      <c r="Q403" s="15">
        <f>IF(L403&gt;1,INDEX(挂机升级突破!$Z$35:$AD$55,卡牌消耗!L403,INDEX(挂机升级突破!$W$35:$W$55,卡牌消耗!L403)),"")</f>
        <v>140</v>
      </c>
      <c r="R403" s="15" t="str">
        <f>IF(INDEX(挂机升级突破!$X$35:$X$55,卡牌消耗!L403)&gt;0,INDEX($G$2:$I$2,INDEX(挂机升级突破!$X$35:$X$55,卡牌消耗!L403))&amp;M403,"")</f>
        <v>中级黄</v>
      </c>
      <c r="S403" s="15">
        <f>IF(R403="","",INDEX(挂机升级突破!$AE$35:$AG$55,卡牌消耗!L403,INDEX(挂机升级突破!$X$35:$X$55,卡牌消耗!L403)))</f>
        <v>95</v>
      </c>
      <c r="T403" s="15" t="str">
        <f>IF(INDEX(挂机升级突破!$Y$35:$Y$55,卡牌消耗!L403)&gt;0,"灵玉","")</f>
        <v/>
      </c>
      <c r="U403" s="15" t="str">
        <f>IF(INDEX(挂机升级突破!$Y$35:$Y$55,卡牌消耗!L403)&gt;0,INDEX(挂机升级突破!$AH$35:$AH$55,卡牌消耗!L403),"")</f>
        <v/>
      </c>
    </row>
    <row r="404" spans="9:21" ht="16.5" x14ac:dyDescent="0.2">
      <c r="I404" s="35">
        <v>368</v>
      </c>
      <c r="J404" s="15">
        <f t="shared" si="26"/>
        <v>1102018</v>
      </c>
      <c r="K404" s="15">
        <f t="shared" si="27"/>
        <v>3</v>
      </c>
      <c r="L404" s="15">
        <f t="shared" si="29"/>
        <v>11</v>
      </c>
      <c r="M404" s="15" t="str">
        <f t="shared" si="28"/>
        <v>黄</v>
      </c>
      <c r="N404" s="15" t="str">
        <f t="shared" si="30"/>
        <v>金币</v>
      </c>
      <c r="O404" s="15">
        <f>IF(L404&gt;1,INDEX(挂机升级突破!$AI$35:$AI$55,卡牌消耗!L404),"")</f>
        <v>90000</v>
      </c>
      <c r="P404" s="15" t="str">
        <f>IF(L404&gt;1,INDEX(价值概述!$A$4:$A$8,INDEX(挂机升级突破!$W$35:$W$55,卡牌消耗!L404)),"")</f>
        <v>紫色基础材料</v>
      </c>
      <c r="Q404" s="15">
        <f>IF(L404&gt;1,INDEX(挂机升级突破!$Z$35:$AD$55,卡牌消耗!L404,INDEX(挂机升级突破!$W$35:$W$55,卡牌消耗!L404)),"")</f>
        <v>215</v>
      </c>
      <c r="R404" s="15" t="str">
        <f>IF(INDEX(挂机升级突破!$X$35:$X$55,卡牌消耗!L404)&gt;0,INDEX($G$2:$I$2,INDEX(挂机升级突破!$X$35:$X$55,卡牌消耗!L404))&amp;M404,"")</f>
        <v>中级黄</v>
      </c>
      <c r="S404" s="15">
        <f>IF(R404="","",INDEX(挂机升级突破!$AE$35:$AG$55,卡牌消耗!L404,INDEX(挂机升级突破!$X$35:$X$55,卡牌消耗!L404)))</f>
        <v>145</v>
      </c>
      <c r="T404" s="15" t="str">
        <f>IF(INDEX(挂机升级突破!$Y$35:$Y$55,卡牌消耗!L404)&gt;0,"灵玉","")</f>
        <v/>
      </c>
      <c r="U404" s="15" t="str">
        <f>IF(INDEX(挂机升级突破!$Y$35:$Y$55,卡牌消耗!L404)&gt;0,INDEX(挂机升级突破!$AH$35:$AH$55,卡牌消耗!L404),"")</f>
        <v/>
      </c>
    </row>
    <row r="405" spans="9:21" ht="16.5" x14ac:dyDescent="0.2">
      <c r="I405" s="35">
        <v>369</v>
      </c>
      <c r="J405" s="15">
        <f t="shared" si="26"/>
        <v>1102018</v>
      </c>
      <c r="K405" s="15">
        <f t="shared" si="27"/>
        <v>3</v>
      </c>
      <c r="L405" s="15">
        <f t="shared" si="29"/>
        <v>12</v>
      </c>
      <c r="M405" s="15" t="str">
        <f t="shared" si="28"/>
        <v>黄</v>
      </c>
      <c r="N405" s="15" t="str">
        <f t="shared" si="30"/>
        <v>金币</v>
      </c>
      <c r="O405" s="15">
        <f>IF(L405&gt;1,INDEX(挂机升级突破!$AI$35:$AI$55,卡牌消耗!L405),"")</f>
        <v>97000</v>
      </c>
      <c r="P405" s="15" t="str">
        <f>IF(L405&gt;1,INDEX(价值概述!$A$4:$A$8,INDEX(挂机升级突破!$W$35:$W$55,卡牌消耗!L405)),"")</f>
        <v>紫色基础材料</v>
      </c>
      <c r="Q405" s="15">
        <f>IF(L405&gt;1,INDEX(挂机升级突破!$Z$35:$AD$55,卡牌消耗!L405,INDEX(挂机升级突破!$W$35:$W$55,卡牌消耗!L405)),"")</f>
        <v>285</v>
      </c>
      <c r="R405" s="15" t="str">
        <f>IF(INDEX(挂机升级突破!$X$35:$X$55,卡牌消耗!L405)&gt;0,INDEX($G$2:$I$2,INDEX(挂机升级突破!$X$35:$X$55,卡牌消耗!L405))&amp;M405,"")</f>
        <v>中级黄</v>
      </c>
      <c r="S405" s="15">
        <f>IF(R405="","",INDEX(挂机升级突破!$AE$35:$AG$55,卡牌消耗!L405,INDEX(挂机升级突破!$X$35:$X$55,卡牌消耗!L405)))</f>
        <v>185</v>
      </c>
      <c r="T405" s="15" t="str">
        <f>IF(INDEX(挂机升级突破!$Y$35:$Y$55,卡牌消耗!L405)&gt;0,"灵玉","")</f>
        <v/>
      </c>
      <c r="U405" s="15" t="str">
        <f>IF(INDEX(挂机升级突破!$Y$35:$Y$55,卡牌消耗!L405)&gt;0,INDEX(挂机升级突破!$AH$35:$AH$55,卡牌消耗!L405),"")</f>
        <v/>
      </c>
    </row>
    <row r="406" spans="9:21" ht="16.5" x14ac:dyDescent="0.2">
      <c r="I406" s="35">
        <v>370</v>
      </c>
      <c r="J406" s="15">
        <f t="shared" si="26"/>
        <v>1102018</v>
      </c>
      <c r="K406" s="15">
        <f t="shared" si="27"/>
        <v>3</v>
      </c>
      <c r="L406" s="15">
        <f t="shared" si="29"/>
        <v>13</v>
      </c>
      <c r="M406" s="15" t="str">
        <f t="shared" si="28"/>
        <v>黄</v>
      </c>
      <c r="N406" s="15" t="str">
        <f t="shared" si="30"/>
        <v>金币</v>
      </c>
      <c r="O406" s="15">
        <f>IF(L406&gt;1,INDEX(挂机升级突破!$AI$35:$AI$55,卡牌消耗!L406),"")</f>
        <v>122000</v>
      </c>
      <c r="P406" s="15" t="str">
        <f>IF(L406&gt;1,INDEX(价值概述!$A$4:$A$8,INDEX(挂机升级突破!$W$35:$W$55,卡牌消耗!L406)),"")</f>
        <v>橙色基础材料</v>
      </c>
      <c r="Q406" s="15">
        <f>IF(L406&gt;1,INDEX(挂机升级突破!$Z$35:$AD$55,卡牌消耗!L406,INDEX(挂机升级突破!$W$35:$W$55,卡牌消耗!L406)),"")</f>
        <v>115</v>
      </c>
      <c r="R406" s="15" t="str">
        <f>IF(INDEX(挂机升级突破!$X$35:$X$55,卡牌消耗!L406)&gt;0,INDEX($G$2:$I$2,INDEX(挂机升级突破!$X$35:$X$55,卡牌消耗!L406))&amp;M406,"")</f>
        <v>中级黄</v>
      </c>
      <c r="S406" s="15">
        <f>IF(R406="","",INDEX(挂机升级突破!$AE$35:$AG$55,卡牌消耗!L406,INDEX(挂机升级突破!$X$35:$X$55,卡牌消耗!L406)))</f>
        <v>225</v>
      </c>
      <c r="T406" s="15" t="str">
        <f>IF(INDEX(挂机升级突破!$Y$35:$Y$55,卡牌消耗!L406)&gt;0,"灵玉","")</f>
        <v/>
      </c>
      <c r="U406" s="15" t="str">
        <f>IF(INDEX(挂机升级突破!$Y$35:$Y$55,卡牌消耗!L406)&gt;0,INDEX(挂机升级突破!$AH$35:$AH$55,卡牌消耗!L406),"")</f>
        <v/>
      </c>
    </row>
    <row r="407" spans="9:21" ht="16.5" x14ac:dyDescent="0.2">
      <c r="I407" s="35">
        <v>371</v>
      </c>
      <c r="J407" s="15">
        <f t="shared" si="26"/>
        <v>1102018</v>
      </c>
      <c r="K407" s="15">
        <f t="shared" si="27"/>
        <v>3</v>
      </c>
      <c r="L407" s="15">
        <f t="shared" si="29"/>
        <v>14</v>
      </c>
      <c r="M407" s="15" t="str">
        <f t="shared" si="28"/>
        <v>黄</v>
      </c>
      <c r="N407" s="15" t="str">
        <f t="shared" si="30"/>
        <v>金币</v>
      </c>
      <c r="O407" s="15">
        <f>IF(L407&gt;1,INDEX(挂机升级突破!$AI$35:$AI$55,卡牌消耗!L407),"")</f>
        <v>162500</v>
      </c>
      <c r="P407" s="15" t="str">
        <f>IF(L407&gt;1,INDEX(价值概述!$A$4:$A$8,INDEX(挂机升级突破!$W$35:$W$55,卡牌消耗!L407)),"")</f>
        <v>橙色基础材料</v>
      </c>
      <c r="Q407" s="15">
        <f>IF(L407&gt;1,INDEX(挂机升级突破!$Z$35:$AD$55,卡牌消耗!L407,INDEX(挂机升级突破!$W$35:$W$55,卡牌消耗!L407)),"")</f>
        <v>235</v>
      </c>
      <c r="R407" s="15" t="str">
        <f>IF(INDEX(挂机升级突破!$X$35:$X$55,卡牌消耗!L407)&gt;0,INDEX($G$2:$I$2,INDEX(挂机升级突破!$X$35:$X$55,卡牌消耗!L407))&amp;M407,"")</f>
        <v>中级黄</v>
      </c>
      <c r="S407" s="15">
        <f>IF(R407="","",INDEX(挂机升级突破!$AE$35:$AG$55,卡牌消耗!L407,INDEX(挂机升级突破!$X$35:$X$55,卡牌消耗!L407)))</f>
        <v>265</v>
      </c>
      <c r="T407" s="15" t="str">
        <f>IF(INDEX(挂机升级突破!$Y$35:$Y$55,卡牌消耗!L407)&gt;0,"灵玉","")</f>
        <v/>
      </c>
      <c r="U407" s="15" t="str">
        <f>IF(INDEX(挂机升级突破!$Y$35:$Y$55,卡牌消耗!L407)&gt;0,INDEX(挂机升级突破!$AH$35:$AH$55,卡牌消耗!L407),"")</f>
        <v/>
      </c>
    </row>
    <row r="408" spans="9:21" ht="16.5" x14ac:dyDescent="0.2">
      <c r="I408" s="35">
        <v>372</v>
      </c>
      <c r="J408" s="15">
        <f t="shared" si="26"/>
        <v>1102018</v>
      </c>
      <c r="K408" s="15">
        <f t="shared" si="27"/>
        <v>3</v>
      </c>
      <c r="L408" s="15">
        <f t="shared" si="29"/>
        <v>15</v>
      </c>
      <c r="M408" s="15" t="str">
        <f t="shared" si="28"/>
        <v>黄</v>
      </c>
      <c r="N408" s="15" t="str">
        <f t="shared" si="30"/>
        <v>金币</v>
      </c>
      <c r="O408" s="15">
        <f>IF(L408&gt;1,INDEX(挂机升级突破!$AI$35:$AI$55,卡牌消耗!L408),"")</f>
        <v>190000</v>
      </c>
      <c r="P408" s="15" t="str">
        <f>IF(L408&gt;1,INDEX(价值概述!$A$4:$A$8,INDEX(挂机升级突破!$W$35:$W$55,卡牌消耗!L408)),"")</f>
        <v>橙色基础材料</v>
      </c>
      <c r="Q408" s="15">
        <f>IF(L408&gt;1,INDEX(挂机升级突破!$Z$35:$AD$55,卡牌消耗!L408,INDEX(挂机升级突破!$W$35:$W$55,卡牌消耗!L408)),"")</f>
        <v>355</v>
      </c>
      <c r="R408" s="15" t="str">
        <f>IF(INDEX(挂机升级突破!$X$35:$X$55,卡牌消耗!L408)&gt;0,INDEX($G$2:$I$2,INDEX(挂机升级突破!$X$35:$X$55,卡牌消耗!L408))&amp;M408,"")</f>
        <v>高级黄</v>
      </c>
      <c r="S408" s="15">
        <f>IF(R408="","",INDEX(挂机升级突破!$AE$35:$AG$55,卡牌消耗!L408,INDEX(挂机升级突破!$X$35:$X$55,卡牌消耗!L408)))</f>
        <v>45</v>
      </c>
      <c r="T408" s="15" t="str">
        <f>IF(INDEX(挂机升级突破!$Y$35:$Y$55,卡牌消耗!L408)&gt;0,"灵玉","")</f>
        <v/>
      </c>
      <c r="U408" s="15" t="str">
        <f>IF(INDEX(挂机升级突破!$Y$35:$Y$55,卡牌消耗!L408)&gt;0,INDEX(挂机升级突破!$AH$35:$AH$55,卡牌消耗!L408),"")</f>
        <v/>
      </c>
    </row>
    <row r="409" spans="9:21" ht="16.5" x14ac:dyDescent="0.2">
      <c r="I409" s="35">
        <v>373</v>
      </c>
      <c r="J409" s="15">
        <f t="shared" si="26"/>
        <v>1102018</v>
      </c>
      <c r="K409" s="15">
        <f t="shared" si="27"/>
        <v>3</v>
      </c>
      <c r="L409" s="15">
        <f t="shared" si="29"/>
        <v>16</v>
      </c>
      <c r="M409" s="15" t="str">
        <f t="shared" si="28"/>
        <v>黄</v>
      </c>
      <c r="N409" s="15" t="str">
        <f t="shared" si="30"/>
        <v>金币</v>
      </c>
      <c r="O409" s="15">
        <f>IF(L409&gt;1,INDEX(挂机升级突破!$AI$35:$AI$55,卡牌消耗!L409),"")</f>
        <v>219000</v>
      </c>
      <c r="P409" s="15" t="str">
        <f>IF(L409&gt;1,INDEX(价值概述!$A$4:$A$8,INDEX(挂机升级突破!$W$35:$W$55,卡牌消耗!L409)),"")</f>
        <v>橙色基础材料</v>
      </c>
      <c r="Q409" s="15">
        <f>IF(L409&gt;1,INDEX(挂机升级突破!$Z$35:$AD$55,卡牌消耗!L409,INDEX(挂机升级突破!$W$35:$W$55,卡牌消耗!L409)),"")</f>
        <v>475</v>
      </c>
      <c r="R409" s="15" t="str">
        <f>IF(INDEX(挂机升级突破!$X$35:$X$55,卡牌消耗!L409)&gt;0,INDEX($G$2:$I$2,INDEX(挂机升级突破!$X$35:$X$55,卡牌消耗!L409))&amp;M409,"")</f>
        <v>高级黄</v>
      </c>
      <c r="S409" s="15">
        <f>IF(R409="","",INDEX(挂机升级突破!$AE$35:$AG$55,卡牌消耗!L409,INDEX(挂机升级突破!$X$35:$X$55,卡牌消耗!L409)))</f>
        <v>70</v>
      </c>
      <c r="T409" s="15" t="str">
        <f>IF(INDEX(挂机升级突破!$Y$35:$Y$55,卡牌消耗!L409)&gt;0,"灵玉","")</f>
        <v/>
      </c>
      <c r="U409" s="15" t="str">
        <f>IF(INDEX(挂机升级突破!$Y$35:$Y$55,卡牌消耗!L409)&gt;0,INDEX(挂机升级突破!$AH$35:$AH$55,卡牌消耗!L409),"")</f>
        <v/>
      </c>
    </row>
    <row r="410" spans="9:21" ht="16.5" x14ac:dyDescent="0.2">
      <c r="I410" s="35">
        <v>374</v>
      </c>
      <c r="J410" s="15">
        <f t="shared" si="26"/>
        <v>1102018</v>
      </c>
      <c r="K410" s="15">
        <f t="shared" si="27"/>
        <v>3</v>
      </c>
      <c r="L410" s="15">
        <f t="shared" si="29"/>
        <v>17</v>
      </c>
      <c r="M410" s="15" t="str">
        <f t="shared" si="28"/>
        <v>黄</v>
      </c>
      <c r="N410" s="15" t="str">
        <f t="shared" si="30"/>
        <v>金币</v>
      </c>
      <c r="O410" s="15">
        <f>IF(L410&gt;1,INDEX(挂机升级突破!$AI$35:$AI$55,卡牌消耗!L410),"")</f>
        <v>228000</v>
      </c>
      <c r="P410" s="15" t="str">
        <f>IF(L410&gt;1,INDEX(价值概述!$A$4:$A$8,INDEX(挂机升级突破!$W$35:$W$55,卡牌消耗!L410)),"")</f>
        <v>红色基础材料</v>
      </c>
      <c r="Q410" s="15">
        <f>IF(L410&gt;1,INDEX(挂机升级突破!$Z$35:$AD$55,卡牌消耗!L410,INDEX(挂机升级突破!$W$35:$W$55,卡牌消耗!L410)),"")</f>
        <v>45</v>
      </c>
      <c r="R410" s="15" t="str">
        <f>IF(INDEX(挂机升级突破!$X$35:$X$55,卡牌消耗!L410)&gt;0,INDEX($G$2:$I$2,INDEX(挂机升级突破!$X$35:$X$55,卡牌消耗!L410))&amp;M410,"")</f>
        <v>高级黄</v>
      </c>
      <c r="S410" s="15">
        <f>IF(R410="","",INDEX(挂机升级突破!$AE$35:$AG$55,卡牌消耗!L410,INDEX(挂机升级突破!$X$35:$X$55,卡牌消耗!L410)))</f>
        <v>100</v>
      </c>
      <c r="T410" s="15" t="str">
        <f>IF(INDEX(挂机升级突破!$Y$35:$Y$55,卡牌消耗!L410)&gt;0,"灵玉","")</f>
        <v>灵玉</v>
      </c>
      <c r="U410" s="15">
        <f>IF(INDEX(挂机升级突破!$Y$35:$Y$55,卡牌消耗!L410)&gt;0,INDEX(挂机升级突破!$AH$35:$AH$55,卡牌消耗!L410),"")</f>
        <v>25</v>
      </c>
    </row>
    <row r="411" spans="9:21" ht="16.5" x14ac:dyDescent="0.2">
      <c r="I411" s="35">
        <v>375</v>
      </c>
      <c r="J411" s="15">
        <f t="shared" si="26"/>
        <v>1102018</v>
      </c>
      <c r="K411" s="15">
        <f t="shared" si="27"/>
        <v>3</v>
      </c>
      <c r="L411" s="15">
        <f t="shared" si="29"/>
        <v>18</v>
      </c>
      <c r="M411" s="15" t="str">
        <f t="shared" si="28"/>
        <v>黄</v>
      </c>
      <c r="N411" s="15" t="str">
        <f t="shared" si="30"/>
        <v>金币</v>
      </c>
      <c r="O411" s="15">
        <f>IF(L411&gt;1,INDEX(挂机升级突破!$AI$35:$AI$55,卡牌消耗!L411),"")</f>
        <v>319500</v>
      </c>
      <c r="P411" s="15" t="str">
        <f>IF(L411&gt;1,INDEX(价值概述!$A$4:$A$8,INDEX(挂机升级突破!$W$35:$W$55,卡牌消耗!L411)),"")</f>
        <v>红色基础材料</v>
      </c>
      <c r="Q411" s="15">
        <f>IF(L411&gt;1,INDEX(挂机升级突破!$Z$35:$AD$55,卡牌消耗!L411,INDEX(挂机升级突破!$W$35:$W$55,卡牌消耗!L411)),"")</f>
        <v>65</v>
      </c>
      <c r="R411" s="15" t="str">
        <f>IF(INDEX(挂机升级突破!$X$35:$X$55,卡牌消耗!L411)&gt;0,INDEX($G$2:$I$2,INDEX(挂机升级突破!$X$35:$X$55,卡牌消耗!L411))&amp;M411,"")</f>
        <v>高级黄</v>
      </c>
      <c r="S411" s="15">
        <f>IF(R411="","",INDEX(挂机升级突破!$AE$35:$AG$55,卡牌消耗!L411,INDEX(挂机升级突破!$X$35:$X$55,卡牌消耗!L411)))</f>
        <v>125</v>
      </c>
      <c r="T411" s="15" t="str">
        <f>IF(INDEX(挂机升级突破!$Y$35:$Y$55,卡牌消耗!L411)&gt;0,"灵玉","")</f>
        <v>灵玉</v>
      </c>
      <c r="U411" s="15">
        <f>IF(INDEX(挂机升级突破!$Y$35:$Y$55,卡牌消耗!L411)&gt;0,INDEX(挂机升级突破!$AH$35:$AH$55,卡牌消耗!L411),"")</f>
        <v>35</v>
      </c>
    </row>
    <row r="412" spans="9:21" ht="16.5" x14ac:dyDescent="0.2">
      <c r="I412" s="35">
        <v>376</v>
      </c>
      <c r="J412" s="15">
        <f t="shared" si="26"/>
        <v>1102018</v>
      </c>
      <c r="K412" s="15">
        <f t="shared" si="27"/>
        <v>3</v>
      </c>
      <c r="L412" s="15">
        <f t="shared" si="29"/>
        <v>19</v>
      </c>
      <c r="M412" s="15" t="str">
        <f t="shared" si="28"/>
        <v>黄</v>
      </c>
      <c r="N412" s="15" t="str">
        <f t="shared" si="30"/>
        <v>金币</v>
      </c>
      <c r="O412" s="15">
        <f>IF(L412&gt;1,INDEX(挂机升级突破!$AI$35:$AI$55,卡牌消耗!L412),"")</f>
        <v>426000</v>
      </c>
      <c r="P412" s="15" t="str">
        <f>IF(L412&gt;1,INDEX(价值概述!$A$4:$A$8,INDEX(挂机升级突破!$W$35:$W$55,卡牌消耗!L412)),"")</f>
        <v>红色基础材料</v>
      </c>
      <c r="Q412" s="15">
        <f>IF(L412&gt;1,INDEX(挂机升级突破!$Z$35:$AD$55,卡牌消耗!L412,INDEX(挂机升级突破!$W$35:$W$55,卡牌消耗!L412)),"")</f>
        <v>90</v>
      </c>
      <c r="R412" s="15" t="str">
        <f>IF(INDEX(挂机升级突破!$X$35:$X$55,卡牌消耗!L412)&gt;0,INDEX($G$2:$I$2,INDEX(挂机升级突破!$X$35:$X$55,卡牌消耗!L412))&amp;M412,"")</f>
        <v>高级黄</v>
      </c>
      <c r="S412" s="15">
        <f>IF(R412="","",INDEX(挂机升级突破!$AE$35:$AG$55,卡牌消耗!L412,INDEX(挂机升级突破!$X$35:$X$55,卡牌消耗!L412)))</f>
        <v>155</v>
      </c>
      <c r="T412" s="15" t="str">
        <f>IF(INDEX(挂机升级突破!$Y$35:$Y$55,卡牌消耗!L412)&gt;0,"灵玉","")</f>
        <v>灵玉</v>
      </c>
      <c r="U412" s="15">
        <f>IF(INDEX(挂机升级突破!$Y$35:$Y$55,卡牌消耗!L412)&gt;0,INDEX(挂机升级突破!$AH$35:$AH$55,卡牌消耗!L412),"")</f>
        <v>50</v>
      </c>
    </row>
    <row r="413" spans="9:21" ht="16.5" x14ac:dyDescent="0.2">
      <c r="I413" s="35">
        <v>377</v>
      </c>
      <c r="J413" s="15">
        <f t="shared" si="26"/>
        <v>1102018</v>
      </c>
      <c r="K413" s="15">
        <f t="shared" si="27"/>
        <v>3</v>
      </c>
      <c r="L413" s="15">
        <f t="shared" si="29"/>
        <v>20</v>
      </c>
      <c r="M413" s="15" t="str">
        <f t="shared" si="28"/>
        <v>黄</v>
      </c>
      <c r="N413" s="15" t="str">
        <f t="shared" si="30"/>
        <v>金币</v>
      </c>
      <c r="O413" s="15">
        <f>IF(L413&gt;1,INDEX(挂机升级突破!$AI$35:$AI$55,卡牌消耗!L413),"")</f>
        <v>532500</v>
      </c>
      <c r="P413" s="15" t="str">
        <f>IF(L413&gt;1,INDEX(价值概述!$A$4:$A$8,INDEX(挂机升级突破!$W$35:$W$55,卡牌消耗!L413)),"")</f>
        <v>红色基础材料</v>
      </c>
      <c r="Q413" s="15">
        <f>IF(L413&gt;1,INDEX(挂机升级突破!$Z$35:$AD$55,卡牌消耗!L413,INDEX(挂机升级突破!$W$35:$W$55,卡牌消耗!L413)),"")</f>
        <v>110</v>
      </c>
      <c r="R413" s="15" t="str">
        <f>IF(INDEX(挂机升级突破!$X$35:$X$55,卡牌消耗!L413)&gt;0,INDEX($G$2:$I$2,INDEX(挂机升级突破!$X$35:$X$55,卡牌消耗!L413))&amp;M413,"")</f>
        <v>高级黄</v>
      </c>
      <c r="S413" s="15">
        <f>IF(R413="","",INDEX(挂机升级突破!$AE$35:$AG$55,卡牌消耗!L413,INDEX(挂机升级突破!$X$35:$X$55,卡牌消耗!L413)))</f>
        <v>180</v>
      </c>
      <c r="T413" s="15" t="str">
        <f>IF(INDEX(挂机升级突破!$Y$35:$Y$55,卡牌消耗!L413)&gt;0,"灵玉","")</f>
        <v>灵玉</v>
      </c>
      <c r="U413" s="15">
        <f>IF(INDEX(挂机升级突破!$Y$35:$Y$55,卡牌消耗!L413)&gt;0,INDEX(挂机升级突破!$AH$35:$AH$55,卡牌消耗!L413),"")</f>
        <v>65</v>
      </c>
    </row>
    <row r="414" spans="9:21" ht="16.5" x14ac:dyDescent="0.2">
      <c r="I414" s="35">
        <v>378</v>
      </c>
      <c r="J414" s="15">
        <f t="shared" si="26"/>
        <v>1102018</v>
      </c>
      <c r="K414" s="15">
        <f t="shared" si="27"/>
        <v>3</v>
      </c>
      <c r="L414" s="15">
        <f t="shared" si="29"/>
        <v>21</v>
      </c>
      <c r="M414" s="15" t="str">
        <f t="shared" si="28"/>
        <v>黄</v>
      </c>
      <c r="N414" s="15" t="str">
        <f t="shared" si="30"/>
        <v>金币</v>
      </c>
      <c r="O414" s="15">
        <f>IF(L414&gt;1,INDEX(挂机升级突破!$AI$35:$AI$55,卡牌消耗!L414),"")</f>
        <v>639000</v>
      </c>
      <c r="P414" s="15" t="str">
        <f>IF(L414&gt;1,INDEX(价值概述!$A$4:$A$8,INDEX(挂机升级突破!$W$35:$W$55,卡牌消耗!L414)),"")</f>
        <v>红色基础材料</v>
      </c>
      <c r="Q414" s="15">
        <f>IF(L414&gt;1,INDEX(挂机升级突破!$Z$35:$AD$55,卡牌消耗!L414,INDEX(挂机升级突破!$W$35:$W$55,卡牌消耗!L414)),"")</f>
        <v>135</v>
      </c>
      <c r="R414" s="15" t="str">
        <f>IF(INDEX(挂机升级突破!$X$35:$X$55,卡牌消耗!L414)&gt;0,INDEX($G$2:$I$2,INDEX(挂机升级突破!$X$35:$X$55,卡牌消耗!L414))&amp;M414,"")</f>
        <v>高级黄</v>
      </c>
      <c r="S414" s="15">
        <f>IF(R414="","",INDEX(挂机升级突破!$AE$35:$AG$55,卡牌消耗!L414,INDEX(挂机升级突破!$X$35:$X$55,卡牌消耗!L414)))</f>
        <v>225</v>
      </c>
      <c r="T414" s="15" t="str">
        <f>IF(INDEX(挂机升级突破!$Y$35:$Y$55,卡牌消耗!L414)&gt;0,"灵玉","")</f>
        <v>灵玉</v>
      </c>
      <c r="U414" s="15">
        <f>IF(INDEX(挂机升级突破!$Y$35:$Y$55,卡牌消耗!L414)&gt;0,INDEX(挂机升级突破!$AH$35:$AH$55,卡牌消耗!L414),"")</f>
        <v>75</v>
      </c>
    </row>
    <row r="415" spans="9:21" ht="16.5" x14ac:dyDescent="0.2">
      <c r="I415" s="35">
        <v>379</v>
      </c>
      <c r="J415" s="15">
        <f t="shared" si="26"/>
        <v>1102019</v>
      </c>
      <c r="K415" s="15">
        <f t="shared" si="27"/>
        <v>3</v>
      </c>
      <c r="L415" s="15">
        <f t="shared" si="29"/>
        <v>1</v>
      </c>
      <c r="M415" s="15" t="str">
        <f t="shared" si="28"/>
        <v>红</v>
      </c>
      <c r="N415" s="15" t="str">
        <f t="shared" si="30"/>
        <v/>
      </c>
      <c r="O415" s="15" t="str">
        <f>IF(L415&gt;1,INDEX(挂机升级突破!$AI$35:$AI$55,卡牌消耗!L415),"")</f>
        <v/>
      </c>
      <c r="P415" s="15" t="str">
        <f>IF(L415&gt;1,INDEX(价值概述!$A$4:$A$8,INDEX(挂机升级突破!$W$35:$W$55,卡牌消耗!L415)),"")</f>
        <v/>
      </c>
      <c r="Q415" s="15" t="str">
        <f>IF(L415&gt;1,INDEX(挂机升级突破!$Z$35:$AD$55,卡牌消耗!L415,INDEX(挂机升级突破!$W$35:$W$55,卡牌消耗!L415)),"")</f>
        <v/>
      </c>
      <c r="R415" s="15" t="str">
        <f>IF(INDEX(挂机升级突破!$X$35:$X$55,卡牌消耗!L415)&gt;0,INDEX($G$2:$I$2,INDEX(挂机升级突破!$X$35:$X$55,卡牌消耗!L415))&amp;M415,"")</f>
        <v/>
      </c>
      <c r="S415" s="15" t="str">
        <f>IF(R415="","",INDEX(挂机升级突破!$AE$35:$AG$55,卡牌消耗!L415,INDEX(挂机升级突破!$X$35:$X$55,卡牌消耗!L415)))</f>
        <v/>
      </c>
      <c r="T415" s="15" t="str">
        <f>IF(INDEX(挂机升级突破!$Y$35:$Y$55,卡牌消耗!L415)&gt;0,"灵玉","")</f>
        <v/>
      </c>
      <c r="U415" s="15" t="str">
        <f>IF(INDEX(挂机升级突破!$Y$35:$Y$55,卡牌消耗!L415)&gt;0,INDEX(挂机升级突破!$AH$35:$AH$55,卡牌消耗!L415),"")</f>
        <v/>
      </c>
    </row>
    <row r="416" spans="9:21" ht="16.5" x14ac:dyDescent="0.2">
      <c r="I416" s="35">
        <v>380</v>
      </c>
      <c r="J416" s="15">
        <f t="shared" si="26"/>
        <v>1102019</v>
      </c>
      <c r="K416" s="15">
        <f t="shared" si="27"/>
        <v>3</v>
      </c>
      <c r="L416" s="15">
        <f t="shared" si="29"/>
        <v>2</v>
      </c>
      <c r="M416" s="15" t="str">
        <f t="shared" si="28"/>
        <v>红</v>
      </c>
      <c r="N416" s="15" t="str">
        <f t="shared" si="30"/>
        <v>金币</v>
      </c>
      <c r="O416" s="15">
        <f>IF(L416&gt;1,INDEX(挂机升级突破!$AI$35:$AI$55,卡牌消耗!L416),"")</f>
        <v>2500</v>
      </c>
      <c r="P416" s="15" t="str">
        <f>IF(L416&gt;1,INDEX(价值概述!$A$4:$A$8,INDEX(挂机升级突破!$W$35:$W$55,卡牌消耗!L416)),"")</f>
        <v>绿色基础材料</v>
      </c>
      <c r="Q416" s="15">
        <f>IF(L416&gt;1,INDEX(挂机升级突破!$Z$35:$AD$55,卡牌消耗!L416,INDEX(挂机升级突破!$W$35:$W$55,卡牌消耗!L416)),"")</f>
        <v>10</v>
      </c>
      <c r="R416" s="15" t="str">
        <f>IF(INDEX(挂机升级突破!$X$35:$X$55,卡牌消耗!L416)&gt;0,INDEX($G$2:$I$2,INDEX(挂机升级突破!$X$35:$X$55,卡牌消耗!L416))&amp;M416,"")</f>
        <v/>
      </c>
      <c r="S416" s="15" t="str">
        <f>IF(R416="","",INDEX(挂机升级突破!$AE$35:$AG$55,卡牌消耗!L416,INDEX(挂机升级突破!$X$35:$X$55,卡牌消耗!L416)))</f>
        <v/>
      </c>
      <c r="T416" s="15" t="str">
        <f>IF(INDEX(挂机升级突破!$Y$35:$Y$55,卡牌消耗!L416)&gt;0,"灵玉","")</f>
        <v/>
      </c>
      <c r="U416" s="15" t="str">
        <f>IF(INDEX(挂机升级突破!$Y$35:$Y$55,卡牌消耗!L416)&gt;0,INDEX(挂机升级突破!$AH$35:$AH$55,卡牌消耗!L416),"")</f>
        <v/>
      </c>
    </row>
    <row r="417" spans="9:21" ht="16.5" x14ac:dyDescent="0.2">
      <c r="I417" s="35">
        <v>381</v>
      </c>
      <c r="J417" s="15">
        <f t="shared" si="26"/>
        <v>1102019</v>
      </c>
      <c r="K417" s="15">
        <f t="shared" si="27"/>
        <v>3</v>
      </c>
      <c r="L417" s="15">
        <f t="shared" si="29"/>
        <v>3</v>
      </c>
      <c r="M417" s="15" t="str">
        <f t="shared" si="28"/>
        <v>红</v>
      </c>
      <c r="N417" s="15" t="str">
        <f t="shared" si="30"/>
        <v>金币</v>
      </c>
      <c r="O417" s="15">
        <f>IF(L417&gt;1,INDEX(挂机升级突破!$AI$35:$AI$55,卡牌消耗!L417),"")</f>
        <v>8000</v>
      </c>
      <c r="P417" s="15" t="str">
        <f>IF(L417&gt;1,INDEX(价值概述!$A$4:$A$8,INDEX(挂机升级突破!$W$35:$W$55,卡牌消耗!L417)),"")</f>
        <v>绿色基础材料</v>
      </c>
      <c r="Q417" s="15">
        <f>IF(L417&gt;1,INDEX(挂机升级突破!$Z$35:$AD$55,卡牌消耗!L417,INDEX(挂机升级突破!$W$35:$W$55,卡牌消耗!L417)),"")</f>
        <v>40</v>
      </c>
      <c r="R417" s="15" t="str">
        <f>IF(INDEX(挂机升级突破!$X$35:$X$55,卡牌消耗!L417)&gt;0,INDEX($G$2:$I$2,INDEX(挂机升级突破!$X$35:$X$55,卡牌消耗!L417))&amp;M417,"")</f>
        <v/>
      </c>
      <c r="S417" s="15" t="str">
        <f>IF(R417="","",INDEX(挂机升级突破!$AE$35:$AG$55,卡牌消耗!L417,INDEX(挂机升级突破!$X$35:$X$55,卡牌消耗!L417)))</f>
        <v/>
      </c>
      <c r="T417" s="15" t="str">
        <f>IF(INDEX(挂机升级突破!$Y$35:$Y$55,卡牌消耗!L417)&gt;0,"灵玉","")</f>
        <v/>
      </c>
      <c r="U417" s="15" t="str">
        <f>IF(INDEX(挂机升级突破!$Y$35:$Y$55,卡牌消耗!L417)&gt;0,INDEX(挂机升级突破!$AH$35:$AH$55,卡牌消耗!L417),"")</f>
        <v/>
      </c>
    </row>
    <row r="418" spans="9:21" ht="16.5" x14ac:dyDescent="0.2">
      <c r="I418" s="35">
        <v>382</v>
      </c>
      <c r="J418" s="15">
        <f t="shared" si="26"/>
        <v>1102019</v>
      </c>
      <c r="K418" s="15">
        <f t="shared" si="27"/>
        <v>3</v>
      </c>
      <c r="L418" s="15">
        <f t="shared" si="29"/>
        <v>4</v>
      </c>
      <c r="M418" s="15" t="str">
        <f t="shared" si="28"/>
        <v>红</v>
      </c>
      <c r="N418" s="15" t="str">
        <f t="shared" si="30"/>
        <v>金币</v>
      </c>
      <c r="O418" s="15">
        <f>IF(L418&gt;1,INDEX(挂机升级突破!$AI$35:$AI$55,卡牌消耗!L418),"")</f>
        <v>16500</v>
      </c>
      <c r="P418" s="15" t="str">
        <f>IF(L418&gt;1,INDEX(价值概述!$A$4:$A$8,INDEX(挂机升级突破!$W$35:$W$55,卡牌消耗!L418)),"")</f>
        <v>绿色基础材料</v>
      </c>
      <c r="Q418" s="15">
        <f>IF(L418&gt;1,INDEX(挂机升级突破!$Z$35:$AD$55,卡牌消耗!L418,INDEX(挂机升级突破!$W$35:$W$55,卡牌消耗!L418)),"")</f>
        <v>80</v>
      </c>
      <c r="R418" s="15" t="str">
        <f>IF(INDEX(挂机升级突破!$X$35:$X$55,卡牌消耗!L418)&gt;0,INDEX($G$2:$I$2,INDEX(挂机升级突破!$X$35:$X$55,卡牌消耗!L418))&amp;M418,"")</f>
        <v>初级红</v>
      </c>
      <c r="S418" s="15">
        <f>IF(R418="","",INDEX(挂机升级突破!$AE$35:$AG$55,卡牌消耗!L418,INDEX(挂机升级突破!$X$35:$X$55,卡牌消耗!L418)))</f>
        <v>40</v>
      </c>
      <c r="T418" s="15" t="str">
        <f>IF(INDEX(挂机升级突破!$Y$35:$Y$55,卡牌消耗!L418)&gt;0,"灵玉","")</f>
        <v/>
      </c>
      <c r="U418" s="15" t="str">
        <f>IF(INDEX(挂机升级突破!$Y$35:$Y$55,卡牌消耗!L418)&gt;0,INDEX(挂机升级突破!$AH$35:$AH$55,卡牌消耗!L418),"")</f>
        <v/>
      </c>
    </row>
    <row r="419" spans="9:21" ht="16.5" x14ac:dyDescent="0.2">
      <c r="I419" s="35">
        <v>383</v>
      </c>
      <c r="J419" s="15">
        <f t="shared" si="26"/>
        <v>1102019</v>
      </c>
      <c r="K419" s="15">
        <f t="shared" si="27"/>
        <v>3</v>
      </c>
      <c r="L419" s="15">
        <f t="shared" si="29"/>
        <v>5</v>
      </c>
      <c r="M419" s="15" t="str">
        <f t="shared" si="28"/>
        <v>红</v>
      </c>
      <c r="N419" s="15" t="str">
        <f t="shared" si="30"/>
        <v>金币</v>
      </c>
      <c r="O419" s="15">
        <f>IF(L419&gt;1,INDEX(挂机升级突破!$AI$35:$AI$55,卡牌消耗!L419),"")</f>
        <v>22500</v>
      </c>
      <c r="P419" s="15" t="str">
        <f>IF(L419&gt;1,INDEX(价值概述!$A$4:$A$8,INDEX(挂机升级突破!$W$35:$W$55,卡牌消耗!L419)),"")</f>
        <v>蓝色基础材料</v>
      </c>
      <c r="Q419" s="15">
        <f>IF(L419&gt;1,INDEX(挂机升级突破!$Z$35:$AD$55,卡牌消耗!L419,INDEX(挂机升级突破!$W$35:$W$55,卡牌消耗!L419)),"")</f>
        <v>35</v>
      </c>
      <c r="R419" s="15" t="str">
        <f>IF(INDEX(挂机升级突破!$X$35:$X$55,卡牌消耗!L419)&gt;0,INDEX($G$2:$I$2,INDEX(挂机升级突破!$X$35:$X$55,卡牌消耗!L419))&amp;M419,"")</f>
        <v>初级红</v>
      </c>
      <c r="S419" s="15">
        <f>IF(R419="","",INDEX(挂机升级突破!$AE$35:$AG$55,卡牌消耗!L419,INDEX(挂机升级突破!$X$35:$X$55,卡牌消耗!L419)))</f>
        <v>65</v>
      </c>
      <c r="T419" s="15" t="str">
        <f>IF(INDEX(挂机升级突破!$Y$35:$Y$55,卡牌消耗!L419)&gt;0,"灵玉","")</f>
        <v/>
      </c>
      <c r="U419" s="15" t="str">
        <f>IF(INDEX(挂机升级突破!$Y$35:$Y$55,卡牌消耗!L419)&gt;0,INDEX(挂机升级突破!$AH$35:$AH$55,卡牌消耗!L419),"")</f>
        <v/>
      </c>
    </row>
    <row r="420" spans="9:21" ht="16.5" x14ac:dyDescent="0.2">
      <c r="I420" s="35">
        <v>384</v>
      </c>
      <c r="J420" s="15">
        <f t="shared" si="26"/>
        <v>1102019</v>
      </c>
      <c r="K420" s="15">
        <f t="shared" si="27"/>
        <v>3</v>
      </c>
      <c r="L420" s="15">
        <f t="shared" si="29"/>
        <v>6</v>
      </c>
      <c r="M420" s="15" t="str">
        <f t="shared" si="28"/>
        <v>红</v>
      </c>
      <c r="N420" s="15" t="str">
        <f t="shared" si="30"/>
        <v>金币</v>
      </c>
      <c r="O420" s="15">
        <f>IF(L420&gt;1,INDEX(挂机升级突破!$AI$35:$AI$55,卡牌消耗!L420),"")</f>
        <v>53000</v>
      </c>
      <c r="P420" s="15" t="str">
        <f>IF(L420&gt;1,INDEX(价值概述!$A$4:$A$8,INDEX(挂机升级突破!$W$35:$W$55,卡牌消耗!L420)),"")</f>
        <v>蓝色基础材料</v>
      </c>
      <c r="Q420" s="15">
        <f>IF(L420&gt;1,INDEX(挂机升级突破!$Z$35:$AD$55,卡牌消耗!L420,INDEX(挂机升级突破!$W$35:$W$55,卡牌消耗!L420)),"")</f>
        <v>70</v>
      </c>
      <c r="R420" s="15" t="str">
        <f>IF(INDEX(挂机升级突破!$X$35:$X$55,卡牌消耗!L420)&gt;0,INDEX($G$2:$I$2,INDEX(挂机升级突破!$X$35:$X$55,卡牌消耗!L420))&amp;M420,"")</f>
        <v>初级红</v>
      </c>
      <c r="S420" s="15">
        <f>IF(R420="","",INDEX(挂机升级突破!$AE$35:$AG$55,卡牌消耗!L420,INDEX(挂机升级突破!$X$35:$X$55,卡牌消耗!L420)))</f>
        <v>85</v>
      </c>
      <c r="T420" s="15" t="str">
        <f>IF(INDEX(挂机升级突破!$Y$35:$Y$55,卡牌消耗!L420)&gt;0,"灵玉","")</f>
        <v/>
      </c>
      <c r="U420" s="15" t="str">
        <f>IF(INDEX(挂机升级突破!$Y$35:$Y$55,卡牌消耗!L420)&gt;0,INDEX(挂机升级突破!$AH$35:$AH$55,卡牌消耗!L420),"")</f>
        <v/>
      </c>
    </row>
    <row r="421" spans="9:21" ht="16.5" x14ac:dyDescent="0.2">
      <c r="I421" s="35">
        <v>385</v>
      </c>
      <c r="J421" s="15">
        <f t="shared" ref="J421:J477" si="31">INDEX($A$13:$A$33,INT((I421-1)/21)+1)</f>
        <v>1102019</v>
      </c>
      <c r="K421" s="15">
        <f t="shared" ref="K421:K477" si="32">VLOOKUP(J421,$A$13:$D$33,3)</f>
        <v>3</v>
      </c>
      <c r="L421" s="15">
        <f t="shared" si="29"/>
        <v>7</v>
      </c>
      <c r="M421" s="15" t="str">
        <f t="shared" ref="M421:M477" si="33">INDEX($J$2:$L$2,INDEX($E$13:$E$33,INT((I421-1)/21)+1))</f>
        <v>红</v>
      </c>
      <c r="N421" s="15" t="str">
        <f t="shared" si="30"/>
        <v>金币</v>
      </c>
      <c r="O421" s="15">
        <f>IF(L421&gt;1,INDEX(挂机升级突破!$AI$35:$AI$55,卡牌消耗!L421),"")</f>
        <v>59500</v>
      </c>
      <c r="P421" s="15" t="str">
        <f>IF(L421&gt;1,INDEX(价值概述!$A$4:$A$8,INDEX(挂机升级突破!$W$35:$W$55,卡牌消耗!L421)),"")</f>
        <v>蓝色基础材料</v>
      </c>
      <c r="Q421" s="15">
        <f>IF(L421&gt;1,INDEX(挂机升级突破!$Z$35:$AD$55,卡牌消耗!L421,INDEX(挂机升级突破!$W$35:$W$55,卡牌消耗!L421)),"")</f>
        <v>110</v>
      </c>
      <c r="R421" s="15" t="str">
        <f>IF(INDEX(挂机升级突破!$X$35:$X$55,卡牌消耗!L421)&gt;0,INDEX($G$2:$I$2,INDEX(挂机升级突破!$X$35:$X$55,卡牌消耗!L421))&amp;M421,"")</f>
        <v>初级红</v>
      </c>
      <c r="S421" s="15">
        <f>IF(R421="","",INDEX(挂机升级突破!$AE$35:$AG$55,卡牌消耗!L421,INDEX(挂机升级突破!$X$35:$X$55,卡牌消耗!L421)))</f>
        <v>110</v>
      </c>
      <c r="T421" s="15" t="str">
        <f>IF(INDEX(挂机升级突破!$Y$35:$Y$55,卡牌消耗!L421)&gt;0,"灵玉","")</f>
        <v/>
      </c>
      <c r="U421" s="15" t="str">
        <f>IF(INDEX(挂机升级突破!$Y$35:$Y$55,卡牌消耗!L421)&gt;0,INDEX(挂机升级突破!$AH$35:$AH$55,卡牌消耗!L421),"")</f>
        <v/>
      </c>
    </row>
    <row r="422" spans="9:21" ht="16.5" x14ac:dyDescent="0.2">
      <c r="I422" s="35">
        <v>386</v>
      </c>
      <c r="J422" s="15">
        <f t="shared" si="31"/>
        <v>1102019</v>
      </c>
      <c r="K422" s="15">
        <f t="shared" si="32"/>
        <v>3</v>
      </c>
      <c r="L422" s="15">
        <f t="shared" ref="L422:L477" si="34">MOD((I422-1),21)+1</f>
        <v>8</v>
      </c>
      <c r="M422" s="15" t="str">
        <f t="shared" si="33"/>
        <v>红</v>
      </c>
      <c r="N422" s="15" t="str">
        <f t="shared" ref="N422:N477" si="35">IF(L422&gt;1,"金币","")</f>
        <v>金币</v>
      </c>
      <c r="O422" s="15">
        <f>IF(L422&gt;1,INDEX(挂机升级突破!$AI$35:$AI$55,卡牌消耗!L422),"")</f>
        <v>65500</v>
      </c>
      <c r="P422" s="15" t="str">
        <f>IF(L422&gt;1,INDEX(价值概述!$A$4:$A$8,INDEX(挂机升级突破!$W$35:$W$55,卡牌消耗!L422)),"")</f>
        <v>蓝色基础材料</v>
      </c>
      <c r="Q422" s="15">
        <f>IF(L422&gt;1,INDEX(挂机升级突破!$Z$35:$AD$55,卡牌消耗!L422,INDEX(挂机升级突破!$W$35:$W$55,卡牌消耗!L422)),"")</f>
        <v>145</v>
      </c>
      <c r="R422" s="15" t="str">
        <f>IF(INDEX(挂机升级突破!$X$35:$X$55,卡牌消耗!L422)&gt;0,INDEX($G$2:$I$2,INDEX(挂机升级突破!$X$35:$X$55,卡牌消耗!L422))&amp;M422,"")</f>
        <v>初级红</v>
      </c>
      <c r="S422" s="15">
        <f>IF(R422="","",INDEX(挂机升级突破!$AE$35:$AG$55,卡牌消耗!L422,INDEX(挂机升级突破!$X$35:$X$55,卡牌消耗!L422)))</f>
        <v>130</v>
      </c>
      <c r="T422" s="15" t="str">
        <f>IF(INDEX(挂机升级突破!$Y$35:$Y$55,卡牌消耗!L422)&gt;0,"灵玉","")</f>
        <v/>
      </c>
      <c r="U422" s="15" t="str">
        <f>IF(INDEX(挂机升级突破!$Y$35:$Y$55,卡牌消耗!L422)&gt;0,INDEX(挂机升级突破!$AH$35:$AH$55,卡牌消耗!L422),"")</f>
        <v/>
      </c>
    </row>
    <row r="423" spans="9:21" ht="16.5" x14ac:dyDescent="0.2">
      <c r="I423" s="35">
        <v>387</v>
      </c>
      <c r="J423" s="15">
        <f t="shared" si="31"/>
        <v>1102019</v>
      </c>
      <c r="K423" s="15">
        <f t="shared" si="32"/>
        <v>3</v>
      </c>
      <c r="L423" s="15">
        <f t="shared" si="34"/>
        <v>9</v>
      </c>
      <c r="M423" s="15" t="str">
        <f t="shared" si="33"/>
        <v>红</v>
      </c>
      <c r="N423" s="15" t="str">
        <f t="shared" si="35"/>
        <v>金币</v>
      </c>
      <c r="O423" s="15">
        <f>IF(L423&gt;1,INDEX(挂机升级突破!$AI$35:$AI$55,卡牌消耗!L423),"")</f>
        <v>76000</v>
      </c>
      <c r="P423" s="15" t="str">
        <f>IF(L423&gt;1,INDEX(价值概述!$A$4:$A$8,INDEX(挂机升级突破!$W$35:$W$55,卡牌消耗!L423)),"")</f>
        <v>紫色基础材料</v>
      </c>
      <c r="Q423" s="15">
        <f>IF(L423&gt;1,INDEX(挂机升级突破!$Z$35:$AD$55,卡牌消耗!L423,INDEX(挂机升级突破!$W$35:$W$55,卡牌消耗!L423)),"")</f>
        <v>70</v>
      </c>
      <c r="R423" s="15" t="str">
        <f>IF(INDEX(挂机升级突破!$X$35:$X$55,卡牌消耗!L423)&gt;0,INDEX($G$2:$I$2,INDEX(挂机升级突破!$X$35:$X$55,卡牌消耗!L423))&amp;M423,"")</f>
        <v>中级红</v>
      </c>
      <c r="S423" s="15">
        <f>IF(R423="","",INDEX(挂机升级突破!$AE$35:$AG$55,卡牌消耗!L423,INDEX(挂机升级突破!$X$35:$X$55,卡牌消耗!L423)))</f>
        <v>55</v>
      </c>
      <c r="T423" s="15" t="str">
        <f>IF(INDEX(挂机升级突破!$Y$35:$Y$55,卡牌消耗!L423)&gt;0,"灵玉","")</f>
        <v/>
      </c>
      <c r="U423" s="15" t="str">
        <f>IF(INDEX(挂机升级突破!$Y$35:$Y$55,卡牌消耗!L423)&gt;0,INDEX(挂机升级突破!$AH$35:$AH$55,卡牌消耗!L423),"")</f>
        <v/>
      </c>
    </row>
    <row r="424" spans="9:21" ht="16.5" x14ac:dyDescent="0.2">
      <c r="I424" s="35">
        <v>388</v>
      </c>
      <c r="J424" s="15">
        <f t="shared" si="31"/>
        <v>1102019</v>
      </c>
      <c r="K424" s="15">
        <f t="shared" si="32"/>
        <v>3</v>
      </c>
      <c r="L424" s="15">
        <f t="shared" si="34"/>
        <v>10</v>
      </c>
      <c r="M424" s="15" t="str">
        <f t="shared" si="33"/>
        <v>红</v>
      </c>
      <c r="N424" s="15" t="str">
        <f t="shared" si="35"/>
        <v>金币</v>
      </c>
      <c r="O424" s="15">
        <f>IF(L424&gt;1,INDEX(挂机升级突破!$AI$35:$AI$55,卡牌消耗!L424),"")</f>
        <v>83000</v>
      </c>
      <c r="P424" s="15" t="str">
        <f>IF(L424&gt;1,INDEX(价值概述!$A$4:$A$8,INDEX(挂机升级突破!$W$35:$W$55,卡牌消耗!L424)),"")</f>
        <v>紫色基础材料</v>
      </c>
      <c r="Q424" s="15">
        <f>IF(L424&gt;1,INDEX(挂机升级突破!$Z$35:$AD$55,卡牌消耗!L424,INDEX(挂机升级突破!$W$35:$W$55,卡牌消耗!L424)),"")</f>
        <v>140</v>
      </c>
      <c r="R424" s="15" t="str">
        <f>IF(INDEX(挂机升级突破!$X$35:$X$55,卡牌消耗!L424)&gt;0,INDEX($G$2:$I$2,INDEX(挂机升级突破!$X$35:$X$55,卡牌消耗!L424))&amp;M424,"")</f>
        <v>中级红</v>
      </c>
      <c r="S424" s="15">
        <f>IF(R424="","",INDEX(挂机升级突破!$AE$35:$AG$55,卡牌消耗!L424,INDEX(挂机升级突破!$X$35:$X$55,卡牌消耗!L424)))</f>
        <v>95</v>
      </c>
      <c r="T424" s="15" t="str">
        <f>IF(INDEX(挂机升级突破!$Y$35:$Y$55,卡牌消耗!L424)&gt;0,"灵玉","")</f>
        <v/>
      </c>
      <c r="U424" s="15" t="str">
        <f>IF(INDEX(挂机升级突破!$Y$35:$Y$55,卡牌消耗!L424)&gt;0,INDEX(挂机升级突破!$AH$35:$AH$55,卡牌消耗!L424),"")</f>
        <v/>
      </c>
    </row>
    <row r="425" spans="9:21" ht="16.5" x14ac:dyDescent="0.2">
      <c r="I425" s="35">
        <v>389</v>
      </c>
      <c r="J425" s="15">
        <f t="shared" si="31"/>
        <v>1102019</v>
      </c>
      <c r="K425" s="15">
        <f t="shared" si="32"/>
        <v>3</v>
      </c>
      <c r="L425" s="15">
        <f t="shared" si="34"/>
        <v>11</v>
      </c>
      <c r="M425" s="15" t="str">
        <f t="shared" si="33"/>
        <v>红</v>
      </c>
      <c r="N425" s="15" t="str">
        <f t="shared" si="35"/>
        <v>金币</v>
      </c>
      <c r="O425" s="15">
        <f>IF(L425&gt;1,INDEX(挂机升级突破!$AI$35:$AI$55,卡牌消耗!L425),"")</f>
        <v>90000</v>
      </c>
      <c r="P425" s="15" t="str">
        <f>IF(L425&gt;1,INDEX(价值概述!$A$4:$A$8,INDEX(挂机升级突破!$W$35:$W$55,卡牌消耗!L425)),"")</f>
        <v>紫色基础材料</v>
      </c>
      <c r="Q425" s="15">
        <f>IF(L425&gt;1,INDEX(挂机升级突破!$Z$35:$AD$55,卡牌消耗!L425,INDEX(挂机升级突破!$W$35:$W$55,卡牌消耗!L425)),"")</f>
        <v>215</v>
      </c>
      <c r="R425" s="15" t="str">
        <f>IF(INDEX(挂机升级突破!$X$35:$X$55,卡牌消耗!L425)&gt;0,INDEX($G$2:$I$2,INDEX(挂机升级突破!$X$35:$X$55,卡牌消耗!L425))&amp;M425,"")</f>
        <v>中级红</v>
      </c>
      <c r="S425" s="15">
        <f>IF(R425="","",INDEX(挂机升级突破!$AE$35:$AG$55,卡牌消耗!L425,INDEX(挂机升级突破!$X$35:$X$55,卡牌消耗!L425)))</f>
        <v>145</v>
      </c>
      <c r="T425" s="15" t="str">
        <f>IF(INDEX(挂机升级突破!$Y$35:$Y$55,卡牌消耗!L425)&gt;0,"灵玉","")</f>
        <v/>
      </c>
      <c r="U425" s="15" t="str">
        <f>IF(INDEX(挂机升级突破!$Y$35:$Y$55,卡牌消耗!L425)&gt;0,INDEX(挂机升级突破!$AH$35:$AH$55,卡牌消耗!L425),"")</f>
        <v/>
      </c>
    </row>
    <row r="426" spans="9:21" ht="16.5" x14ac:dyDescent="0.2">
      <c r="I426" s="35">
        <v>390</v>
      </c>
      <c r="J426" s="15">
        <f t="shared" si="31"/>
        <v>1102019</v>
      </c>
      <c r="K426" s="15">
        <f t="shared" si="32"/>
        <v>3</v>
      </c>
      <c r="L426" s="15">
        <f t="shared" si="34"/>
        <v>12</v>
      </c>
      <c r="M426" s="15" t="str">
        <f t="shared" si="33"/>
        <v>红</v>
      </c>
      <c r="N426" s="15" t="str">
        <f t="shared" si="35"/>
        <v>金币</v>
      </c>
      <c r="O426" s="15">
        <f>IF(L426&gt;1,INDEX(挂机升级突破!$AI$35:$AI$55,卡牌消耗!L426),"")</f>
        <v>97000</v>
      </c>
      <c r="P426" s="15" t="str">
        <f>IF(L426&gt;1,INDEX(价值概述!$A$4:$A$8,INDEX(挂机升级突破!$W$35:$W$55,卡牌消耗!L426)),"")</f>
        <v>紫色基础材料</v>
      </c>
      <c r="Q426" s="15">
        <f>IF(L426&gt;1,INDEX(挂机升级突破!$Z$35:$AD$55,卡牌消耗!L426,INDEX(挂机升级突破!$W$35:$W$55,卡牌消耗!L426)),"")</f>
        <v>285</v>
      </c>
      <c r="R426" s="15" t="str">
        <f>IF(INDEX(挂机升级突破!$X$35:$X$55,卡牌消耗!L426)&gt;0,INDEX($G$2:$I$2,INDEX(挂机升级突破!$X$35:$X$55,卡牌消耗!L426))&amp;M426,"")</f>
        <v>中级红</v>
      </c>
      <c r="S426" s="15">
        <f>IF(R426="","",INDEX(挂机升级突破!$AE$35:$AG$55,卡牌消耗!L426,INDEX(挂机升级突破!$X$35:$X$55,卡牌消耗!L426)))</f>
        <v>185</v>
      </c>
      <c r="T426" s="15" t="str">
        <f>IF(INDEX(挂机升级突破!$Y$35:$Y$55,卡牌消耗!L426)&gt;0,"灵玉","")</f>
        <v/>
      </c>
      <c r="U426" s="15" t="str">
        <f>IF(INDEX(挂机升级突破!$Y$35:$Y$55,卡牌消耗!L426)&gt;0,INDEX(挂机升级突破!$AH$35:$AH$55,卡牌消耗!L426),"")</f>
        <v/>
      </c>
    </row>
    <row r="427" spans="9:21" ht="16.5" x14ac:dyDescent="0.2">
      <c r="I427" s="35">
        <v>391</v>
      </c>
      <c r="J427" s="15">
        <f t="shared" si="31"/>
        <v>1102019</v>
      </c>
      <c r="K427" s="15">
        <f t="shared" si="32"/>
        <v>3</v>
      </c>
      <c r="L427" s="15">
        <f t="shared" si="34"/>
        <v>13</v>
      </c>
      <c r="M427" s="15" t="str">
        <f t="shared" si="33"/>
        <v>红</v>
      </c>
      <c r="N427" s="15" t="str">
        <f t="shared" si="35"/>
        <v>金币</v>
      </c>
      <c r="O427" s="15">
        <f>IF(L427&gt;1,INDEX(挂机升级突破!$AI$35:$AI$55,卡牌消耗!L427),"")</f>
        <v>122000</v>
      </c>
      <c r="P427" s="15" t="str">
        <f>IF(L427&gt;1,INDEX(价值概述!$A$4:$A$8,INDEX(挂机升级突破!$W$35:$W$55,卡牌消耗!L427)),"")</f>
        <v>橙色基础材料</v>
      </c>
      <c r="Q427" s="15">
        <f>IF(L427&gt;1,INDEX(挂机升级突破!$Z$35:$AD$55,卡牌消耗!L427,INDEX(挂机升级突破!$W$35:$W$55,卡牌消耗!L427)),"")</f>
        <v>115</v>
      </c>
      <c r="R427" s="15" t="str">
        <f>IF(INDEX(挂机升级突破!$X$35:$X$55,卡牌消耗!L427)&gt;0,INDEX($G$2:$I$2,INDEX(挂机升级突破!$X$35:$X$55,卡牌消耗!L427))&amp;M427,"")</f>
        <v>中级红</v>
      </c>
      <c r="S427" s="15">
        <f>IF(R427="","",INDEX(挂机升级突破!$AE$35:$AG$55,卡牌消耗!L427,INDEX(挂机升级突破!$X$35:$X$55,卡牌消耗!L427)))</f>
        <v>225</v>
      </c>
      <c r="T427" s="15" t="str">
        <f>IF(INDEX(挂机升级突破!$Y$35:$Y$55,卡牌消耗!L427)&gt;0,"灵玉","")</f>
        <v/>
      </c>
      <c r="U427" s="15" t="str">
        <f>IF(INDEX(挂机升级突破!$Y$35:$Y$55,卡牌消耗!L427)&gt;0,INDEX(挂机升级突破!$AH$35:$AH$55,卡牌消耗!L427),"")</f>
        <v/>
      </c>
    </row>
    <row r="428" spans="9:21" ht="16.5" x14ac:dyDescent="0.2">
      <c r="I428" s="35">
        <v>392</v>
      </c>
      <c r="J428" s="15">
        <f t="shared" si="31"/>
        <v>1102019</v>
      </c>
      <c r="K428" s="15">
        <f t="shared" si="32"/>
        <v>3</v>
      </c>
      <c r="L428" s="15">
        <f t="shared" si="34"/>
        <v>14</v>
      </c>
      <c r="M428" s="15" t="str">
        <f t="shared" si="33"/>
        <v>红</v>
      </c>
      <c r="N428" s="15" t="str">
        <f t="shared" si="35"/>
        <v>金币</v>
      </c>
      <c r="O428" s="15">
        <f>IF(L428&gt;1,INDEX(挂机升级突破!$AI$35:$AI$55,卡牌消耗!L428),"")</f>
        <v>162500</v>
      </c>
      <c r="P428" s="15" t="str">
        <f>IF(L428&gt;1,INDEX(价值概述!$A$4:$A$8,INDEX(挂机升级突破!$W$35:$W$55,卡牌消耗!L428)),"")</f>
        <v>橙色基础材料</v>
      </c>
      <c r="Q428" s="15">
        <f>IF(L428&gt;1,INDEX(挂机升级突破!$Z$35:$AD$55,卡牌消耗!L428,INDEX(挂机升级突破!$W$35:$W$55,卡牌消耗!L428)),"")</f>
        <v>235</v>
      </c>
      <c r="R428" s="15" t="str">
        <f>IF(INDEX(挂机升级突破!$X$35:$X$55,卡牌消耗!L428)&gt;0,INDEX($G$2:$I$2,INDEX(挂机升级突破!$X$35:$X$55,卡牌消耗!L428))&amp;M428,"")</f>
        <v>中级红</v>
      </c>
      <c r="S428" s="15">
        <f>IF(R428="","",INDEX(挂机升级突破!$AE$35:$AG$55,卡牌消耗!L428,INDEX(挂机升级突破!$X$35:$X$55,卡牌消耗!L428)))</f>
        <v>265</v>
      </c>
      <c r="T428" s="15" t="str">
        <f>IF(INDEX(挂机升级突破!$Y$35:$Y$55,卡牌消耗!L428)&gt;0,"灵玉","")</f>
        <v/>
      </c>
      <c r="U428" s="15" t="str">
        <f>IF(INDEX(挂机升级突破!$Y$35:$Y$55,卡牌消耗!L428)&gt;0,INDEX(挂机升级突破!$AH$35:$AH$55,卡牌消耗!L428),"")</f>
        <v/>
      </c>
    </row>
    <row r="429" spans="9:21" ht="16.5" x14ac:dyDescent="0.2">
      <c r="I429" s="35">
        <v>393</v>
      </c>
      <c r="J429" s="15">
        <f t="shared" si="31"/>
        <v>1102019</v>
      </c>
      <c r="K429" s="15">
        <f t="shared" si="32"/>
        <v>3</v>
      </c>
      <c r="L429" s="15">
        <f t="shared" si="34"/>
        <v>15</v>
      </c>
      <c r="M429" s="15" t="str">
        <f t="shared" si="33"/>
        <v>红</v>
      </c>
      <c r="N429" s="15" t="str">
        <f t="shared" si="35"/>
        <v>金币</v>
      </c>
      <c r="O429" s="15">
        <f>IF(L429&gt;1,INDEX(挂机升级突破!$AI$35:$AI$55,卡牌消耗!L429),"")</f>
        <v>190000</v>
      </c>
      <c r="P429" s="15" t="str">
        <f>IF(L429&gt;1,INDEX(价值概述!$A$4:$A$8,INDEX(挂机升级突破!$W$35:$W$55,卡牌消耗!L429)),"")</f>
        <v>橙色基础材料</v>
      </c>
      <c r="Q429" s="15">
        <f>IF(L429&gt;1,INDEX(挂机升级突破!$Z$35:$AD$55,卡牌消耗!L429,INDEX(挂机升级突破!$W$35:$W$55,卡牌消耗!L429)),"")</f>
        <v>355</v>
      </c>
      <c r="R429" s="15" t="str">
        <f>IF(INDEX(挂机升级突破!$X$35:$X$55,卡牌消耗!L429)&gt;0,INDEX($G$2:$I$2,INDEX(挂机升级突破!$X$35:$X$55,卡牌消耗!L429))&amp;M429,"")</f>
        <v>高级红</v>
      </c>
      <c r="S429" s="15">
        <f>IF(R429="","",INDEX(挂机升级突破!$AE$35:$AG$55,卡牌消耗!L429,INDEX(挂机升级突破!$X$35:$X$55,卡牌消耗!L429)))</f>
        <v>45</v>
      </c>
      <c r="T429" s="15" t="str">
        <f>IF(INDEX(挂机升级突破!$Y$35:$Y$55,卡牌消耗!L429)&gt;0,"灵玉","")</f>
        <v/>
      </c>
      <c r="U429" s="15" t="str">
        <f>IF(INDEX(挂机升级突破!$Y$35:$Y$55,卡牌消耗!L429)&gt;0,INDEX(挂机升级突破!$AH$35:$AH$55,卡牌消耗!L429),"")</f>
        <v/>
      </c>
    </row>
    <row r="430" spans="9:21" ht="16.5" x14ac:dyDescent="0.2">
      <c r="I430" s="35">
        <v>394</v>
      </c>
      <c r="J430" s="15">
        <f t="shared" si="31"/>
        <v>1102019</v>
      </c>
      <c r="K430" s="15">
        <f t="shared" si="32"/>
        <v>3</v>
      </c>
      <c r="L430" s="15">
        <f t="shared" si="34"/>
        <v>16</v>
      </c>
      <c r="M430" s="15" t="str">
        <f t="shared" si="33"/>
        <v>红</v>
      </c>
      <c r="N430" s="15" t="str">
        <f t="shared" si="35"/>
        <v>金币</v>
      </c>
      <c r="O430" s="15">
        <f>IF(L430&gt;1,INDEX(挂机升级突破!$AI$35:$AI$55,卡牌消耗!L430),"")</f>
        <v>219000</v>
      </c>
      <c r="P430" s="15" t="str">
        <f>IF(L430&gt;1,INDEX(价值概述!$A$4:$A$8,INDEX(挂机升级突破!$W$35:$W$55,卡牌消耗!L430)),"")</f>
        <v>橙色基础材料</v>
      </c>
      <c r="Q430" s="15">
        <f>IF(L430&gt;1,INDEX(挂机升级突破!$Z$35:$AD$55,卡牌消耗!L430,INDEX(挂机升级突破!$W$35:$W$55,卡牌消耗!L430)),"")</f>
        <v>475</v>
      </c>
      <c r="R430" s="15" t="str">
        <f>IF(INDEX(挂机升级突破!$X$35:$X$55,卡牌消耗!L430)&gt;0,INDEX($G$2:$I$2,INDEX(挂机升级突破!$X$35:$X$55,卡牌消耗!L430))&amp;M430,"")</f>
        <v>高级红</v>
      </c>
      <c r="S430" s="15">
        <f>IF(R430="","",INDEX(挂机升级突破!$AE$35:$AG$55,卡牌消耗!L430,INDEX(挂机升级突破!$X$35:$X$55,卡牌消耗!L430)))</f>
        <v>70</v>
      </c>
      <c r="T430" s="15" t="str">
        <f>IF(INDEX(挂机升级突破!$Y$35:$Y$55,卡牌消耗!L430)&gt;0,"灵玉","")</f>
        <v/>
      </c>
      <c r="U430" s="15" t="str">
        <f>IF(INDEX(挂机升级突破!$Y$35:$Y$55,卡牌消耗!L430)&gt;0,INDEX(挂机升级突破!$AH$35:$AH$55,卡牌消耗!L430),"")</f>
        <v/>
      </c>
    </row>
    <row r="431" spans="9:21" ht="16.5" x14ac:dyDescent="0.2">
      <c r="I431" s="35">
        <v>395</v>
      </c>
      <c r="J431" s="15">
        <f t="shared" si="31"/>
        <v>1102019</v>
      </c>
      <c r="K431" s="15">
        <f t="shared" si="32"/>
        <v>3</v>
      </c>
      <c r="L431" s="15">
        <f t="shared" si="34"/>
        <v>17</v>
      </c>
      <c r="M431" s="15" t="str">
        <f t="shared" si="33"/>
        <v>红</v>
      </c>
      <c r="N431" s="15" t="str">
        <f t="shared" si="35"/>
        <v>金币</v>
      </c>
      <c r="O431" s="15">
        <f>IF(L431&gt;1,INDEX(挂机升级突破!$AI$35:$AI$55,卡牌消耗!L431),"")</f>
        <v>228000</v>
      </c>
      <c r="P431" s="15" t="str">
        <f>IF(L431&gt;1,INDEX(价值概述!$A$4:$A$8,INDEX(挂机升级突破!$W$35:$W$55,卡牌消耗!L431)),"")</f>
        <v>红色基础材料</v>
      </c>
      <c r="Q431" s="15">
        <f>IF(L431&gt;1,INDEX(挂机升级突破!$Z$35:$AD$55,卡牌消耗!L431,INDEX(挂机升级突破!$W$35:$W$55,卡牌消耗!L431)),"")</f>
        <v>45</v>
      </c>
      <c r="R431" s="15" t="str">
        <f>IF(INDEX(挂机升级突破!$X$35:$X$55,卡牌消耗!L431)&gt;0,INDEX($G$2:$I$2,INDEX(挂机升级突破!$X$35:$X$55,卡牌消耗!L431))&amp;M431,"")</f>
        <v>高级红</v>
      </c>
      <c r="S431" s="15">
        <f>IF(R431="","",INDEX(挂机升级突破!$AE$35:$AG$55,卡牌消耗!L431,INDEX(挂机升级突破!$X$35:$X$55,卡牌消耗!L431)))</f>
        <v>100</v>
      </c>
      <c r="T431" s="15" t="str">
        <f>IF(INDEX(挂机升级突破!$Y$35:$Y$55,卡牌消耗!L431)&gt;0,"灵玉","")</f>
        <v>灵玉</v>
      </c>
      <c r="U431" s="15">
        <f>IF(INDEX(挂机升级突破!$Y$35:$Y$55,卡牌消耗!L431)&gt;0,INDEX(挂机升级突破!$AH$35:$AH$55,卡牌消耗!L431),"")</f>
        <v>25</v>
      </c>
    </row>
    <row r="432" spans="9:21" ht="16.5" x14ac:dyDescent="0.2">
      <c r="I432" s="35">
        <v>396</v>
      </c>
      <c r="J432" s="15">
        <f t="shared" si="31"/>
        <v>1102019</v>
      </c>
      <c r="K432" s="15">
        <f t="shared" si="32"/>
        <v>3</v>
      </c>
      <c r="L432" s="15">
        <f t="shared" si="34"/>
        <v>18</v>
      </c>
      <c r="M432" s="15" t="str">
        <f t="shared" si="33"/>
        <v>红</v>
      </c>
      <c r="N432" s="15" t="str">
        <f t="shared" si="35"/>
        <v>金币</v>
      </c>
      <c r="O432" s="15">
        <f>IF(L432&gt;1,INDEX(挂机升级突破!$AI$35:$AI$55,卡牌消耗!L432),"")</f>
        <v>319500</v>
      </c>
      <c r="P432" s="15" t="str">
        <f>IF(L432&gt;1,INDEX(价值概述!$A$4:$A$8,INDEX(挂机升级突破!$W$35:$W$55,卡牌消耗!L432)),"")</f>
        <v>红色基础材料</v>
      </c>
      <c r="Q432" s="15">
        <f>IF(L432&gt;1,INDEX(挂机升级突破!$Z$35:$AD$55,卡牌消耗!L432,INDEX(挂机升级突破!$W$35:$W$55,卡牌消耗!L432)),"")</f>
        <v>65</v>
      </c>
      <c r="R432" s="15" t="str">
        <f>IF(INDEX(挂机升级突破!$X$35:$X$55,卡牌消耗!L432)&gt;0,INDEX($G$2:$I$2,INDEX(挂机升级突破!$X$35:$X$55,卡牌消耗!L432))&amp;M432,"")</f>
        <v>高级红</v>
      </c>
      <c r="S432" s="15">
        <f>IF(R432="","",INDEX(挂机升级突破!$AE$35:$AG$55,卡牌消耗!L432,INDEX(挂机升级突破!$X$35:$X$55,卡牌消耗!L432)))</f>
        <v>125</v>
      </c>
      <c r="T432" s="15" t="str">
        <f>IF(INDEX(挂机升级突破!$Y$35:$Y$55,卡牌消耗!L432)&gt;0,"灵玉","")</f>
        <v>灵玉</v>
      </c>
      <c r="U432" s="15">
        <f>IF(INDEX(挂机升级突破!$Y$35:$Y$55,卡牌消耗!L432)&gt;0,INDEX(挂机升级突破!$AH$35:$AH$55,卡牌消耗!L432),"")</f>
        <v>35</v>
      </c>
    </row>
    <row r="433" spans="9:21" ht="16.5" x14ac:dyDescent="0.2">
      <c r="I433" s="35">
        <v>397</v>
      </c>
      <c r="J433" s="15">
        <f t="shared" si="31"/>
        <v>1102019</v>
      </c>
      <c r="K433" s="15">
        <f t="shared" si="32"/>
        <v>3</v>
      </c>
      <c r="L433" s="15">
        <f t="shared" si="34"/>
        <v>19</v>
      </c>
      <c r="M433" s="15" t="str">
        <f t="shared" si="33"/>
        <v>红</v>
      </c>
      <c r="N433" s="15" t="str">
        <f t="shared" si="35"/>
        <v>金币</v>
      </c>
      <c r="O433" s="15">
        <f>IF(L433&gt;1,INDEX(挂机升级突破!$AI$35:$AI$55,卡牌消耗!L433),"")</f>
        <v>426000</v>
      </c>
      <c r="P433" s="15" t="str">
        <f>IF(L433&gt;1,INDEX(价值概述!$A$4:$A$8,INDEX(挂机升级突破!$W$35:$W$55,卡牌消耗!L433)),"")</f>
        <v>红色基础材料</v>
      </c>
      <c r="Q433" s="15">
        <f>IF(L433&gt;1,INDEX(挂机升级突破!$Z$35:$AD$55,卡牌消耗!L433,INDEX(挂机升级突破!$W$35:$W$55,卡牌消耗!L433)),"")</f>
        <v>90</v>
      </c>
      <c r="R433" s="15" t="str">
        <f>IF(INDEX(挂机升级突破!$X$35:$X$55,卡牌消耗!L433)&gt;0,INDEX($G$2:$I$2,INDEX(挂机升级突破!$X$35:$X$55,卡牌消耗!L433))&amp;M433,"")</f>
        <v>高级红</v>
      </c>
      <c r="S433" s="15">
        <f>IF(R433="","",INDEX(挂机升级突破!$AE$35:$AG$55,卡牌消耗!L433,INDEX(挂机升级突破!$X$35:$X$55,卡牌消耗!L433)))</f>
        <v>155</v>
      </c>
      <c r="T433" s="15" t="str">
        <f>IF(INDEX(挂机升级突破!$Y$35:$Y$55,卡牌消耗!L433)&gt;0,"灵玉","")</f>
        <v>灵玉</v>
      </c>
      <c r="U433" s="15">
        <f>IF(INDEX(挂机升级突破!$Y$35:$Y$55,卡牌消耗!L433)&gt;0,INDEX(挂机升级突破!$AH$35:$AH$55,卡牌消耗!L433),"")</f>
        <v>50</v>
      </c>
    </row>
    <row r="434" spans="9:21" ht="16.5" x14ac:dyDescent="0.2">
      <c r="I434" s="35">
        <v>398</v>
      </c>
      <c r="J434" s="15">
        <f t="shared" si="31"/>
        <v>1102019</v>
      </c>
      <c r="K434" s="15">
        <f t="shared" si="32"/>
        <v>3</v>
      </c>
      <c r="L434" s="15">
        <f t="shared" si="34"/>
        <v>20</v>
      </c>
      <c r="M434" s="15" t="str">
        <f t="shared" si="33"/>
        <v>红</v>
      </c>
      <c r="N434" s="15" t="str">
        <f t="shared" si="35"/>
        <v>金币</v>
      </c>
      <c r="O434" s="15">
        <f>IF(L434&gt;1,INDEX(挂机升级突破!$AI$35:$AI$55,卡牌消耗!L434),"")</f>
        <v>532500</v>
      </c>
      <c r="P434" s="15" t="str">
        <f>IF(L434&gt;1,INDEX(价值概述!$A$4:$A$8,INDEX(挂机升级突破!$W$35:$W$55,卡牌消耗!L434)),"")</f>
        <v>红色基础材料</v>
      </c>
      <c r="Q434" s="15">
        <f>IF(L434&gt;1,INDEX(挂机升级突破!$Z$35:$AD$55,卡牌消耗!L434,INDEX(挂机升级突破!$W$35:$W$55,卡牌消耗!L434)),"")</f>
        <v>110</v>
      </c>
      <c r="R434" s="15" t="str">
        <f>IF(INDEX(挂机升级突破!$X$35:$X$55,卡牌消耗!L434)&gt;0,INDEX($G$2:$I$2,INDEX(挂机升级突破!$X$35:$X$55,卡牌消耗!L434))&amp;M434,"")</f>
        <v>高级红</v>
      </c>
      <c r="S434" s="15">
        <f>IF(R434="","",INDEX(挂机升级突破!$AE$35:$AG$55,卡牌消耗!L434,INDEX(挂机升级突破!$X$35:$X$55,卡牌消耗!L434)))</f>
        <v>180</v>
      </c>
      <c r="T434" s="15" t="str">
        <f>IF(INDEX(挂机升级突破!$Y$35:$Y$55,卡牌消耗!L434)&gt;0,"灵玉","")</f>
        <v>灵玉</v>
      </c>
      <c r="U434" s="15">
        <f>IF(INDEX(挂机升级突破!$Y$35:$Y$55,卡牌消耗!L434)&gt;0,INDEX(挂机升级突破!$AH$35:$AH$55,卡牌消耗!L434),"")</f>
        <v>65</v>
      </c>
    </row>
    <row r="435" spans="9:21" ht="16.5" x14ac:dyDescent="0.2">
      <c r="I435" s="35">
        <v>399</v>
      </c>
      <c r="J435" s="15">
        <f t="shared" si="31"/>
        <v>1102019</v>
      </c>
      <c r="K435" s="15">
        <f t="shared" si="32"/>
        <v>3</v>
      </c>
      <c r="L435" s="15">
        <f t="shared" si="34"/>
        <v>21</v>
      </c>
      <c r="M435" s="15" t="str">
        <f t="shared" si="33"/>
        <v>红</v>
      </c>
      <c r="N435" s="15" t="str">
        <f t="shared" si="35"/>
        <v>金币</v>
      </c>
      <c r="O435" s="15">
        <f>IF(L435&gt;1,INDEX(挂机升级突破!$AI$35:$AI$55,卡牌消耗!L435),"")</f>
        <v>639000</v>
      </c>
      <c r="P435" s="15" t="str">
        <f>IF(L435&gt;1,INDEX(价值概述!$A$4:$A$8,INDEX(挂机升级突破!$W$35:$W$55,卡牌消耗!L435)),"")</f>
        <v>红色基础材料</v>
      </c>
      <c r="Q435" s="15">
        <f>IF(L435&gt;1,INDEX(挂机升级突破!$Z$35:$AD$55,卡牌消耗!L435,INDEX(挂机升级突破!$W$35:$W$55,卡牌消耗!L435)),"")</f>
        <v>135</v>
      </c>
      <c r="R435" s="15" t="str">
        <f>IF(INDEX(挂机升级突破!$X$35:$X$55,卡牌消耗!L435)&gt;0,INDEX($G$2:$I$2,INDEX(挂机升级突破!$X$35:$X$55,卡牌消耗!L435))&amp;M435,"")</f>
        <v>高级红</v>
      </c>
      <c r="S435" s="15">
        <f>IF(R435="","",INDEX(挂机升级突破!$AE$35:$AG$55,卡牌消耗!L435,INDEX(挂机升级突破!$X$35:$X$55,卡牌消耗!L435)))</f>
        <v>225</v>
      </c>
      <c r="T435" s="15" t="str">
        <f>IF(INDEX(挂机升级突破!$Y$35:$Y$55,卡牌消耗!L435)&gt;0,"灵玉","")</f>
        <v>灵玉</v>
      </c>
      <c r="U435" s="15">
        <f>IF(INDEX(挂机升级突破!$Y$35:$Y$55,卡牌消耗!L435)&gt;0,INDEX(挂机升级突破!$AH$35:$AH$55,卡牌消耗!L435),"")</f>
        <v>75</v>
      </c>
    </row>
    <row r="436" spans="9:21" ht="16.5" x14ac:dyDescent="0.2">
      <c r="I436" s="35">
        <v>400</v>
      </c>
      <c r="J436" s="15">
        <f t="shared" si="31"/>
        <v>1102020</v>
      </c>
      <c r="K436" s="15">
        <f t="shared" si="32"/>
        <v>3</v>
      </c>
      <c r="L436" s="15">
        <f t="shared" si="34"/>
        <v>1</v>
      </c>
      <c r="M436" s="15" t="str">
        <f t="shared" si="33"/>
        <v>黄</v>
      </c>
      <c r="N436" s="15" t="str">
        <f t="shared" si="35"/>
        <v/>
      </c>
      <c r="O436" s="15" t="str">
        <f>IF(L436&gt;1,INDEX(挂机升级突破!$AI$35:$AI$55,卡牌消耗!L436),"")</f>
        <v/>
      </c>
      <c r="P436" s="15" t="str">
        <f>IF(L436&gt;1,INDEX(价值概述!$A$4:$A$8,INDEX(挂机升级突破!$W$35:$W$55,卡牌消耗!L436)),"")</f>
        <v/>
      </c>
      <c r="Q436" s="15" t="str">
        <f>IF(L436&gt;1,INDEX(挂机升级突破!$Z$35:$AD$55,卡牌消耗!L436,INDEX(挂机升级突破!$W$35:$W$55,卡牌消耗!L436)),"")</f>
        <v/>
      </c>
      <c r="R436" s="15" t="str">
        <f>IF(INDEX(挂机升级突破!$X$35:$X$55,卡牌消耗!L436)&gt;0,INDEX($G$2:$I$2,INDEX(挂机升级突破!$X$35:$X$55,卡牌消耗!L436))&amp;M436,"")</f>
        <v/>
      </c>
      <c r="S436" s="15" t="str">
        <f>IF(R436="","",INDEX(挂机升级突破!$AE$35:$AG$55,卡牌消耗!L436,INDEX(挂机升级突破!$X$35:$X$55,卡牌消耗!L436)))</f>
        <v/>
      </c>
      <c r="T436" s="15" t="str">
        <f>IF(INDEX(挂机升级突破!$Y$35:$Y$55,卡牌消耗!L436)&gt;0,"灵玉","")</f>
        <v/>
      </c>
      <c r="U436" s="15" t="str">
        <f>IF(INDEX(挂机升级突破!$Y$35:$Y$55,卡牌消耗!L436)&gt;0,INDEX(挂机升级突破!$AH$35:$AH$55,卡牌消耗!L436),"")</f>
        <v/>
      </c>
    </row>
    <row r="437" spans="9:21" ht="16.5" x14ac:dyDescent="0.2">
      <c r="I437" s="35">
        <v>401</v>
      </c>
      <c r="J437" s="15">
        <f t="shared" si="31"/>
        <v>1102020</v>
      </c>
      <c r="K437" s="15">
        <f t="shared" si="32"/>
        <v>3</v>
      </c>
      <c r="L437" s="15">
        <f t="shared" si="34"/>
        <v>2</v>
      </c>
      <c r="M437" s="15" t="str">
        <f t="shared" si="33"/>
        <v>黄</v>
      </c>
      <c r="N437" s="15" t="str">
        <f t="shared" si="35"/>
        <v>金币</v>
      </c>
      <c r="O437" s="15">
        <f>IF(L437&gt;1,INDEX(挂机升级突破!$AI$35:$AI$55,卡牌消耗!L437),"")</f>
        <v>2500</v>
      </c>
      <c r="P437" s="15" t="str">
        <f>IF(L437&gt;1,INDEX(价值概述!$A$4:$A$8,INDEX(挂机升级突破!$W$35:$W$55,卡牌消耗!L437)),"")</f>
        <v>绿色基础材料</v>
      </c>
      <c r="Q437" s="15">
        <f>IF(L437&gt;1,INDEX(挂机升级突破!$Z$35:$AD$55,卡牌消耗!L437,INDEX(挂机升级突破!$W$35:$W$55,卡牌消耗!L437)),"")</f>
        <v>10</v>
      </c>
      <c r="R437" s="15" t="str">
        <f>IF(INDEX(挂机升级突破!$X$35:$X$55,卡牌消耗!L437)&gt;0,INDEX($G$2:$I$2,INDEX(挂机升级突破!$X$35:$X$55,卡牌消耗!L437))&amp;M437,"")</f>
        <v/>
      </c>
      <c r="S437" s="15" t="str">
        <f>IF(R437="","",INDEX(挂机升级突破!$AE$35:$AG$55,卡牌消耗!L437,INDEX(挂机升级突破!$X$35:$X$55,卡牌消耗!L437)))</f>
        <v/>
      </c>
      <c r="T437" s="15" t="str">
        <f>IF(INDEX(挂机升级突破!$Y$35:$Y$55,卡牌消耗!L437)&gt;0,"灵玉","")</f>
        <v/>
      </c>
      <c r="U437" s="15" t="str">
        <f>IF(INDEX(挂机升级突破!$Y$35:$Y$55,卡牌消耗!L437)&gt;0,INDEX(挂机升级突破!$AH$35:$AH$55,卡牌消耗!L437),"")</f>
        <v/>
      </c>
    </row>
    <row r="438" spans="9:21" ht="16.5" x14ac:dyDescent="0.2">
      <c r="I438" s="35">
        <v>402</v>
      </c>
      <c r="J438" s="15">
        <f t="shared" si="31"/>
        <v>1102020</v>
      </c>
      <c r="K438" s="15">
        <f t="shared" si="32"/>
        <v>3</v>
      </c>
      <c r="L438" s="15">
        <f t="shared" si="34"/>
        <v>3</v>
      </c>
      <c r="M438" s="15" t="str">
        <f t="shared" si="33"/>
        <v>黄</v>
      </c>
      <c r="N438" s="15" t="str">
        <f t="shared" si="35"/>
        <v>金币</v>
      </c>
      <c r="O438" s="15">
        <f>IF(L438&gt;1,INDEX(挂机升级突破!$AI$35:$AI$55,卡牌消耗!L438),"")</f>
        <v>8000</v>
      </c>
      <c r="P438" s="15" t="str">
        <f>IF(L438&gt;1,INDEX(价值概述!$A$4:$A$8,INDEX(挂机升级突破!$W$35:$W$55,卡牌消耗!L438)),"")</f>
        <v>绿色基础材料</v>
      </c>
      <c r="Q438" s="15">
        <f>IF(L438&gt;1,INDEX(挂机升级突破!$Z$35:$AD$55,卡牌消耗!L438,INDEX(挂机升级突破!$W$35:$W$55,卡牌消耗!L438)),"")</f>
        <v>40</v>
      </c>
      <c r="R438" s="15" t="str">
        <f>IF(INDEX(挂机升级突破!$X$35:$X$55,卡牌消耗!L438)&gt;0,INDEX($G$2:$I$2,INDEX(挂机升级突破!$X$35:$X$55,卡牌消耗!L438))&amp;M438,"")</f>
        <v/>
      </c>
      <c r="S438" s="15" t="str">
        <f>IF(R438="","",INDEX(挂机升级突破!$AE$35:$AG$55,卡牌消耗!L438,INDEX(挂机升级突破!$X$35:$X$55,卡牌消耗!L438)))</f>
        <v/>
      </c>
      <c r="T438" s="15" t="str">
        <f>IF(INDEX(挂机升级突破!$Y$35:$Y$55,卡牌消耗!L438)&gt;0,"灵玉","")</f>
        <v/>
      </c>
      <c r="U438" s="15" t="str">
        <f>IF(INDEX(挂机升级突破!$Y$35:$Y$55,卡牌消耗!L438)&gt;0,INDEX(挂机升级突破!$AH$35:$AH$55,卡牌消耗!L438),"")</f>
        <v/>
      </c>
    </row>
    <row r="439" spans="9:21" ht="16.5" x14ac:dyDescent="0.2">
      <c r="I439" s="35">
        <v>403</v>
      </c>
      <c r="J439" s="15">
        <f t="shared" si="31"/>
        <v>1102020</v>
      </c>
      <c r="K439" s="15">
        <f t="shared" si="32"/>
        <v>3</v>
      </c>
      <c r="L439" s="15">
        <f t="shared" si="34"/>
        <v>4</v>
      </c>
      <c r="M439" s="15" t="str">
        <f t="shared" si="33"/>
        <v>黄</v>
      </c>
      <c r="N439" s="15" t="str">
        <f t="shared" si="35"/>
        <v>金币</v>
      </c>
      <c r="O439" s="15">
        <f>IF(L439&gt;1,INDEX(挂机升级突破!$AI$35:$AI$55,卡牌消耗!L439),"")</f>
        <v>16500</v>
      </c>
      <c r="P439" s="15" t="str">
        <f>IF(L439&gt;1,INDEX(价值概述!$A$4:$A$8,INDEX(挂机升级突破!$W$35:$W$55,卡牌消耗!L439)),"")</f>
        <v>绿色基础材料</v>
      </c>
      <c r="Q439" s="15">
        <f>IF(L439&gt;1,INDEX(挂机升级突破!$Z$35:$AD$55,卡牌消耗!L439,INDEX(挂机升级突破!$W$35:$W$55,卡牌消耗!L439)),"")</f>
        <v>80</v>
      </c>
      <c r="R439" s="15" t="str">
        <f>IF(INDEX(挂机升级突破!$X$35:$X$55,卡牌消耗!L439)&gt;0,INDEX($G$2:$I$2,INDEX(挂机升级突破!$X$35:$X$55,卡牌消耗!L439))&amp;M439,"")</f>
        <v>初级黄</v>
      </c>
      <c r="S439" s="15">
        <f>IF(R439="","",INDEX(挂机升级突破!$AE$35:$AG$55,卡牌消耗!L439,INDEX(挂机升级突破!$X$35:$X$55,卡牌消耗!L439)))</f>
        <v>40</v>
      </c>
      <c r="T439" s="15" t="str">
        <f>IF(INDEX(挂机升级突破!$Y$35:$Y$55,卡牌消耗!L439)&gt;0,"灵玉","")</f>
        <v/>
      </c>
      <c r="U439" s="15" t="str">
        <f>IF(INDEX(挂机升级突破!$Y$35:$Y$55,卡牌消耗!L439)&gt;0,INDEX(挂机升级突破!$AH$35:$AH$55,卡牌消耗!L439),"")</f>
        <v/>
      </c>
    </row>
    <row r="440" spans="9:21" ht="16.5" x14ac:dyDescent="0.2">
      <c r="I440" s="35">
        <v>404</v>
      </c>
      <c r="J440" s="15">
        <f t="shared" si="31"/>
        <v>1102020</v>
      </c>
      <c r="K440" s="15">
        <f t="shared" si="32"/>
        <v>3</v>
      </c>
      <c r="L440" s="15">
        <f t="shared" si="34"/>
        <v>5</v>
      </c>
      <c r="M440" s="15" t="str">
        <f t="shared" si="33"/>
        <v>黄</v>
      </c>
      <c r="N440" s="15" t="str">
        <f t="shared" si="35"/>
        <v>金币</v>
      </c>
      <c r="O440" s="15">
        <f>IF(L440&gt;1,INDEX(挂机升级突破!$AI$35:$AI$55,卡牌消耗!L440),"")</f>
        <v>22500</v>
      </c>
      <c r="P440" s="15" t="str">
        <f>IF(L440&gt;1,INDEX(价值概述!$A$4:$A$8,INDEX(挂机升级突破!$W$35:$W$55,卡牌消耗!L440)),"")</f>
        <v>蓝色基础材料</v>
      </c>
      <c r="Q440" s="15">
        <f>IF(L440&gt;1,INDEX(挂机升级突破!$Z$35:$AD$55,卡牌消耗!L440,INDEX(挂机升级突破!$W$35:$W$55,卡牌消耗!L440)),"")</f>
        <v>35</v>
      </c>
      <c r="R440" s="15" t="str">
        <f>IF(INDEX(挂机升级突破!$X$35:$X$55,卡牌消耗!L440)&gt;0,INDEX($G$2:$I$2,INDEX(挂机升级突破!$X$35:$X$55,卡牌消耗!L440))&amp;M440,"")</f>
        <v>初级黄</v>
      </c>
      <c r="S440" s="15">
        <f>IF(R440="","",INDEX(挂机升级突破!$AE$35:$AG$55,卡牌消耗!L440,INDEX(挂机升级突破!$X$35:$X$55,卡牌消耗!L440)))</f>
        <v>65</v>
      </c>
      <c r="T440" s="15" t="str">
        <f>IF(INDEX(挂机升级突破!$Y$35:$Y$55,卡牌消耗!L440)&gt;0,"灵玉","")</f>
        <v/>
      </c>
      <c r="U440" s="15" t="str">
        <f>IF(INDEX(挂机升级突破!$Y$35:$Y$55,卡牌消耗!L440)&gt;0,INDEX(挂机升级突破!$AH$35:$AH$55,卡牌消耗!L440),"")</f>
        <v/>
      </c>
    </row>
    <row r="441" spans="9:21" ht="16.5" x14ac:dyDescent="0.2">
      <c r="I441" s="35">
        <v>405</v>
      </c>
      <c r="J441" s="15">
        <f t="shared" si="31"/>
        <v>1102020</v>
      </c>
      <c r="K441" s="15">
        <f t="shared" si="32"/>
        <v>3</v>
      </c>
      <c r="L441" s="15">
        <f t="shared" si="34"/>
        <v>6</v>
      </c>
      <c r="M441" s="15" t="str">
        <f t="shared" si="33"/>
        <v>黄</v>
      </c>
      <c r="N441" s="15" t="str">
        <f t="shared" si="35"/>
        <v>金币</v>
      </c>
      <c r="O441" s="15">
        <f>IF(L441&gt;1,INDEX(挂机升级突破!$AI$35:$AI$55,卡牌消耗!L441),"")</f>
        <v>53000</v>
      </c>
      <c r="P441" s="15" t="str">
        <f>IF(L441&gt;1,INDEX(价值概述!$A$4:$A$8,INDEX(挂机升级突破!$W$35:$W$55,卡牌消耗!L441)),"")</f>
        <v>蓝色基础材料</v>
      </c>
      <c r="Q441" s="15">
        <f>IF(L441&gt;1,INDEX(挂机升级突破!$Z$35:$AD$55,卡牌消耗!L441,INDEX(挂机升级突破!$W$35:$W$55,卡牌消耗!L441)),"")</f>
        <v>70</v>
      </c>
      <c r="R441" s="15" t="str">
        <f>IF(INDEX(挂机升级突破!$X$35:$X$55,卡牌消耗!L441)&gt;0,INDEX($G$2:$I$2,INDEX(挂机升级突破!$X$35:$X$55,卡牌消耗!L441))&amp;M441,"")</f>
        <v>初级黄</v>
      </c>
      <c r="S441" s="15">
        <f>IF(R441="","",INDEX(挂机升级突破!$AE$35:$AG$55,卡牌消耗!L441,INDEX(挂机升级突破!$X$35:$X$55,卡牌消耗!L441)))</f>
        <v>85</v>
      </c>
      <c r="T441" s="15" t="str">
        <f>IF(INDEX(挂机升级突破!$Y$35:$Y$55,卡牌消耗!L441)&gt;0,"灵玉","")</f>
        <v/>
      </c>
      <c r="U441" s="15" t="str">
        <f>IF(INDEX(挂机升级突破!$Y$35:$Y$55,卡牌消耗!L441)&gt;0,INDEX(挂机升级突破!$AH$35:$AH$55,卡牌消耗!L441),"")</f>
        <v/>
      </c>
    </row>
    <row r="442" spans="9:21" ht="16.5" x14ac:dyDescent="0.2">
      <c r="I442" s="35">
        <v>406</v>
      </c>
      <c r="J442" s="15">
        <f t="shared" si="31"/>
        <v>1102020</v>
      </c>
      <c r="K442" s="15">
        <f t="shared" si="32"/>
        <v>3</v>
      </c>
      <c r="L442" s="15">
        <f t="shared" si="34"/>
        <v>7</v>
      </c>
      <c r="M442" s="15" t="str">
        <f t="shared" si="33"/>
        <v>黄</v>
      </c>
      <c r="N442" s="15" t="str">
        <f t="shared" si="35"/>
        <v>金币</v>
      </c>
      <c r="O442" s="15">
        <f>IF(L442&gt;1,INDEX(挂机升级突破!$AI$35:$AI$55,卡牌消耗!L442),"")</f>
        <v>59500</v>
      </c>
      <c r="P442" s="15" t="str">
        <f>IF(L442&gt;1,INDEX(价值概述!$A$4:$A$8,INDEX(挂机升级突破!$W$35:$W$55,卡牌消耗!L442)),"")</f>
        <v>蓝色基础材料</v>
      </c>
      <c r="Q442" s="15">
        <f>IF(L442&gt;1,INDEX(挂机升级突破!$Z$35:$AD$55,卡牌消耗!L442,INDEX(挂机升级突破!$W$35:$W$55,卡牌消耗!L442)),"")</f>
        <v>110</v>
      </c>
      <c r="R442" s="15" t="str">
        <f>IF(INDEX(挂机升级突破!$X$35:$X$55,卡牌消耗!L442)&gt;0,INDEX($G$2:$I$2,INDEX(挂机升级突破!$X$35:$X$55,卡牌消耗!L442))&amp;M442,"")</f>
        <v>初级黄</v>
      </c>
      <c r="S442" s="15">
        <f>IF(R442="","",INDEX(挂机升级突破!$AE$35:$AG$55,卡牌消耗!L442,INDEX(挂机升级突破!$X$35:$X$55,卡牌消耗!L442)))</f>
        <v>110</v>
      </c>
      <c r="T442" s="15" t="str">
        <f>IF(INDEX(挂机升级突破!$Y$35:$Y$55,卡牌消耗!L442)&gt;0,"灵玉","")</f>
        <v/>
      </c>
      <c r="U442" s="15" t="str">
        <f>IF(INDEX(挂机升级突破!$Y$35:$Y$55,卡牌消耗!L442)&gt;0,INDEX(挂机升级突破!$AH$35:$AH$55,卡牌消耗!L442),"")</f>
        <v/>
      </c>
    </row>
    <row r="443" spans="9:21" ht="16.5" x14ac:dyDescent="0.2">
      <c r="I443" s="35">
        <v>407</v>
      </c>
      <c r="J443" s="15">
        <f t="shared" si="31"/>
        <v>1102020</v>
      </c>
      <c r="K443" s="15">
        <f t="shared" si="32"/>
        <v>3</v>
      </c>
      <c r="L443" s="15">
        <f t="shared" si="34"/>
        <v>8</v>
      </c>
      <c r="M443" s="15" t="str">
        <f t="shared" si="33"/>
        <v>黄</v>
      </c>
      <c r="N443" s="15" t="str">
        <f t="shared" si="35"/>
        <v>金币</v>
      </c>
      <c r="O443" s="15">
        <f>IF(L443&gt;1,INDEX(挂机升级突破!$AI$35:$AI$55,卡牌消耗!L443),"")</f>
        <v>65500</v>
      </c>
      <c r="P443" s="15" t="str">
        <f>IF(L443&gt;1,INDEX(价值概述!$A$4:$A$8,INDEX(挂机升级突破!$W$35:$W$55,卡牌消耗!L443)),"")</f>
        <v>蓝色基础材料</v>
      </c>
      <c r="Q443" s="15">
        <f>IF(L443&gt;1,INDEX(挂机升级突破!$Z$35:$AD$55,卡牌消耗!L443,INDEX(挂机升级突破!$W$35:$W$55,卡牌消耗!L443)),"")</f>
        <v>145</v>
      </c>
      <c r="R443" s="15" t="str">
        <f>IF(INDEX(挂机升级突破!$X$35:$X$55,卡牌消耗!L443)&gt;0,INDEX($G$2:$I$2,INDEX(挂机升级突破!$X$35:$X$55,卡牌消耗!L443))&amp;M443,"")</f>
        <v>初级黄</v>
      </c>
      <c r="S443" s="15">
        <f>IF(R443="","",INDEX(挂机升级突破!$AE$35:$AG$55,卡牌消耗!L443,INDEX(挂机升级突破!$X$35:$X$55,卡牌消耗!L443)))</f>
        <v>130</v>
      </c>
      <c r="T443" s="15" t="str">
        <f>IF(INDEX(挂机升级突破!$Y$35:$Y$55,卡牌消耗!L443)&gt;0,"灵玉","")</f>
        <v/>
      </c>
      <c r="U443" s="15" t="str">
        <f>IF(INDEX(挂机升级突破!$Y$35:$Y$55,卡牌消耗!L443)&gt;0,INDEX(挂机升级突破!$AH$35:$AH$55,卡牌消耗!L443),"")</f>
        <v/>
      </c>
    </row>
    <row r="444" spans="9:21" ht="16.5" x14ac:dyDescent="0.2">
      <c r="I444" s="35">
        <v>408</v>
      </c>
      <c r="J444" s="15">
        <f t="shared" si="31"/>
        <v>1102020</v>
      </c>
      <c r="K444" s="15">
        <f t="shared" si="32"/>
        <v>3</v>
      </c>
      <c r="L444" s="15">
        <f t="shared" si="34"/>
        <v>9</v>
      </c>
      <c r="M444" s="15" t="str">
        <f t="shared" si="33"/>
        <v>黄</v>
      </c>
      <c r="N444" s="15" t="str">
        <f t="shared" si="35"/>
        <v>金币</v>
      </c>
      <c r="O444" s="15">
        <f>IF(L444&gt;1,INDEX(挂机升级突破!$AI$35:$AI$55,卡牌消耗!L444),"")</f>
        <v>76000</v>
      </c>
      <c r="P444" s="15" t="str">
        <f>IF(L444&gt;1,INDEX(价值概述!$A$4:$A$8,INDEX(挂机升级突破!$W$35:$W$55,卡牌消耗!L444)),"")</f>
        <v>紫色基础材料</v>
      </c>
      <c r="Q444" s="15">
        <f>IF(L444&gt;1,INDEX(挂机升级突破!$Z$35:$AD$55,卡牌消耗!L444,INDEX(挂机升级突破!$W$35:$W$55,卡牌消耗!L444)),"")</f>
        <v>70</v>
      </c>
      <c r="R444" s="15" t="str">
        <f>IF(INDEX(挂机升级突破!$X$35:$X$55,卡牌消耗!L444)&gt;0,INDEX($G$2:$I$2,INDEX(挂机升级突破!$X$35:$X$55,卡牌消耗!L444))&amp;M444,"")</f>
        <v>中级黄</v>
      </c>
      <c r="S444" s="15">
        <f>IF(R444="","",INDEX(挂机升级突破!$AE$35:$AG$55,卡牌消耗!L444,INDEX(挂机升级突破!$X$35:$X$55,卡牌消耗!L444)))</f>
        <v>55</v>
      </c>
      <c r="T444" s="15" t="str">
        <f>IF(INDEX(挂机升级突破!$Y$35:$Y$55,卡牌消耗!L444)&gt;0,"灵玉","")</f>
        <v/>
      </c>
      <c r="U444" s="15" t="str">
        <f>IF(INDEX(挂机升级突破!$Y$35:$Y$55,卡牌消耗!L444)&gt;0,INDEX(挂机升级突破!$AH$35:$AH$55,卡牌消耗!L444),"")</f>
        <v/>
      </c>
    </row>
    <row r="445" spans="9:21" ht="16.5" x14ac:dyDescent="0.2">
      <c r="I445" s="35">
        <v>409</v>
      </c>
      <c r="J445" s="15">
        <f t="shared" si="31"/>
        <v>1102020</v>
      </c>
      <c r="K445" s="15">
        <f t="shared" si="32"/>
        <v>3</v>
      </c>
      <c r="L445" s="15">
        <f t="shared" si="34"/>
        <v>10</v>
      </c>
      <c r="M445" s="15" t="str">
        <f t="shared" si="33"/>
        <v>黄</v>
      </c>
      <c r="N445" s="15" t="str">
        <f t="shared" si="35"/>
        <v>金币</v>
      </c>
      <c r="O445" s="15">
        <f>IF(L445&gt;1,INDEX(挂机升级突破!$AI$35:$AI$55,卡牌消耗!L445),"")</f>
        <v>83000</v>
      </c>
      <c r="P445" s="15" t="str">
        <f>IF(L445&gt;1,INDEX(价值概述!$A$4:$A$8,INDEX(挂机升级突破!$W$35:$W$55,卡牌消耗!L445)),"")</f>
        <v>紫色基础材料</v>
      </c>
      <c r="Q445" s="15">
        <f>IF(L445&gt;1,INDEX(挂机升级突破!$Z$35:$AD$55,卡牌消耗!L445,INDEX(挂机升级突破!$W$35:$W$55,卡牌消耗!L445)),"")</f>
        <v>140</v>
      </c>
      <c r="R445" s="15" t="str">
        <f>IF(INDEX(挂机升级突破!$X$35:$X$55,卡牌消耗!L445)&gt;0,INDEX($G$2:$I$2,INDEX(挂机升级突破!$X$35:$X$55,卡牌消耗!L445))&amp;M445,"")</f>
        <v>中级黄</v>
      </c>
      <c r="S445" s="15">
        <f>IF(R445="","",INDEX(挂机升级突破!$AE$35:$AG$55,卡牌消耗!L445,INDEX(挂机升级突破!$X$35:$X$55,卡牌消耗!L445)))</f>
        <v>95</v>
      </c>
      <c r="T445" s="15" t="str">
        <f>IF(INDEX(挂机升级突破!$Y$35:$Y$55,卡牌消耗!L445)&gt;0,"灵玉","")</f>
        <v/>
      </c>
      <c r="U445" s="15" t="str">
        <f>IF(INDEX(挂机升级突破!$Y$35:$Y$55,卡牌消耗!L445)&gt;0,INDEX(挂机升级突破!$AH$35:$AH$55,卡牌消耗!L445),"")</f>
        <v/>
      </c>
    </row>
    <row r="446" spans="9:21" ht="16.5" x14ac:dyDescent="0.2">
      <c r="I446" s="35">
        <v>410</v>
      </c>
      <c r="J446" s="15">
        <f t="shared" si="31"/>
        <v>1102020</v>
      </c>
      <c r="K446" s="15">
        <f t="shared" si="32"/>
        <v>3</v>
      </c>
      <c r="L446" s="15">
        <f t="shared" si="34"/>
        <v>11</v>
      </c>
      <c r="M446" s="15" t="str">
        <f t="shared" si="33"/>
        <v>黄</v>
      </c>
      <c r="N446" s="15" t="str">
        <f t="shared" si="35"/>
        <v>金币</v>
      </c>
      <c r="O446" s="15">
        <f>IF(L446&gt;1,INDEX(挂机升级突破!$AI$35:$AI$55,卡牌消耗!L446),"")</f>
        <v>90000</v>
      </c>
      <c r="P446" s="15" t="str">
        <f>IF(L446&gt;1,INDEX(价值概述!$A$4:$A$8,INDEX(挂机升级突破!$W$35:$W$55,卡牌消耗!L446)),"")</f>
        <v>紫色基础材料</v>
      </c>
      <c r="Q446" s="15">
        <f>IF(L446&gt;1,INDEX(挂机升级突破!$Z$35:$AD$55,卡牌消耗!L446,INDEX(挂机升级突破!$W$35:$W$55,卡牌消耗!L446)),"")</f>
        <v>215</v>
      </c>
      <c r="R446" s="15" t="str">
        <f>IF(INDEX(挂机升级突破!$X$35:$X$55,卡牌消耗!L446)&gt;0,INDEX($G$2:$I$2,INDEX(挂机升级突破!$X$35:$X$55,卡牌消耗!L446))&amp;M446,"")</f>
        <v>中级黄</v>
      </c>
      <c r="S446" s="15">
        <f>IF(R446="","",INDEX(挂机升级突破!$AE$35:$AG$55,卡牌消耗!L446,INDEX(挂机升级突破!$X$35:$X$55,卡牌消耗!L446)))</f>
        <v>145</v>
      </c>
      <c r="T446" s="15" t="str">
        <f>IF(INDEX(挂机升级突破!$Y$35:$Y$55,卡牌消耗!L446)&gt;0,"灵玉","")</f>
        <v/>
      </c>
      <c r="U446" s="15" t="str">
        <f>IF(INDEX(挂机升级突破!$Y$35:$Y$55,卡牌消耗!L446)&gt;0,INDEX(挂机升级突破!$AH$35:$AH$55,卡牌消耗!L446),"")</f>
        <v/>
      </c>
    </row>
    <row r="447" spans="9:21" ht="16.5" x14ac:dyDescent="0.2">
      <c r="I447" s="35">
        <v>411</v>
      </c>
      <c r="J447" s="15">
        <f t="shared" si="31"/>
        <v>1102020</v>
      </c>
      <c r="K447" s="15">
        <f t="shared" si="32"/>
        <v>3</v>
      </c>
      <c r="L447" s="15">
        <f t="shared" si="34"/>
        <v>12</v>
      </c>
      <c r="M447" s="15" t="str">
        <f t="shared" si="33"/>
        <v>黄</v>
      </c>
      <c r="N447" s="15" t="str">
        <f t="shared" si="35"/>
        <v>金币</v>
      </c>
      <c r="O447" s="15">
        <f>IF(L447&gt;1,INDEX(挂机升级突破!$AI$35:$AI$55,卡牌消耗!L447),"")</f>
        <v>97000</v>
      </c>
      <c r="P447" s="15" t="str">
        <f>IF(L447&gt;1,INDEX(价值概述!$A$4:$A$8,INDEX(挂机升级突破!$W$35:$W$55,卡牌消耗!L447)),"")</f>
        <v>紫色基础材料</v>
      </c>
      <c r="Q447" s="15">
        <f>IF(L447&gt;1,INDEX(挂机升级突破!$Z$35:$AD$55,卡牌消耗!L447,INDEX(挂机升级突破!$W$35:$W$55,卡牌消耗!L447)),"")</f>
        <v>285</v>
      </c>
      <c r="R447" s="15" t="str">
        <f>IF(INDEX(挂机升级突破!$X$35:$X$55,卡牌消耗!L447)&gt;0,INDEX($G$2:$I$2,INDEX(挂机升级突破!$X$35:$X$55,卡牌消耗!L447))&amp;M447,"")</f>
        <v>中级黄</v>
      </c>
      <c r="S447" s="15">
        <f>IF(R447="","",INDEX(挂机升级突破!$AE$35:$AG$55,卡牌消耗!L447,INDEX(挂机升级突破!$X$35:$X$55,卡牌消耗!L447)))</f>
        <v>185</v>
      </c>
      <c r="T447" s="15" t="str">
        <f>IF(INDEX(挂机升级突破!$Y$35:$Y$55,卡牌消耗!L447)&gt;0,"灵玉","")</f>
        <v/>
      </c>
      <c r="U447" s="15" t="str">
        <f>IF(INDEX(挂机升级突破!$Y$35:$Y$55,卡牌消耗!L447)&gt;0,INDEX(挂机升级突破!$AH$35:$AH$55,卡牌消耗!L447),"")</f>
        <v/>
      </c>
    </row>
    <row r="448" spans="9:21" ht="16.5" x14ac:dyDescent="0.2">
      <c r="I448" s="35">
        <v>412</v>
      </c>
      <c r="J448" s="15">
        <f t="shared" si="31"/>
        <v>1102020</v>
      </c>
      <c r="K448" s="15">
        <f t="shared" si="32"/>
        <v>3</v>
      </c>
      <c r="L448" s="15">
        <f t="shared" si="34"/>
        <v>13</v>
      </c>
      <c r="M448" s="15" t="str">
        <f t="shared" si="33"/>
        <v>黄</v>
      </c>
      <c r="N448" s="15" t="str">
        <f t="shared" si="35"/>
        <v>金币</v>
      </c>
      <c r="O448" s="15">
        <f>IF(L448&gt;1,INDEX(挂机升级突破!$AI$35:$AI$55,卡牌消耗!L448),"")</f>
        <v>122000</v>
      </c>
      <c r="P448" s="15" t="str">
        <f>IF(L448&gt;1,INDEX(价值概述!$A$4:$A$8,INDEX(挂机升级突破!$W$35:$W$55,卡牌消耗!L448)),"")</f>
        <v>橙色基础材料</v>
      </c>
      <c r="Q448" s="15">
        <f>IF(L448&gt;1,INDEX(挂机升级突破!$Z$35:$AD$55,卡牌消耗!L448,INDEX(挂机升级突破!$W$35:$W$55,卡牌消耗!L448)),"")</f>
        <v>115</v>
      </c>
      <c r="R448" s="15" t="str">
        <f>IF(INDEX(挂机升级突破!$X$35:$X$55,卡牌消耗!L448)&gt;0,INDEX($G$2:$I$2,INDEX(挂机升级突破!$X$35:$X$55,卡牌消耗!L448))&amp;M448,"")</f>
        <v>中级黄</v>
      </c>
      <c r="S448" s="15">
        <f>IF(R448="","",INDEX(挂机升级突破!$AE$35:$AG$55,卡牌消耗!L448,INDEX(挂机升级突破!$X$35:$X$55,卡牌消耗!L448)))</f>
        <v>225</v>
      </c>
      <c r="T448" s="15" t="str">
        <f>IF(INDEX(挂机升级突破!$Y$35:$Y$55,卡牌消耗!L448)&gt;0,"灵玉","")</f>
        <v/>
      </c>
      <c r="U448" s="15" t="str">
        <f>IF(INDEX(挂机升级突破!$Y$35:$Y$55,卡牌消耗!L448)&gt;0,INDEX(挂机升级突破!$AH$35:$AH$55,卡牌消耗!L448),"")</f>
        <v/>
      </c>
    </row>
    <row r="449" spans="9:21" ht="16.5" x14ac:dyDescent="0.2">
      <c r="I449" s="35">
        <v>413</v>
      </c>
      <c r="J449" s="15">
        <f t="shared" si="31"/>
        <v>1102020</v>
      </c>
      <c r="K449" s="15">
        <f t="shared" si="32"/>
        <v>3</v>
      </c>
      <c r="L449" s="15">
        <f t="shared" si="34"/>
        <v>14</v>
      </c>
      <c r="M449" s="15" t="str">
        <f t="shared" si="33"/>
        <v>黄</v>
      </c>
      <c r="N449" s="15" t="str">
        <f t="shared" si="35"/>
        <v>金币</v>
      </c>
      <c r="O449" s="15">
        <f>IF(L449&gt;1,INDEX(挂机升级突破!$AI$35:$AI$55,卡牌消耗!L449),"")</f>
        <v>162500</v>
      </c>
      <c r="P449" s="15" t="str">
        <f>IF(L449&gt;1,INDEX(价值概述!$A$4:$A$8,INDEX(挂机升级突破!$W$35:$W$55,卡牌消耗!L449)),"")</f>
        <v>橙色基础材料</v>
      </c>
      <c r="Q449" s="15">
        <f>IF(L449&gt;1,INDEX(挂机升级突破!$Z$35:$AD$55,卡牌消耗!L449,INDEX(挂机升级突破!$W$35:$W$55,卡牌消耗!L449)),"")</f>
        <v>235</v>
      </c>
      <c r="R449" s="15" t="str">
        <f>IF(INDEX(挂机升级突破!$X$35:$X$55,卡牌消耗!L449)&gt;0,INDEX($G$2:$I$2,INDEX(挂机升级突破!$X$35:$X$55,卡牌消耗!L449))&amp;M449,"")</f>
        <v>中级黄</v>
      </c>
      <c r="S449" s="15">
        <f>IF(R449="","",INDEX(挂机升级突破!$AE$35:$AG$55,卡牌消耗!L449,INDEX(挂机升级突破!$X$35:$X$55,卡牌消耗!L449)))</f>
        <v>265</v>
      </c>
      <c r="T449" s="15" t="str">
        <f>IF(INDEX(挂机升级突破!$Y$35:$Y$55,卡牌消耗!L449)&gt;0,"灵玉","")</f>
        <v/>
      </c>
      <c r="U449" s="15" t="str">
        <f>IF(INDEX(挂机升级突破!$Y$35:$Y$55,卡牌消耗!L449)&gt;0,INDEX(挂机升级突破!$AH$35:$AH$55,卡牌消耗!L449),"")</f>
        <v/>
      </c>
    </row>
    <row r="450" spans="9:21" ht="16.5" x14ac:dyDescent="0.2">
      <c r="I450" s="35">
        <v>414</v>
      </c>
      <c r="J450" s="15">
        <f t="shared" si="31"/>
        <v>1102020</v>
      </c>
      <c r="K450" s="15">
        <f t="shared" si="32"/>
        <v>3</v>
      </c>
      <c r="L450" s="15">
        <f t="shared" si="34"/>
        <v>15</v>
      </c>
      <c r="M450" s="15" t="str">
        <f t="shared" si="33"/>
        <v>黄</v>
      </c>
      <c r="N450" s="15" t="str">
        <f t="shared" si="35"/>
        <v>金币</v>
      </c>
      <c r="O450" s="15">
        <f>IF(L450&gt;1,INDEX(挂机升级突破!$AI$35:$AI$55,卡牌消耗!L450),"")</f>
        <v>190000</v>
      </c>
      <c r="P450" s="15" t="str">
        <f>IF(L450&gt;1,INDEX(价值概述!$A$4:$A$8,INDEX(挂机升级突破!$W$35:$W$55,卡牌消耗!L450)),"")</f>
        <v>橙色基础材料</v>
      </c>
      <c r="Q450" s="15">
        <f>IF(L450&gt;1,INDEX(挂机升级突破!$Z$35:$AD$55,卡牌消耗!L450,INDEX(挂机升级突破!$W$35:$W$55,卡牌消耗!L450)),"")</f>
        <v>355</v>
      </c>
      <c r="R450" s="15" t="str">
        <f>IF(INDEX(挂机升级突破!$X$35:$X$55,卡牌消耗!L450)&gt;0,INDEX($G$2:$I$2,INDEX(挂机升级突破!$X$35:$X$55,卡牌消耗!L450))&amp;M450,"")</f>
        <v>高级黄</v>
      </c>
      <c r="S450" s="15">
        <f>IF(R450="","",INDEX(挂机升级突破!$AE$35:$AG$55,卡牌消耗!L450,INDEX(挂机升级突破!$X$35:$X$55,卡牌消耗!L450)))</f>
        <v>45</v>
      </c>
      <c r="T450" s="15" t="str">
        <f>IF(INDEX(挂机升级突破!$Y$35:$Y$55,卡牌消耗!L450)&gt;0,"灵玉","")</f>
        <v/>
      </c>
      <c r="U450" s="15" t="str">
        <f>IF(INDEX(挂机升级突破!$Y$35:$Y$55,卡牌消耗!L450)&gt;0,INDEX(挂机升级突破!$AH$35:$AH$55,卡牌消耗!L450),"")</f>
        <v/>
      </c>
    </row>
    <row r="451" spans="9:21" ht="16.5" x14ac:dyDescent="0.2">
      <c r="I451" s="35">
        <v>415</v>
      </c>
      <c r="J451" s="15">
        <f t="shared" si="31"/>
        <v>1102020</v>
      </c>
      <c r="K451" s="15">
        <f t="shared" si="32"/>
        <v>3</v>
      </c>
      <c r="L451" s="15">
        <f t="shared" si="34"/>
        <v>16</v>
      </c>
      <c r="M451" s="15" t="str">
        <f t="shared" si="33"/>
        <v>黄</v>
      </c>
      <c r="N451" s="15" t="str">
        <f t="shared" si="35"/>
        <v>金币</v>
      </c>
      <c r="O451" s="15">
        <f>IF(L451&gt;1,INDEX(挂机升级突破!$AI$35:$AI$55,卡牌消耗!L451),"")</f>
        <v>219000</v>
      </c>
      <c r="P451" s="15" t="str">
        <f>IF(L451&gt;1,INDEX(价值概述!$A$4:$A$8,INDEX(挂机升级突破!$W$35:$W$55,卡牌消耗!L451)),"")</f>
        <v>橙色基础材料</v>
      </c>
      <c r="Q451" s="15">
        <f>IF(L451&gt;1,INDEX(挂机升级突破!$Z$35:$AD$55,卡牌消耗!L451,INDEX(挂机升级突破!$W$35:$W$55,卡牌消耗!L451)),"")</f>
        <v>475</v>
      </c>
      <c r="R451" s="15" t="str">
        <f>IF(INDEX(挂机升级突破!$X$35:$X$55,卡牌消耗!L451)&gt;0,INDEX($G$2:$I$2,INDEX(挂机升级突破!$X$35:$X$55,卡牌消耗!L451))&amp;M451,"")</f>
        <v>高级黄</v>
      </c>
      <c r="S451" s="15">
        <f>IF(R451="","",INDEX(挂机升级突破!$AE$35:$AG$55,卡牌消耗!L451,INDEX(挂机升级突破!$X$35:$X$55,卡牌消耗!L451)))</f>
        <v>70</v>
      </c>
      <c r="T451" s="15" t="str">
        <f>IF(INDEX(挂机升级突破!$Y$35:$Y$55,卡牌消耗!L451)&gt;0,"灵玉","")</f>
        <v/>
      </c>
      <c r="U451" s="15" t="str">
        <f>IF(INDEX(挂机升级突破!$Y$35:$Y$55,卡牌消耗!L451)&gt;0,INDEX(挂机升级突破!$AH$35:$AH$55,卡牌消耗!L451),"")</f>
        <v/>
      </c>
    </row>
    <row r="452" spans="9:21" ht="16.5" x14ac:dyDescent="0.2">
      <c r="I452" s="35">
        <v>416</v>
      </c>
      <c r="J452" s="15">
        <f t="shared" si="31"/>
        <v>1102020</v>
      </c>
      <c r="K452" s="15">
        <f t="shared" si="32"/>
        <v>3</v>
      </c>
      <c r="L452" s="15">
        <f t="shared" si="34"/>
        <v>17</v>
      </c>
      <c r="M452" s="15" t="str">
        <f t="shared" si="33"/>
        <v>黄</v>
      </c>
      <c r="N452" s="15" t="str">
        <f t="shared" si="35"/>
        <v>金币</v>
      </c>
      <c r="O452" s="15">
        <f>IF(L452&gt;1,INDEX(挂机升级突破!$AI$35:$AI$55,卡牌消耗!L452),"")</f>
        <v>228000</v>
      </c>
      <c r="P452" s="15" t="str">
        <f>IF(L452&gt;1,INDEX(价值概述!$A$4:$A$8,INDEX(挂机升级突破!$W$35:$W$55,卡牌消耗!L452)),"")</f>
        <v>红色基础材料</v>
      </c>
      <c r="Q452" s="15">
        <f>IF(L452&gt;1,INDEX(挂机升级突破!$Z$35:$AD$55,卡牌消耗!L452,INDEX(挂机升级突破!$W$35:$W$55,卡牌消耗!L452)),"")</f>
        <v>45</v>
      </c>
      <c r="R452" s="15" t="str">
        <f>IF(INDEX(挂机升级突破!$X$35:$X$55,卡牌消耗!L452)&gt;0,INDEX($G$2:$I$2,INDEX(挂机升级突破!$X$35:$X$55,卡牌消耗!L452))&amp;M452,"")</f>
        <v>高级黄</v>
      </c>
      <c r="S452" s="15">
        <f>IF(R452="","",INDEX(挂机升级突破!$AE$35:$AG$55,卡牌消耗!L452,INDEX(挂机升级突破!$X$35:$X$55,卡牌消耗!L452)))</f>
        <v>100</v>
      </c>
      <c r="T452" s="15" t="str">
        <f>IF(INDEX(挂机升级突破!$Y$35:$Y$55,卡牌消耗!L452)&gt;0,"灵玉","")</f>
        <v>灵玉</v>
      </c>
      <c r="U452" s="15">
        <f>IF(INDEX(挂机升级突破!$Y$35:$Y$55,卡牌消耗!L452)&gt;0,INDEX(挂机升级突破!$AH$35:$AH$55,卡牌消耗!L452),"")</f>
        <v>25</v>
      </c>
    </row>
    <row r="453" spans="9:21" ht="16.5" x14ac:dyDescent="0.2">
      <c r="I453" s="35">
        <v>417</v>
      </c>
      <c r="J453" s="15">
        <f t="shared" si="31"/>
        <v>1102020</v>
      </c>
      <c r="K453" s="15">
        <f t="shared" si="32"/>
        <v>3</v>
      </c>
      <c r="L453" s="15">
        <f t="shared" si="34"/>
        <v>18</v>
      </c>
      <c r="M453" s="15" t="str">
        <f t="shared" si="33"/>
        <v>黄</v>
      </c>
      <c r="N453" s="15" t="str">
        <f t="shared" si="35"/>
        <v>金币</v>
      </c>
      <c r="O453" s="15">
        <f>IF(L453&gt;1,INDEX(挂机升级突破!$AI$35:$AI$55,卡牌消耗!L453),"")</f>
        <v>319500</v>
      </c>
      <c r="P453" s="15" t="str">
        <f>IF(L453&gt;1,INDEX(价值概述!$A$4:$A$8,INDEX(挂机升级突破!$W$35:$W$55,卡牌消耗!L453)),"")</f>
        <v>红色基础材料</v>
      </c>
      <c r="Q453" s="15">
        <f>IF(L453&gt;1,INDEX(挂机升级突破!$Z$35:$AD$55,卡牌消耗!L453,INDEX(挂机升级突破!$W$35:$W$55,卡牌消耗!L453)),"")</f>
        <v>65</v>
      </c>
      <c r="R453" s="15" t="str">
        <f>IF(INDEX(挂机升级突破!$X$35:$X$55,卡牌消耗!L453)&gt;0,INDEX($G$2:$I$2,INDEX(挂机升级突破!$X$35:$X$55,卡牌消耗!L453))&amp;M453,"")</f>
        <v>高级黄</v>
      </c>
      <c r="S453" s="15">
        <f>IF(R453="","",INDEX(挂机升级突破!$AE$35:$AG$55,卡牌消耗!L453,INDEX(挂机升级突破!$X$35:$X$55,卡牌消耗!L453)))</f>
        <v>125</v>
      </c>
      <c r="T453" s="15" t="str">
        <f>IF(INDEX(挂机升级突破!$Y$35:$Y$55,卡牌消耗!L453)&gt;0,"灵玉","")</f>
        <v>灵玉</v>
      </c>
      <c r="U453" s="15">
        <f>IF(INDEX(挂机升级突破!$Y$35:$Y$55,卡牌消耗!L453)&gt;0,INDEX(挂机升级突破!$AH$35:$AH$55,卡牌消耗!L453),"")</f>
        <v>35</v>
      </c>
    </row>
    <row r="454" spans="9:21" ht="16.5" x14ac:dyDescent="0.2">
      <c r="I454" s="35">
        <v>418</v>
      </c>
      <c r="J454" s="15">
        <f t="shared" si="31"/>
        <v>1102020</v>
      </c>
      <c r="K454" s="15">
        <f t="shared" si="32"/>
        <v>3</v>
      </c>
      <c r="L454" s="15">
        <f t="shared" si="34"/>
        <v>19</v>
      </c>
      <c r="M454" s="15" t="str">
        <f t="shared" si="33"/>
        <v>黄</v>
      </c>
      <c r="N454" s="15" t="str">
        <f t="shared" si="35"/>
        <v>金币</v>
      </c>
      <c r="O454" s="15">
        <f>IF(L454&gt;1,INDEX(挂机升级突破!$AI$35:$AI$55,卡牌消耗!L454),"")</f>
        <v>426000</v>
      </c>
      <c r="P454" s="15" t="str">
        <f>IF(L454&gt;1,INDEX(价值概述!$A$4:$A$8,INDEX(挂机升级突破!$W$35:$W$55,卡牌消耗!L454)),"")</f>
        <v>红色基础材料</v>
      </c>
      <c r="Q454" s="15">
        <f>IF(L454&gt;1,INDEX(挂机升级突破!$Z$35:$AD$55,卡牌消耗!L454,INDEX(挂机升级突破!$W$35:$W$55,卡牌消耗!L454)),"")</f>
        <v>90</v>
      </c>
      <c r="R454" s="15" t="str">
        <f>IF(INDEX(挂机升级突破!$X$35:$X$55,卡牌消耗!L454)&gt;0,INDEX($G$2:$I$2,INDEX(挂机升级突破!$X$35:$X$55,卡牌消耗!L454))&amp;M454,"")</f>
        <v>高级黄</v>
      </c>
      <c r="S454" s="15">
        <f>IF(R454="","",INDEX(挂机升级突破!$AE$35:$AG$55,卡牌消耗!L454,INDEX(挂机升级突破!$X$35:$X$55,卡牌消耗!L454)))</f>
        <v>155</v>
      </c>
      <c r="T454" s="15" t="str">
        <f>IF(INDEX(挂机升级突破!$Y$35:$Y$55,卡牌消耗!L454)&gt;0,"灵玉","")</f>
        <v>灵玉</v>
      </c>
      <c r="U454" s="15">
        <f>IF(INDEX(挂机升级突破!$Y$35:$Y$55,卡牌消耗!L454)&gt;0,INDEX(挂机升级突破!$AH$35:$AH$55,卡牌消耗!L454),"")</f>
        <v>50</v>
      </c>
    </row>
    <row r="455" spans="9:21" ht="16.5" x14ac:dyDescent="0.2">
      <c r="I455" s="35">
        <v>419</v>
      </c>
      <c r="J455" s="15">
        <f t="shared" si="31"/>
        <v>1102020</v>
      </c>
      <c r="K455" s="15">
        <f t="shared" si="32"/>
        <v>3</v>
      </c>
      <c r="L455" s="15">
        <f t="shared" si="34"/>
        <v>20</v>
      </c>
      <c r="M455" s="15" t="str">
        <f t="shared" si="33"/>
        <v>黄</v>
      </c>
      <c r="N455" s="15" t="str">
        <f t="shared" si="35"/>
        <v>金币</v>
      </c>
      <c r="O455" s="15">
        <f>IF(L455&gt;1,INDEX(挂机升级突破!$AI$35:$AI$55,卡牌消耗!L455),"")</f>
        <v>532500</v>
      </c>
      <c r="P455" s="15" t="str">
        <f>IF(L455&gt;1,INDEX(价值概述!$A$4:$A$8,INDEX(挂机升级突破!$W$35:$W$55,卡牌消耗!L455)),"")</f>
        <v>红色基础材料</v>
      </c>
      <c r="Q455" s="15">
        <f>IF(L455&gt;1,INDEX(挂机升级突破!$Z$35:$AD$55,卡牌消耗!L455,INDEX(挂机升级突破!$W$35:$W$55,卡牌消耗!L455)),"")</f>
        <v>110</v>
      </c>
      <c r="R455" s="15" t="str">
        <f>IF(INDEX(挂机升级突破!$X$35:$X$55,卡牌消耗!L455)&gt;0,INDEX($G$2:$I$2,INDEX(挂机升级突破!$X$35:$X$55,卡牌消耗!L455))&amp;M455,"")</f>
        <v>高级黄</v>
      </c>
      <c r="S455" s="15">
        <f>IF(R455="","",INDEX(挂机升级突破!$AE$35:$AG$55,卡牌消耗!L455,INDEX(挂机升级突破!$X$35:$X$55,卡牌消耗!L455)))</f>
        <v>180</v>
      </c>
      <c r="T455" s="15" t="str">
        <f>IF(INDEX(挂机升级突破!$Y$35:$Y$55,卡牌消耗!L455)&gt;0,"灵玉","")</f>
        <v>灵玉</v>
      </c>
      <c r="U455" s="15">
        <f>IF(INDEX(挂机升级突破!$Y$35:$Y$55,卡牌消耗!L455)&gt;0,INDEX(挂机升级突破!$AH$35:$AH$55,卡牌消耗!L455),"")</f>
        <v>65</v>
      </c>
    </row>
    <row r="456" spans="9:21" ht="16.5" x14ac:dyDescent="0.2">
      <c r="I456" s="35">
        <v>420</v>
      </c>
      <c r="J456" s="15">
        <f t="shared" si="31"/>
        <v>1102020</v>
      </c>
      <c r="K456" s="15">
        <f t="shared" si="32"/>
        <v>3</v>
      </c>
      <c r="L456" s="15">
        <f t="shared" si="34"/>
        <v>21</v>
      </c>
      <c r="M456" s="15" t="str">
        <f t="shared" si="33"/>
        <v>黄</v>
      </c>
      <c r="N456" s="15" t="str">
        <f t="shared" si="35"/>
        <v>金币</v>
      </c>
      <c r="O456" s="15">
        <f>IF(L456&gt;1,INDEX(挂机升级突破!$AI$35:$AI$55,卡牌消耗!L456),"")</f>
        <v>639000</v>
      </c>
      <c r="P456" s="15" t="str">
        <f>IF(L456&gt;1,INDEX(价值概述!$A$4:$A$8,INDEX(挂机升级突破!$W$35:$W$55,卡牌消耗!L456)),"")</f>
        <v>红色基础材料</v>
      </c>
      <c r="Q456" s="15">
        <f>IF(L456&gt;1,INDEX(挂机升级突破!$Z$35:$AD$55,卡牌消耗!L456,INDEX(挂机升级突破!$W$35:$W$55,卡牌消耗!L456)),"")</f>
        <v>135</v>
      </c>
      <c r="R456" s="15" t="str">
        <f>IF(INDEX(挂机升级突破!$X$35:$X$55,卡牌消耗!L456)&gt;0,INDEX($G$2:$I$2,INDEX(挂机升级突破!$X$35:$X$55,卡牌消耗!L456))&amp;M456,"")</f>
        <v>高级黄</v>
      </c>
      <c r="S456" s="15">
        <f>IF(R456="","",INDEX(挂机升级突破!$AE$35:$AG$55,卡牌消耗!L456,INDEX(挂机升级突破!$X$35:$X$55,卡牌消耗!L456)))</f>
        <v>225</v>
      </c>
      <c r="T456" s="15" t="str">
        <f>IF(INDEX(挂机升级突破!$Y$35:$Y$55,卡牌消耗!L456)&gt;0,"灵玉","")</f>
        <v>灵玉</v>
      </c>
      <c r="U456" s="15">
        <f>IF(INDEX(挂机升级突破!$Y$35:$Y$55,卡牌消耗!L456)&gt;0,INDEX(挂机升级突破!$AH$35:$AH$55,卡牌消耗!L456),"")</f>
        <v>75</v>
      </c>
    </row>
    <row r="457" spans="9:21" ht="16.5" x14ac:dyDescent="0.2">
      <c r="I457" s="35">
        <v>421</v>
      </c>
      <c r="J457" s="15">
        <f t="shared" si="31"/>
        <v>1102021</v>
      </c>
      <c r="K457" s="15">
        <f t="shared" si="32"/>
        <v>2</v>
      </c>
      <c r="L457" s="15">
        <f t="shared" si="34"/>
        <v>1</v>
      </c>
      <c r="M457" s="15" t="str">
        <f t="shared" si="33"/>
        <v>黄</v>
      </c>
      <c r="N457" s="15" t="str">
        <f t="shared" si="35"/>
        <v/>
      </c>
      <c r="O457" s="15" t="str">
        <f>IF(L457&gt;1,INDEX(挂机升级突破!$AI$35:$AI$55,卡牌消耗!L457),"")</f>
        <v/>
      </c>
      <c r="P457" s="15" t="str">
        <f>IF(L457&gt;1,INDEX(价值概述!$A$4:$A$8,INDEX(挂机升级突破!$W$35:$W$55,卡牌消耗!L457)),"")</f>
        <v/>
      </c>
      <c r="Q457" s="15" t="str">
        <f>IF(L457&gt;1,INDEX(挂机升级突破!$Z$35:$AD$55,卡牌消耗!L457,INDEX(挂机升级突破!$W$35:$W$55,卡牌消耗!L457)),"")</f>
        <v/>
      </c>
      <c r="R457" s="15" t="str">
        <f>IF(INDEX(挂机升级突破!$X$35:$X$55,卡牌消耗!L457)&gt;0,INDEX($G$2:$I$2,INDEX(挂机升级突破!$X$35:$X$55,卡牌消耗!L457))&amp;M457,"")</f>
        <v/>
      </c>
      <c r="S457" s="15" t="str">
        <f>IF(R457="","",INDEX(挂机升级突破!$AE$35:$AG$55,卡牌消耗!L457,INDEX(挂机升级突破!$X$35:$X$55,卡牌消耗!L457)))</f>
        <v/>
      </c>
      <c r="T457" s="15" t="str">
        <f>IF(INDEX(挂机升级突破!$Y$35:$Y$55,卡牌消耗!L457)&gt;0,"灵玉","")</f>
        <v/>
      </c>
      <c r="U457" s="15" t="str">
        <f>IF(INDEX(挂机升级突破!$Y$35:$Y$55,卡牌消耗!L457)&gt;0,INDEX(挂机升级突破!$AH$35:$AH$55,卡牌消耗!L457),"")</f>
        <v/>
      </c>
    </row>
    <row r="458" spans="9:21" ht="16.5" x14ac:dyDescent="0.2">
      <c r="I458" s="35">
        <v>422</v>
      </c>
      <c r="J458" s="15">
        <f t="shared" si="31"/>
        <v>1102021</v>
      </c>
      <c r="K458" s="15">
        <f t="shared" si="32"/>
        <v>2</v>
      </c>
      <c r="L458" s="15">
        <f t="shared" si="34"/>
        <v>2</v>
      </c>
      <c r="M458" s="15" t="str">
        <f t="shared" si="33"/>
        <v>黄</v>
      </c>
      <c r="N458" s="15" t="str">
        <f t="shared" si="35"/>
        <v>金币</v>
      </c>
      <c r="O458" s="15">
        <f>IF(L458&gt;1,INDEX(挂机升级突破!$AI$35:$AI$55,卡牌消耗!L458),"")</f>
        <v>2500</v>
      </c>
      <c r="P458" s="15" t="str">
        <f>IF(L458&gt;1,INDEX(价值概述!$A$4:$A$8,INDEX(挂机升级突破!$W$35:$W$55,卡牌消耗!L458)),"")</f>
        <v>绿色基础材料</v>
      </c>
      <c r="Q458" s="15">
        <f>IF(L458&gt;1,INDEX(挂机升级突破!$Z$35:$AD$55,卡牌消耗!L458,INDEX(挂机升级突破!$W$35:$W$55,卡牌消耗!L458)),"")</f>
        <v>10</v>
      </c>
      <c r="R458" s="15" t="str">
        <f>IF(INDEX(挂机升级突破!$X$35:$X$55,卡牌消耗!L458)&gt;0,INDEX($G$2:$I$2,INDEX(挂机升级突破!$X$35:$X$55,卡牌消耗!L458))&amp;M458,"")</f>
        <v/>
      </c>
      <c r="S458" s="15" t="str">
        <f>IF(R458="","",INDEX(挂机升级突破!$AE$35:$AG$55,卡牌消耗!L458,INDEX(挂机升级突破!$X$35:$X$55,卡牌消耗!L458)))</f>
        <v/>
      </c>
      <c r="T458" s="15" t="str">
        <f>IF(INDEX(挂机升级突破!$Y$35:$Y$55,卡牌消耗!L458)&gt;0,"灵玉","")</f>
        <v/>
      </c>
      <c r="U458" s="15" t="str">
        <f>IF(INDEX(挂机升级突破!$Y$35:$Y$55,卡牌消耗!L458)&gt;0,INDEX(挂机升级突破!$AH$35:$AH$55,卡牌消耗!L458),"")</f>
        <v/>
      </c>
    </row>
    <row r="459" spans="9:21" ht="16.5" x14ac:dyDescent="0.2">
      <c r="I459" s="35">
        <v>423</v>
      </c>
      <c r="J459" s="15">
        <f t="shared" si="31"/>
        <v>1102021</v>
      </c>
      <c r="K459" s="15">
        <f t="shared" si="32"/>
        <v>2</v>
      </c>
      <c r="L459" s="15">
        <f t="shared" si="34"/>
        <v>3</v>
      </c>
      <c r="M459" s="15" t="str">
        <f t="shared" si="33"/>
        <v>黄</v>
      </c>
      <c r="N459" s="15" t="str">
        <f t="shared" si="35"/>
        <v>金币</v>
      </c>
      <c r="O459" s="15">
        <f>IF(L459&gt;1,INDEX(挂机升级突破!$AI$35:$AI$55,卡牌消耗!L459),"")</f>
        <v>8000</v>
      </c>
      <c r="P459" s="15" t="str">
        <f>IF(L459&gt;1,INDEX(价值概述!$A$4:$A$8,INDEX(挂机升级突破!$W$35:$W$55,卡牌消耗!L459)),"")</f>
        <v>绿色基础材料</v>
      </c>
      <c r="Q459" s="15">
        <f>IF(L459&gt;1,INDEX(挂机升级突破!$Z$35:$AD$55,卡牌消耗!L459,INDEX(挂机升级突破!$W$35:$W$55,卡牌消耗!L459)),"")</f>
        <v>40</v>
      </c>
      <c r="R459" s="15" t="str">
        <f>IF(INDEX(挂机升级突破!$X$35:$X$55,卡牌消耗!L459)&gt;0,INDEX($G$2:$I$2,INDEX(挂机升级突破!$X$35:$X$55,卡牌消耗!L459))&amp;M459,"")</f>
        <v/>
      </c>
      <c r="S459" s="15" t="str">
        <f>IF(R459="","",INDEX(挂机升级突破!$AE$35:$AG$55,卡牌消耗!L459,INDEX(挂机升级突破!$X$35:$X$55,卡牌消耗!L459)))</f>
        <v/>
      </c>
      <c r="T459" s="15" t="str">
        <f>IF(INDEX(挂机升级突破!$Y$35:$Y$55,卡牌消耗!L459)&gt;0,"灵玉","")</f>
        <v/>
      </c>
      <c r="U459" s="15" t="str">
        <f>IF(INDEX(挂机升级突破!$Y$35:$Y$55,卡牌消耗!L459)&gt;0,INDEX(挂机升级突破!$AH$35:$AH$55,卡牌消耗!L459),"")</f>
        <v/>
      </c>
    </row>
    <row r="460" spans="9:21" ht="16.5" x14ac:dyDescent="0.2">
      <c r="I460" s="35">
        <v>424</v>
      </c>
      <c r="J460" s="15">
        <f t="shared" si="31"/>
        <v>1102021</v>
      </c>
      <c r="K460" s="15">
        <f t="shared" si="32"/>
        <v>2</v>
      </c>
      <c r="L460" s="15">
        <f t="shared" si="34"/>
        <v>4</v>
      </c>
      <c r="M460" s="15" t="str">
        <f t="shared" si="33"/>
        <v>黄</v>
      </c>
      <c r="N460" s="15" t="str">
        <f t="shared" si="35"/>
        <v>金币</v>
      </c>
      <c r="O460" s="15">
        <f>IF(L460&gt;1,INDEX(挂机升级突破!$AI$35:$AI$55,卡牌消耗!L460),"")</f>
        <v>16500</v>
      </c>
      <c r="P460" s="15" t="str">
        <f>IF(L460&gt;1,INDEX(价值概述!$A$4:$A$8,INDEX(挂机升级突破!$W$35:$W$55,卡牌消耗!L460)),"")</f>
        <v>绿色基础材料</v>
      </c>
      <c r="Q460" s="15">
        <f>IF(L460&gt;1,INDEX(挂机升级突破!$Z$35:$AD$55,卡牌消耗!L460,INDEX(挂机升级突破!$W$35:$W$55,卡牌消耗!L460)),"")</f>
        <v>80</v>
      </c>
      <c r="R460" s="15" t="str">
        <f>IF(INDEX(挂机升级突破!$X$35:$X$55,卡牌消耗!L460)&gt;0,INDEX($G$2:$I$2,INDEX(挂机升级突破!$X$35:$X$55,卡牌消耗!L460))&amp;M460,"")</f>
        <v>初级黄</v>
      </c>
      <c r="S460" s="15">
        <f>IF(R460="","",INDEX(挂机升级突破!$AE$35:$AG$55,卡牌消耗!L460,INDEX(挂机升级突破!$X$35:$X$55,卡牌消耗!L460)))</f>
        <v>40</v>
      </c>
      <c r="T460" s="15" t="str">
        <f>IF(INDEX(挂机升级突破!$Y$35:$Y$55,卡牌消耗!L460)&gt;0,"灵玉","")</f>
        <v/>
      </c>
      <c r="U460" s="15" t="str">
        <f>IF(INDEX(挂机升级突破!$Y$35:$Y$55,卡牌消耗!L460)&gt;0,INDEX(挂机升级突破!$AH$35:$AH$55,卡牌消耗!L460),"")</f>
        <v/>
      </c>
    </row>
    <row r="461" spans="9:21" ht="16.5" x14ac:dyDescent="0.2">
      <c r="I461" s="35">
        <v>425</v>
      </c>
      <c r="J461" s="15">
        <f t="shared" si="31"/>
        <v>1102021</v>
      </c>
      <c r="K461" s="15">
        <f t="shared" si="32"/>
        <v>2</v>
      </c>
      <c r="L461" s="15">
        <f t="shared" si="34"/>
        <v>5</v>
      </c>
      <c r="M461" s="15" t="str">
        <f t="shared" si="33"/>
        <v>黄</v>
      </c>
      <c r="N461" s="15" t="str">
        <f t="shared" si="35"/>
        <v>金币</v>
      </c>
      <c r="O461" s="15">
        <f>IF(L461&gt;1,INDEX(挂机升级突破!$AI$35:$AI$55,卡牌消耗!L461),"")</f>
        <v>22500</v>
      </c>
      <c r="P461" s="15" t="str">
        <f>IF(L461&gt;1,INDEX(价值概述!$A$4:$A$8,INDEX(挂机升级突破!$W$35:$W$55,卡牌消耗!L461)),"")</f>
        <v>蓝色基础材料</v>
      </c>
      <c r="Q461" s="15">
        <f>IF(L461&gt;1,INDEX(挂机升级突破!$Z$35:$AD$55,卡牌消耗!L461,INDEX(挂机升级突破!$W$35:$W$55,卡牌消耗!L461)),"")</f>
        <v>35</v>
      </c>
      <c r="R461" s="15" t="str">
        <f>IF(INDEX(挂机升级突破!$X$35:$X$55,卡牌消耗!L461)&gt;0,INDEX($G$2:$I$2,INDEX(挂机升级突破!$X$35:$X$55,卡牌消耗!L461))&amp;M461,"")</f>
        <v>初级黄</v>
      </c>
      <c r="S461" s="15">
        <f>IF(R461="","",INDEX(挂机升级突破!$AE$35:$AG$55,卡牌消耗!L461,INDEX(挂机升级突破!$X$35:$X$55,卡牌消耗!L461)))</f>
        <v>65</v>
      </c>
      <c r="T461" s="15" t="str">
        <f>IF(INDEX(挂机升级突破!$Y$35:$Y$55,卡牌消耗!L461)&gt;0,"灵玉","")</f>
        <v/>
      </c>
      <c r="U461" s="15" t="str">
        <f>IF(INDEX(挂机升级突破!$Y$35:$Y$55,卡牌消耗!L461)&gt;0,INDEX(挂机升级突破!$AH$35:$AH$55,卡牌消耗!L461),"")</f>
        <v/>
      </c>
    </row>
    <row r="462" spans="9:21" ht="16.5" x14ac:dyDescent="0.2">
      <c r="I462" s="35">
        <v>426</v>
      </c>
      <c r="J462" s="15">
        <f t="shared" si="31"/>
        <v>1102021</v>
      </c>
      <c r="K462" s="15">
        <f t="shared" si="32"/>
        <v>2</v>
      </c>
      <c r="L462" s="15">
        <f t="shared" si="34"/>
        <v>6</v>
      </c>
      <c r="M462" s="15" t="str">
        <f t="shared" si="33"/>
        <v>黄</v>
      </c>
      <c r="N462" s="15" t="str">
        <f t="shared" si="35"/>
        <v>金币</v>
      </c>
      <c r="O462" s="15">
        <f>IF(L462&gt;1,INDEX(挂机升级突破!$AI$35:$AI$55,卡牌消耗!L462),"")</f>
        <v>53000</v>
      </c>
      <c r="P462" s="15" t="str">
        <f>IF(L462&gt;1,INDEX(价值概述!$A$4:$A$8,INDEX(挂机升级突破!$W$35:$W$55,卡牌消耗!L462)),"")</f>
        <v>蓝色基础材料</v>
      </c>
      <c r="Q462" s="15">
        <f>IF(L462&gt;1,INDEX(挂机升级突破!$Z$35:$AD$55,卡牌消耗!L462,INDEX(挂机升级突破!$W$35:$W$55,卡牌消耗!L462)),"")</f>
        <v>70</v>
      </c>
      <c r="R462" s="15" t="str">
        <f>IF(INDEX(挂机升级突破!$X$35:$X$55,卡牌消耗!L462)&gt;0,INDEX($G$2:$I$2,INDEX(挂机升级突破!$X$35:$X$55,卡牌消耗!L462))&amp;M462,"")</f>
        <v>初级黄</v>
      </c>
      <c r="S462" s="15">
        <f>IF(R462="","",INDEX(挂机升级突破!$AE$35:$AG$55,卡牌消耗!L462,INDEX(挂机升级突破!$X$35:$X$55,卡牌消耗!L462)))</f>
        <v>85</v>
      </c>
      <c r="T462" s="15" t="str">
        <f>IF(INDEX(挂机升级突破!$Y$35:$Y$55,卡牌消耗!L462)&gt;0,"灵玉","")</f>
        <v/>
      </c>
      <c r="U462" s="15" t="str">
        <f>IF(INDEX(挂机升级突破!$Y$35:$Y$55,卡牌消耗!L462)&gt;0,INDEX(挂机升级突破!$AH$35:$AH$55,卡牌消耗!L462),"")</f>
        <v/>
      </c>
    </row>
    <row r="463" spans="9:21" ht="16.5" x14ac:dyDescent="0.2">
      <c r="I463" s="35">
        <v>427</v>
      </c>
      <c r="J463" s="15">
        <f t="shared" si="31"/>
        <v>1102021</v>
      </c>
      <c r="K463" s="15">
        <f t="shared" si="32"/>
        <v>2</v>
      </c>
      <c r="L463" s="15">
        <f t="shared" si="34"/>
        <v>7</v>
      </c>
      <c r="M463" s="15" t="str">
        <f t="shared" si="33"/>
        <v>黄</v>
      </c>
      <c r="N463" s="15" t="str">
        <f t="shared" si="35"/>
        <v>金币</v>
      </c>
      <c r="O463" s="15">
        <f>IF(L463&gt;1,INDEX(挂机升级突破!$AI$35:$AI$55,卡牌消耗!L463),"")</f>
        <v>59500</v>
      </c>
      <c r="P463" s="15" t="str">
        <f>IF(L463&gt;1,INDEX(价值概述!$A$4:$A$8,INDEX(挂机升级突破!$W$35:$W$55,卡牌消耗!L463)),"")</f>
        <v>蓝色基础材料</v>
      </c>
      <c r="Q463" s="15">
        <f>IF(L463&gt;1,INDEX(挂机升级突破!$Z$35:$AD$55,卡牌消耗!L463,INDEX(挂机升级突破!$W$35:$W$55,卡牌消耗!L463)),"")</f>
        <v>110</v>
      </c>
      <c r="R463" s="15" t="str">
        <f>IF(INDEX(挂机升级突破!$X$35:$X$55,卡牌消耗!L463)&gt;0,INDEX($G$2:$I$2,INDEX(挂机升级突破!$X$35:$X$55,卡牌消耗!L463))&amp;M463,"")</f>
        <v>初级黄</v>
      </c>
      <c r="S463" s="15">
        <f>IF(R463="","",INDEX(挂机升级突破!$AE$35:$AG$55,卡牌消耗!L463,INDEX(挂机升级突破!$X$35:$X$55,卡牌消耗!L463)))</f>
        <v>110</v>
      </c>
      <c r="T463" s="15" t="str">
        <f>IF(INDEX(挂机升级突破!$Y$35:$Y$55,卡牌消耗!L463)&gt;0,"灵玉","")</f>
        <v/>
      </c>
      <c r="U463" s="15" t="str">
        <f>IF(INDEX(挂机升级突破!$Y$35:$Y$55,卡牌消耗!L463)&gt;0,INDEX(挂机升级突破!$AH$35:$AH$55,卡牌消耗!L463),"")</f>
        <v/>
      </c>
    </row>
    <row r="464" spans="9:21" ht="16.5" x14ac:dyDescent="0.2">
      <c r="I464" s="35">
        <v>428</v>
      </c>
      <c r="J464" s="15">
        <f t="shared" si="31"/>
        <v>1102021</v>
      </c>
      <c r="K464" s="15">
        <f t="shared" si="32"/>
        <v>2</v>
      </c>
      <c r="L464" s="15">
        <f t="shared" si="34"/>
        <v>8</v>
      </c>
      <c r="M464" s="15" t="str">
        <f t="shared" si="33"/>
        <v>黄</v>
      </c>
      <c r="N464" s="15" t="str">
        <f t="shared" si="35"/>
        <v>金币</v>
      </c>
      <c r="O464" s="15">
        <f>IF(L464&gt;1,INDEX(挂机升级突破!$AI$35:$AI$55,卡牌消耗!L464),"")</f>
        <v>65500</v>
      </c>
      <c r="P464" s="15" t="str">
        <f>IF(L464&gt;1,INDEX(价值概述!$A$4:$A$8,INDEX(挂机升级突破!$W$35:$W$55,卡牌消耗!L464)),"")</f>
        <v>蓝色基础材料</v>
      </c>
      <c r="Q464" s="15">
        <f>IF(L464&gt;1,INDEX(挂机升级突破!$Z$35:$AD$55,卡牌消耗!L464,INDEX(挂机升级突破!$W$35:$W$55,卡牌消耗!L464)),"")</f>
        <v>145</v>
      </c>
      <c r="R464" s="15" t="str">
        <f>IF(INDEX(挂机升级突破!$X$35:$X$55,卡牌消耗!L464)&gt;0,INDEX($G$2:$I$2,INDEX(挂机升级突破!$X$35:$X$55,卡牌消耗!L464))&amp;M464,"")</f>
        <v>初级黄</v>
      </c>
      <c r="S464" s="15">
        <f>IF(R464="","",INDEX(挂机升级突破!$AE$35:$AG$55,卡牌消耗!L464,INDEX(挂机升级突破!$X$35:$X$55,卡牌消耗!L464)))</f>
        <v>130</v>
      </c>
      <c r="T464" s="15" t="str">
        <f>IF(INDEX(挂机升级突破!$Y$35:$Y$55,卡牌消耗!L464)&gt;0,"灵玉","")</f>
        <v/>
      </c>
      <c r="U464" s="15" t="str">
        <f>IF(INDEX(挂机升级突破!$Y$35:$Y$55,卡牌消耗!L464)&gt;0,INDEX(挂机升级突破!$AH$35:$AH$55,卡牌消耗!L464),"")</f>
        <v/>
      </c>
    </row>
    <row r="465" spans="9:21" ht="16.5" x14ac:dyDescent="0.2">
      <c r="I465" s="35">
        <v>429</v>
      </c>
      <c r="J465" s="15">
        <f t="shared" si="31"/>
        <v>1102021</v>
      </c>
      <c r="K465" s="15">
        <f t="shared" si="32"/>
        <v>2</v>
      </c>
      <c r="L465" s="15">
        <f t="shared" si="34"/>
        <v>9</v>
      </c>
      <c r="M465" s="15" t="str">
        <f t="shared" si="33"/>
        <v>黄</v>
      </c>
      <c r="N465" s="15" t="str">
        <f t="shared" si="35"/>
        <v>金币</v>
      </c>
      <c r="O465" s="15">
        <f>IF(L465&gt;1,INDEX(挂机升级突破!$AI$35:$AI$55,卡牌消耗!L465),"")</f>
        <v>76000</v>
      </c>
      <c r="P465" s="15" t="str">
        <f>IF(L465&gt;1,INDEX(价值概述!$A$4:$A$8,INDEX(挂机升级突破!$W$35:$W$55,卡牌消耗!L465)),"")</f>
        <v>紫色基础材料</v>
      </c>
      <c r="Q465" s="15">
        <f>IF(L465&gt;1,INDEX(挂机升级突破!$Z$35:$AD$55,卡牌消耗!L465,INDEX(挂机升级突破!$W$35:$W$55,卡牌消耗!L465)),"")</f>
        <v>70</v>
      </c>
      <c r="R465" s="15" t="str">
        <f>IF(INDEX(挂机升级突破!$X$35:$X$55,卡牌消耗!L465)&gt;0,INDEX($G$2:$I$2,INDEX(挂机升级突破!$X$35:$X$55,卡牌消耗!L465))&amp;M465,"")</f>
        <v>中级黄</v>
      </c>
      <c r="S465" s="15">
        <f>IF(R465="","",INDEX(挂机升级突破!$AE$35:$AG$55,卡牌消耗!L465,INDEX(挂机升级突破!$X$35:$X$55,卡牌消耗!L465)))</f>
        <v>55</v>
      </c>
      <c r="T465" s="15" t="str">
        <f>IF(INDEX(挂机升级突破!$Y$35:$Y$55,卡牌消耗!L465)&gt;0,"灵玉","")</f>
        <v/>
      </c>
      <c r="U465" s="15" t="str">
        <f>IF(INDEX(挂机升级突破!$Y$35:$Y$55,卡牌消耗!L465)&gt;0,INDEX(挂机升级突破!$AH$35:$AH$55,卡牌消耗!L465),"")</f>
        <v/>
      </c>
    </row>
    <row r="466" spans="9:21" ht="16.5" x14ac:dyDescent="0.2">
      <c r="I466" s="35">
        <v>430</v>
      </c>
      <c r="J466" s="15">
        <f t="shared" si="31"/>
        <v>1102021</v>
      </c>
      <c r="K466" s="15">
        <f t="shared" si="32"/>
        <v>2</v>
      </c>
      <c r="L466" s="15">
        <f t="shared" si="34"/>
        <v>10</v>
      </c>
      <c r="M466" s="15" t="str">
        <f t="shared" si="33"/>
        <v>黄</v>
      </c>
      <c r="N466" s="15" t="str">
        <f t="shared" si="35"/>
        <v>金币</v>
      </c>
      <c r="O466" s="15">
        <f>IF(L466&gt;1,INDEX(挂机升级突破!$AI$35:$AI$55,卡牌消耗!L466),"")</f>
        <v>83000</v>
      </c>
      <c r="P466" s="15" t="str">
        <f>IF(L466&gt;1,INDEX(价值概述!$A$4:$A$8,INDEX(挂机升级突破!$W$35:$W$55,卡牌消耗!L466)),"")</f>
        <v>紫色基础材料</v>
      </c>
      <c r="Q466" s="15">
        <f>IF(L466&gt;1,INDEX(挂机升级突破!$Z$35:$AD$55,卡牌消耗!L466,INDEX(挂机升级突破!$W$35:$W$55,卡牌消耗!L466)),"")</f>
        <v>140</v>
      </c>
      <c r="R466" s="15" t="str">
        <f>IF(INDEX(挂机升级突破!$X$35:$X$55,卡牌消耗!L466)&gt;0,INDEX($G$2:$I$2,INDEX(挂机升级突破!$X$35:$X$55,卡牌消耗!L466))&amp;M466,"")</f>
        <v>中级黄</v>
      </c>
      <c r="S466" s="15">
        <f>IF(R466="","",INDEX(挂机升级突破!$AE$35:$AG$55,卡牌消耗!L466,INDEX(挂机升级突破!$X$35:$X$55,卡牌消耗!L466)))</f>
        <v>95</v>
      </c>
      <c r="T466" s="15" t="str">
        <f>IF(INDEX(挂机升级突破!$Y$35:$Y$55,卡牌消耗!L466)&gt;0,"灵玉","")</f>
        <v/>
      </c>
      <c r="U466" s="15" t="str">
        <f>IF(INDEX(挂机升级突破!$Y$35:$Y$55,卡牌消耗!L466)&gt;0,INDEX(挂机升级突破!$AH$35:$AH$55,卡牌消耗!L466),"")</f>
        <v/>
      </c>
    </row>
    <row r="467" spans="9:21" ht="16.5" x14ac:dyDescent="0.2">
      <c r="I467" s="35">
        <v>431</v>
      </c>
      <c r="J467" s="15">
        <f t="shared" si="31"/>
        <v>1102021</v>
      </c>
      <c r="K467" s="15">
        <f t="shared" si="32"/>
        <v>2</v>
      </c>
      <c r="L467" s="15">
        <f t="shared" si="34"/>
        <v>11</v>
      </c>
      <c r="M467" s="15" t="str">
        <f t="shared" si="33"/>
        <v>黄</v>
      </c>
      <c r="N467" s="15" t="str">
        <f t="shared" si="35"/>
        <v>金币</v>
      </c>
      <c r="O467" s="15">
        <f>IF(L467&gt;1,INDEX(挂机升级突破!$AI$35:$AI$55,卡牌消耗!L467),"")</f>
        <v>90000</v>
      </c>
      <c r="P467" s="15" t="str">
        <f>IF(L467&gt;1,INDEX(价值概述!$A$4:$A$8,INDEX(挂机升级突破!$W$35:$W$55,卡牌消耗!L467)),"")</f>
        <v>紫色基础材料</v>
      </c>
      <c r="Q467" s="15">
        <f>IF(L467&gt;1,INDEX(挂机升级突破!$Z$35:$AD$55,卡牌消耗!L467,INDEX(挂机升级突破!$W$35:$W$55,卡牌消耗!L467)),"")</f>
        <v>215</v>
      </c>
      <c r="R467" s="15" t="str">
        <f>IF(INDEX(挂机升级突破!$X$35:$X$55,卡牌消耗!L467)&gt;0,INDEX($G$2:$I$2,INDEX(挂机升级突破!$X$35:$X$55,卡牌消耗!L467))&amp;M467,"")</f>
        <v>中级黄</v>
      </c>
      <c r="S467" s="15">
        <f>IF(R467="","",INDEX(挂机升级突破!$AE$35:$AG$55,卡牌消耗!L467,INDEX(挂机升级突破!$X$35:$X$55,卡牌消耗!L467)))</f>
        <v>145</v>
      </c>
      <c r="T467" s="15" t="str">
        <f>IF(INDEX(挂机升级突破!$Y$35:$Y$55,卡牌消耗!L467)&gt;0,"灵玉","")</f>
        <v/>
      </c>
      <c r="U467" s="15" t="str">
        <f>IF(INDEX(挂机升级突破!$Y$35:$Y$55,卡牌消耗!L467)&gt;0,INDEX(挂机升级突破!$AH$35:$AH$55,卡牌消耗!L467),"")</f>
        <v/>
      </c>
    </row>
    <row r="468" spans="9:21" ht="16.5" x14ac:dyDescent="0.2">
      <c r="I468" s="35">
        <v>432</v>
      </c>
      <c r="J468" s="15">
        <f t="shared" si="31"/>
        <v>1102021</v>
      </c>
      <c r="K468" s="15">
        <f t="shared" si="32"/>
        <v>2</v>
      </c>
      <c r="L468" s="15">
        <f t="shared" si="34"/>
        <v>12</v>
      </c>
      <c r="M468" s="15" t="str">
        <f t="shared" si="33"/>
        <v>黄</v>
      </c>
      <c r="N468" s="15" t="str">
        <f t="shared" si="35"/>
        <v>金币</v>
      </c>
      <c r="O468" s="15">
        <f>IF(L468&gt;1,INDEX(挂机升级突破!$AI$35:$AI$55,卡牌消耗!L468),"")</f>
        <v>97000</v>
      </c>
      <c r="P468" s="15" t="str">
        <f>IF(L468&gt;1,INDEX(价值概述!$A$4:$A$8,INDEX(挂机升级突破!$W$35:$W$55,卡牌消耗!L468)),"")</f>
        <v>紫色基础材料</v>
      </c>
      <c r="Q468" s="15">
        <f>IF(L468&gt;1,INDEX(挂机升级突破!$Z$35:$AD$55,卡牌消耗!L468,INDEX(挂机升级突破!$W$35:$W$55,卡牌消耗!L468)),"")</f>
        <v>285</v>
      </c>
      <c r="R468" s="15" t="str">
        <f>IF(INDEX(挂机升级突破!$X$35:$X$55,卡牌消耗!L468)&gt;0,INDEX($G$2:$I$2,INDEX(挂机升级突破!$X$35:$X$55,卡牌消耗!L468))&amp;M468,"")</f>
        <v>中级黄</v>
      </c>
      <c r="S468" s="15">
        <f>IF(R468="","",INDEX(挂机升级突破!$AE$35:$AG$55,卡牌消耗!L468,INDEX(挂机升级突破!$X$35:$X$55,卡牌消耗!L468)))</f>
        <v>185</v>
      </c>
      <c r="T468" s="15" t="str">
        <f>IF(INDEX(挂机升级突破!$Y$35:$Y$55,卡牌消耗!L468)&gt;0,"灵玉","")</f>
        <v/>
      </c>
      <c r="U468" s="15" t="str">
        <f>IF(INDEX(挂机升级突破!$Y$35:$Y$55,卡牌消耗!L468)&gt;0,INDEX(挂机升级突破!$AH$35:$AH$55,卡牌消耗!L468),"")</f>
        <v/>
      </c>
    </row>
    <row r="469" spans="9:21" ht="16.5" x14ac:dyDescent="0.2">
      <c r="I469" s="35">
        <v>433</v>
      </c>
      <c r="J469" s="15">
        <f t="shared" si="31"/>
        <v>1102021</v>
      </c>
      <c r="K469" s="15">
        <f t="shared" si="32"/>
        <v>2</v>
      </c>
      <c r="L469" s="15">
        <f t="shared" si="34"/>
        <v>13</v>
      </c>
      <c r="M469" s="15" t="str">
        <f t="shared" si="33"/>
        <v>黄</v>
      </c>
      <c r="N469" s="15" t="str">
        <f t="shared" si="35"/>
        <v>金币</v>
      </c>
      <c r="O469" s="15">
        <f>IF(L469&gt;1,INDEX(挂机升级突破!$AI$35:$AI$55,卡牌消耗!L469),"")</f>
        <v>122000</v>
      </c>
      <c r="P469" s="15" t="str">
        <f>IF(L469&gt;1,INDEX(价值概述!$A$4:$A$8,INDEX(挂机升级突破!$W$35:$W$55,卡牌消耗!L469)),"")</f>
        <v>橙色基础材料</v>
      </c>
      <c r="Q469" s="15">
        <f>IF(L469&gt;1,INDEX(挂机升级突破!$Z$35:$AD$55,卡牌消耗!L469,INDEX(挂机升级突破!$W$35:$W$55,卡牌消耗!L469)),"")</f>
        <v>115</v>
      </c>
      <c r="R469" s="15" t="str">
        <f>IF(INDEX(挂机升级突破!$X$35:$X$55,卡牌消耗!L469)&gt;0,INDEX($G$2:$I$2,INDEX(挂机升级突破!$X$35:$X$55,卡牌消耗!L469))&amp;M469,"")</f>
        <v>中级黄</v>
      </c>
      <c r="S469" s="15">
        <f>IF(R469="","",INDEX(挂机升级突破!$AE$35:$AG$55,卡牌消耗!L469,INDEX(挂机升级突破!$X$35:$X$55,卡牌消耗!L469)))</f>
        <v>225</v>
      </c>
      <c r="T469" s="15" t="str">
        <f>IF(INDEX(挂机升级突破!$Y$35:$Y$55,卡牌消耗!L469)&gt;0,"灵玉","")</f>
        <v/>
      </c>
      <c r="U469" s="15" t="str">
        <f>IF(INDEX(挂机升级突破!$Y$35:$Y$55,卡牌消耗!L469)&gt;0,INDEX(挂机升级突破!$AH$35:$AH$55,卡牌消耗!L469),"")</f>
        <v/>
      </c>
    </row>
    <row r="470" spans="9:21" ht="16.5" x14ac:dyDescent="0.2">
      <c r="I470" s="35">
        <v>434</v>
      </c>
      <c r="J470" s="15">
        <f t="shared" si="31"/>
        <v>1102021</v>
      </c>
      <c r="K470" s="15">
        <f t="shared" si="32"/>
        <v>2</v>
      </c>
      <c r="L470" s="15">
        <f t="shared" si="34"/>
        <v>14</v>
      </c>
      <c r="M470" s="15" t="str">
        <f t="shared" si="33"/>
        <v>黄</v>
      </c>
      <c r="N470" s="15" t="str">
        <f t="shared" si="35"/>
        <v>金币</v>
      </c>
      <c r="O470" s="15">
        <f>IF(L470&gt;1,INDEX(挂机升级突破!$AI$35:$AI$55,卡牌消耗!L470),"")</f>
        <v>162500</v>
      </c>
      <c r="P470" s="15" t="str">
        <f>IF(L470&gt;1,INDEX(价值概述!$A$4:$A$8,INDEX(挂机升级突破!$W$35:$W$55,卡牌消耗!L470)),"")</f>
        <v>橙色基础材料</v>
      </c>
      <c r="Q470" s="15">
        <f>IF(L470&gt;1,INDEX(挂机升级突破!$Z$35:$AD$55,卡牌消耗!L470,INDEX(挂机升级突破!$W$35:$W$55,卡牌消耗!L470)),"")</f>
        <v>235</v>
      </c>
      <c r="R470" s="15" t="str">
        <f>IF(INDEX(挂机升级突破!$X$35:$X$55,卡牌消耗!L470)&gt;0,INDEX($G$2:$I$2,INDEX(挂机升级突破!$X$35:$X$55,卡牌消耗!L470))&amp;M470,"")</f>
        <v>中级黄</v>
      </c>
      <c r="S470" s="15">
        <f>IF(R470="","",INDEX(挂机升级突破!$AE$35:$AG$55,卡牌消耗!L470,INDEX(挂机升级突破!$X$35:$X$55,卡牌消耗!L470)))</f>
        <v>265</v>
      </c>
      <c r="T470" s="15" t="str">
        <f>IF(INDEX(挂机升级突破!$Y$35:$Y$55,卡牌消耗!L470)&gt;0,"灵玉","")</f>
        <v/>
      </c>
      <c r="U470" s="15" t="str">
        <f>IF(INDEX(挂机升级突破!$Y$35:$Y$55,卡牌消耗!L470)&gt;0,INDEX(挂机升级突破!$AH$35:$AH$55,卡牌消耗!L470),"")</f>
        <v/>
      </c>
    </row>
    <row r="471" spans="9:21" ht="16.5" x14ac:dyDescent="0.2">
      <c r="I471" s="35">
        <v>435</v>
      </c>
      <c r="J471" s="15">
        <f t="shared" si="31"/>
        <v>1102021</v>
      </c>
      <c r="K471" s="15">
        <f t="shared" si="32"/>
        <v>2</v>
      </c>
      <c r="L471" s="15">
        <f t="shared" si="34"/>
        <v>15</v>
      </c>
      <c r="M471" s="15" t="str">
        <f t="shared" si="33"/>
        <v>黄</v>
      </c>
      <c r="N471" s="15" t="str">
        <f t="shared" si="35"/>
        <v>金币</v>
      </c>
      <c r="O471" s="15">
        <f>IF(L471&gt;1,INDEX(挂机升级突破!$AI$35:$AI$55,卡牌消耗!L471),"")</f>
        <v>190000</v>
      </c>
      <c r="P471" s="15" t="str">
        <f>IF(L471&gt;1,INDEX(价值概述!$A$4:$A$8,INDEX(挂机升级突破!$W$35:$W$55,卡牌消耗!L471)),"")</f>
        <v>橙色基础材料</v>
      </c>
      <c r="Q471" s="15">
        <f>IF(L471&gt;1,INDEX(挂机升级突破!$Z$35:$AD$55,卡牌消耗!L471,INDEX(挂机升级突破!$W$35:$W$55,卡牌消耗!L471)),"")</f>
        <v>355</v>
      </c>
      <c r="R471" s="15" t="str">
        <f>IF(INDEX(挂机升级突破!$X$35:$X$55,卡牌消耗!L471)&gt;0,INDEX($G$2:$I$2,INDEX(挂机升级突破!$X$35:$X$55,卡牌消耗!L471))&amp;M471,"")</f>
        <v>高级黄</v>
      </c>
      <c r="S471" s="15">
        <f>IF(R471="","",INDEX(挂机升级突破!$AE$35:$AG$55,卡牌消耗!L471,INDEX(挂机升级突破!$X$35:$X$55,卡牌消耗!L471)))</f>
        <v>45</v>
      </c>
      <c r="T471" s="15" t="str">
        <f>IF(INDEX(挂机升级突破!$Y$35:$Y$55,卡牌消耗!L471)&gt;0,"灵玉","")</f>
        <v/>
      </c>
      <c r="U471" s="15" t="str">
        <f>IF(INDEX(挂机升级突破!$Y$35:$Y$55,卡牌消耗!L471)&gt;0,INDEX(挂机升级突破!$AH$35:$AH$55,卡牌消耗!L471),"")</f>
        <v/>
      </c>
    </row>
    <row r="472" spans="9:21" ht="16.5" x14ac:dyDescent="0.2">
      <c r="I472" s="35">
        <v>436</v>
      </c>
      <c r="J472" s="15">
        <f t="shared" si="31"/>
        <v>1102021</v>
      </c>
      <c r="K472" s="15">
        <f t="shared" si="32"/>
        <v>2</v>
      </c>
      <c r="L472" s="15">
        <f t="shared" si="34"/>
        <v>16</v>
      </c>
      <c r="M472" s="15" t="str">
        <f t="shared" si="33"/>
        <v>黄</v>
      </c>
      <c r="N472" s="15" t="str">
        <f t="shared" si="35"/>
        <v>金币</v>
      </c>
      <c r="O472" s="15">
        <f>IF(L472&gt;1,INDEX(挂机升级突破!$AI$35:$AI$55,卡牌消耗!L472),"")</f>
        <v>219000</v>
      </c>
      <c r="P472" s="15" t="str">
        <f>IF(L472&gt;1,INDEX(价值概述!$A$4:$A$8,INDEX(挂机升级突破!$W$35:$W$55,卡牌消耗!L472)),"")</f>
        <v>橙色基础材料</v>
      </c>
      <c r="Q472" s="15">
        <f>IF(L472&gt;1,INDEX(挂机升级突破!$Z$35:$AD$55,卡牌消耗!L472,INDEX(挂机升级突破!$W$35:$W$55,卡牌消耗!L472)),"")</f>
        <v>475</v>
      </c>
      <c r="R472" s="15" t="str">
        <f>IF(INDEX(挂机升级突破!$X$35:$X$55,卡牌消耗!L472)&gt;0,INDEX($G$2:$I$2,INDEX(挂机升级突破!$X$35:$X$55,卡牌消耗!L472))&amp;M472,"")</f>
        <v>高级黄</v>
      </c>
      <c r="S472" s="15">
        <f>IF(R472="","",INDEX(挂机升级突破!$AE$35:$AG$55,卡牌消耗!L472,INDEX(挂机升级突破!$X$35:$X$55,卡牌消耗!L472)))</f>
        <v>70</v>
      </c>
      <c r="T472" s="15" t="str">
        <f>IF(INDEX(挂机升级突破!$Y$35:$Y$55,卡牌消耗!L472)&gt;0,"灵玉","")</f>
        <v/>
      </c>
      <c r="U472" s="15" t="str">
        <f>IF(INDEX(挂机升级突破!$Y$35:$Y$55,卡牌消耗!L472)&gt;0,INDEX(挂机升级突破!$AH$35:$AH$55,卡牌消耗!L472),"")</f>
        <v/>
      </c>
    </row>
    <row r="473" spans="9:21" ht="16.5" x14ac:dyDescent="0.2">
      <c r="I473" s="35">
        <v>437</v>
      </c>
      <c r="J473" s="15">
        <f t="shared" si="31"/>
        <v>1102021</v>
      </c>
      <c r="K473" s="15">
        <f t="shared" si="32"/>
        <v>2</v>
      </c>
      <c r="L473" s="15">
        <f t="shared" si="34"/>
        <v>17</v>
      </c>
      <c r="M473" s="15" t="str">
        <f t="shared" si="33"/>
        <v>黄</v>
      </c>
      <c r="N473" s="15" t="str">
        <f t="shared" si="35"/>
        <v>金币</v>
      </c>
      <c r="O473" s="15">
        <f>IF(L473&gt;1,INDEX(挂机升级突破!$AI$35:$AI$55,卡牌消耗!L473),"")</f>
        <v>228000</v>
      </c>
      <c r="P473" s="15" t="str">
        <f>IF(L473&gt;1,INDEX(价值概述!$A$4:$A$8,INDEX(挂机升级突破!$W$35:$W$55,卡牌消耗!L473)),"")</f>
        <v>红色基础材料</v>
      </c>
      <c r="Q473" s="15">
        <f>IF(L473&gt;1,INDEX(挂机升级突破!$Z$35:$AD$55,卡牌消耗!L473,INDEX(挂机升级突破!$W$35:$W$55,卡牌消耗!L473)),"")</f>
        <v>45</v>
      </c>
      <c r="R473" s="15" t="str">
        <f>IF(INDEX(挂机升级突破!$X$35:$X$55,卡牌消耗!L473)&gt;0,INDEX($G$2:$I$2,INDEX(挂机升级突破!$X$35:$X$55,卡牌消耗!L473))&amp;M473,"")</f>
        <v>高级黄</v>
      </c>
      <c r="S473" s="15">
        <f>IF(R473="","",INDEX(挂机升级突破!$AE$35:$AG$55,卡牌消耗!L473,INDEX(挂机升级突破!$X$35:$X$55,卡牌消耗!L473)))</f>
        <v>100</v>
      </c>
      <c r="T473" s="15" t="str">
        <f>IF(INDEX(挂机升级突破!$Y$35:$Y$55,卡牌消耗!L473)&gt;0,"灵玉","")</f>
        <v>灵玉</v>
      </c>
      <c r="U473" s="15">
        <f>IF(INDEX(挂机升级突破!$Y$35:$Y$55,卡牌消耗!L473)&gt;0,INDEX(挂机升级突破!$AH$35:$AH$55,卡牌消耗!L473),"")</f>
        <v>25</v>
      </c>
    </row>
    <row r="474" spans="9:21" ht="16.5" x14ac:dyDescent="0.2">
      <c r="I474" s="35">
        <v>438</v>
      </c>
      <c r="J474" s="15">
        <f t="shared" si="31"/>
        <v>1102021</v>
      </c>
      <c r="K474" s="15">
        <f t="shared" si="32"/>
        <v>2</v>
      </c>
      <c r="L474" s="15">
        <f t="shared" si="34"/>
        <v>18</v>
      </c>
      <c r="M474" s="15" t="str">
        <f t="shared" si="33"/>
        <v>黄</v>
      </c>
      <c r="N474" s="15" t="str">
        <f t="shared" si="35"/>
        <v>金币</v>
      </c>
      <c r="O474" s="15">
        <f>IF(L474&gt;1,INDEX(挂机升级突破!$AI$35:$AI$55,卡牌消耗!L474),"")</f>
        <v>319500</v>
      </c>
      <c r="P474" s="15" t="str">
        <f>IF(L474&gt;1,INDEX(价值概述!$A$4:$A$8,INDEX(挂机升级突破!$W$35:$W$55,卡牌消耗!L474)),"")</f>
        <v>红色基础材料</v>
      </c>
      <c r="Q474" s="15">
        <f>IF(L474&gt;1,INDEX(挂机升级突破!$Z$35:$AD$55,卡牌消耗!L474,INDEX(挂机升级突破!$W$35:$W$55,卡牌消耗!L474)),"")</f>
        <v>65</v>
      </c>
      <c r="R474" s="15" t="str">
        <f>IF(INDEX(挂机升级突破!$X$35:$X$55,卡牌消耗!L474)&gt;0,INDEX($G$2:$I$2,INDEX(挂机升级突破!$X$35:$X$55,卡牌消耗!L474))&amp;M474,"")</f>
        <v>高级黄</v>
      </c>
      <c r="S474" s="15">
        <f>IF(R474="","",INDEX(挂机升级突破!$AE$35:$AG$55,卡牌消耗!L474,INDEX(挂机升级突破!$X$35:$X$55,卡牌消耗!L474)))</f>
        <v>125</v>
      </c>
      <c r="T474" s="15" t="str">
        <f>IF(INDEX(挂机升级突破!$Y$35:$Y$55,卡牌消耗!L474)&gt;0,"灵玉","")</f>
        <v>灵玉</v>
      </c>
      <c r="U474" s="15">
        <f>IF(INDEX(挂机升级突破!$Y$35:$Y$55,卡牌消耗!L474)&gt;0,INDEX(挂机升级突破!$AH$35:$AH$55,卡牌消耗!L474),"")</f>
        <v>35</v>
      </c>
    </row>
    <row r="475" spans="9:21" ht="16.5" x14ac:dyDescent="0.2">
      <c r="I475" s="35">
        <v>439</v>
      </c>
      <c r="J475" s="15">
        <f t="shared" si="31"/>
        <v>1102021</v>
      </c>
      <c r="K475" s="15">
        <f t="shared" si="32"/>
        <v>2</v>
      </c>
      <c r="L475" s="15">
        <f t="shared" si="34"/>
        <v>19</v>
      </c>
      <c r="M475" s="15" t="str">
        <f t="shared" si="33"/>
        <v>黄</v>
      </c>
      <c r="N475" s="15" t="str">
        <f t="shared" si="35"/>
        <v>金币</v>
      </c>
      <c r="O475" s="15">
        <f>IF(L475&gt;1,INDEX(挂机升级突破!$AI$35:$AI$55,卡牌消耗!L475),"")</f>
        <v>426000</v>
      </c>
      <c r="P475" s="15" t="str">
        <f>IF(L475&gt;1,INDEX(价值概述!$A$4:$A$8,INDEX(挂机升级突破!$W$35:$W$55,卡牌消耗!L475)),"")</f>
        <v>红色基础材料</v>
      </c>
      <c r="Q475" s="15">
        <f>IF(L475&gt;1,INDEX(挂机升级突破!$Z$35:$AD$55,卡牌消耗!L475,INDEX(挂机升级突破!$W$35:$W$55,卡牌消耗!L475)),"")</f>
        <v>90</v>
      </c>
      <c r="R475" s="15" t="str">
        <f>IF(INDEX(挂机升级突破!$X$35:$X$55,卡牌消耗!L475)&gt;0,INDEX($G$2:$I$2,INDEX(挂机升级突破!$X$35:$X$55,卡牌消耗!L475))&amp;M475,"")</f>
        <v>高级黄</v>
      </c>
      <c r="S475" s="15">
        <f>IF(R475="","",INDEX(挂机升级突破!$AE$35:$AG$55,卡牌消耗!L475,INDEX(挂机升级突破!$X$35:$X$55,卡牌消耗!L475)))</f>
        <v>155</v>
      </c>
      <c r="T475" s="15" t="str">
        <f>IF(INDEX(挂机升级突破!$Y$35:$Y$55,卡牌消耗!L475)&gt;0,"灵玉","")</f>
        <v>灵玉</v>
      </c>
      <c r="U475" s="15">
        <f>IF(INDEX(挂机升级突破!$Y$35:$Y$55,卡牌消耗!L475)&gt;0,INDEX(挂机升级突破!$AH$35:$AH$55,卡牌消耗!L475),"")</f>
        <v>50</v>
      </c>
    </row>
    <row r="476" spans="9:21" ht="16.5" x14ac:dyDescent="0.2">
      <c r="I476" s="35">
        <v>440</v>
      </c>
      <c r="J476" s="15">
        <f t="shared" si="31"/>
        <v>1102021</v>
      </c>
      <c r="K476" s="15">
        <f t="shared" si="32"/>
        <v>2</v>
      </c>
      <c r="L476" s="15">
        <f t="shared" si="34"/>
        <v>20</v>
      </c>
      <c r="M476" s="15" t="str">
        <f t="shared" si="33"/>
        <v>黄</v>
      </c>
      <c r="N476" s="15" t="str">
        <f t="shared" si="35"/>
        <v>金币</v>
      </c>
      <c r="O476" s="15">
        <f>IF(L476&gt;1,INDEX(挂机升级突破!$AI$35:$AI$55,卡牌消耗!L476),"")</f>
        <v>532500</v>
      </c>
      <c r="P476" s="15" t="str">
        <f>IF(L476&gt;1,INDEX(价值概述!$A$4:$A$8,INDEX(挂机升级突破!$W$35:$W$55,卡牌消耗!L476)),"")</f>
        <v>红色基础材料</v>
      </c>
      <c r="Q476" s="15">
        <f>IF(L476&gt;1,INDEX(挂机升级突破!$Z$35:$AD$55,卡牌消耗!L476,INDEX(挂机升级突破!$W$35:$W$55,卡牌消耗!L476)),"")</f>
        <v>110</v>
      </c>
      <c r="R476" s="15" t="str">
        <f>IF(INDEX(挂机升级突破!$X$35:$X$55,卡牌消耗!L476)&gt;0,INDEX($G$2:$I$2,INDEX(挂机升级突破!$X$35:$X$55,卡牌消耗!L476))&amp;M476,"")</f>
        <v>高级黄</v>
      </c>
      <c r="S476" s="15">
        <f>IF(R476="","",INDEX(挂机升级突破!$AE$35:$AG$55,卡牌消耗!L476,INDEX(挂机升级突破!$X$35:$X$55,卡牌消耗!L476)))</f>
        <v>180</v>
      </c>
      <c r="T476" s="15" t="str">
        <f>IF(INDEX(挂机升级突破!$Y$35:$Y$55,卡牌消耗!L476)&gt;0,"灵玉","")</f>
        <v>灵玉</v>
      </c>
      <c r="U476" s="15">
        <f>IF(INDEX(挂机升级突破!$Y$35:$Y$55,卡牌消耗!L476)&gt;0,INDEX(挂机升级突破!$AH$35:$AH$55,卡牌消耗!L476),"")</f>
        <v>65</v>
      </c>
    </row>
    <row r="477" spans="9:21" ht="16.5" x14ac:dyDescent="0.2">
      <c r="I477" s="35">
        <v>441</v>
      </c>
      <c r="J477" s="15">
        <f t="shared" si="31"/>
        <v>1102021</v>
      </c>
      <c r="K477" s="15">
        <f t="shared" si="32"/>
        <v>2</v>
      </c>
      <c r="L477" s="15">
        <f t="shared" si="34"/>
        <v>21</v>
      </c>
      <c r="M477" s="15" t="str">
        <f t="shared" si="33"/>
        <v>黄</v>
      </c>
      <c r="N477" s="15" t="str">
        <f t="shared" si="35"/>
        <v>金币</v>
      </c>
      <c r="O477" s="15">
        <f>IF(L477&gt;1,INDEX(挂机升级突破!$AI$35:$AI$55,卡牌消耗!L477),"")</f>
        <v>639000</v>
      </c>
      <c r="P477" s="15" t="str">
        <f>IF(L477&gt;1,INDEX(价值概述!$A$4:$A$8,INDEX(挂机升级突破!$W$35:$W$55,卡牌消耗!L477)),"")</f>
        <v>红色基础材料</v>
      </c>
      <c r="Q477" s="15">
        <f>IF(L477&gt;1,INDEX(挂机升级突破!$Z$35:$AD$55,卡牌消耗!L477,INDEX(挂机升级突破!$W$35:$W$55,卡牌消耗!L477)),"")</f>
        <v>135</v>
      </c>
      <c r="R477" s="15" t="str">
        <f>IF(INDEX(挂机升级突破!$X$35:$X$55,卡牌消耗!L477)&gt;0,INDEX($G$2:$I$2,INDEX(挂机升级突破!$X$35:$X$55,卡牌消耗!L477))&amp;M477,"")</f>
        <v>高级黄</v>
      </c>
      <c r="S477" s="15">
        <f>IF(R477="","",INDEX(挂机升级突破!$AE$35:$AG$55,卡牌消耗!L477,INDEX(挂机升级突破!$X$35:$X$55,卡牌消耗!L477)))</f>
        <v>225</v>
      </c>
      <c r="T477" s="15" t="str">
        <f>IF(INDEX(挂机升级突破!$Y$35:$Y$55,卡牌消耗!L477)&gt;0,"灵玉","")</f>
        <v>灵玉</v>
      </c>
      <c r="U477" s="15">
        <f>IF(INDEX(挂机升级突破!$Y$35:$Y$55,卡牌消耗!L477)&gt;0,INDEX(挂机升级突破!$AH$35:$AH$55,卡牌消耗!L477),"")</f>
        <v>75</v>
      </c>
    </row>
  </sheetData>
  <mergeCells count="2">
    <mergeCell ref="A3:E3"/>
    <mergeCell ref="I35:U3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5" sqref="F5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7" width="11.125" customWidth="1"/>
    <col min="8" max="9" width="10.25" customWidth="1"/>
  </cols>
  <sheetData>
    <row r="3" spans="1:9" ht="17.25" x14ac:dyDescent="0.2">
      <c r="B3" s="12" t="s">
        <v>407</v>
      </c>
      <c r="C3" s="12" t="s">
        <v>410</v>
      </c>
      <c r="D3" s="12" t="s">
        <v>402</v>
      </c>
      <c r="E3" s="12" t="s">
        <v>403</v>
      </c>
      <c r="F3" s="12" t="s">
        <v>416</v>
      </c>
      <c r="G3" s="12" t="s">
        <v>417</v>
      </c>
      <c r="H3" s="12" t="s">
        <v>409</v>
      </c>
      <c r="I3" s="12" t="s">
        <v>411</v>
      </c>
    </row>
    <row r="4" spans="1:9" ht="16.5" x14ac:dyDescent="0.2">
      <c r="A4" s="16"/>
      <c r="B4" s="16"/>
      <c r="C4" s="16"/>
      <c r="D4" s="22">
        <v>0.4</v>
      </c>
      <c r="E4" s="22">
        <v>0.6</v>
      </c>
      <c r="F4" s="22"/>
      <c r="G4" s="22"/>
      <c r="H4" s="41"/>
      <c r="I4" s="41"/>
    </row>
    <row r="5" spans="1:9" ht="16.5" x14ac:dyDescent="0.2">
      <c r="A5" s="43" t="s">
        <v>404</v>
      </c>
      <c r="B5" s="41">
        <f>金币总产!O25</f>
        <v>4522900</v>
      </c>
      <c r="C5" s="41">
        <f>SUM(节奏总表!R8:R11)</f>
        <v>7</v>
      </c>
      <c r="D5" s="15">
        <f>INT($B5*D$4)</f>
        <v>1809160</v>
      </c>
      <c r="E5" s="15">
        <f>INT($B5*E$4)</f>
        <v>2713740</v>
      </c>
      <c r="F5" s="42"/>
      <c r="G5" s="42"/>
      <c r="H5" s="41">
        <v>10</v>
      </c>
      <c r="I5" s="41" t="s">
        <v>412</v>
      </c>
    </row>
    <row r="6" spans="1:9" ht="16.5" x14ac:dyDescent="0.2">
      <c r="A6" s="43" t="s">
        <v>405</v>
      </c>
      <c r="B6" s="41">
        <f>金币总产!O26</f>
        <v>6253050</v>
      </c>
      <c r="C6" s="41">
        <f>SUM(节奏总表!R12:R13)</f>
        <v>10</v>
      </c>
      <c r="D6" s="15">
        <f t="shared" ref="D6:E8" si="0">INT($B6*D$4)</f>
        <v>2501220</v>
      </c>
      <c r="E6" s="15">
        <f t="shared" si="0"/>
        <v>3751830</v>
      </c>
      <c r="F6" s="42"/>
      <c r="G6" s="42"/>
      <c r="H6" s="41">
        <v>10</v>
      </c>
      <c r="I6" s="41" t="s">
        <v>413</v>
      </c>
    </row>
    <row r="7" spans="1:9" ht="16.5" x14ac:dyDescent="0.2">
      <c r="A7" s="43" t="s">
        <v>406</v>
      </c>
      <c r="B7" s="41">
        <f>金币总产!O27</f>
        <v>10863550</v>
      </c>
      <c r="C7" s="41">
        <f>SUM(节奏总表!R14:R15)</f>
        <v>23.75</v>
      </c>
      <c r="D7" s="15">
        <f t="shared" si="0"/>
        <v>4345420</v>
      </c>
      <c r="E7" s="15">
        <f t="shared" si="0"/>
        <v>6518130</v>
      </c>
      <c r="F7" s="42"/>
      <c r="G7" s="42"/>
      <c r="H7" s="41">
        <v>15</v>
      </c>
      <c r="I7" s="41" t="s">
        <v>414</v>
      </c>
    </row>
    <row r="8" spans="1:9" ht="16.5" x14ac:dyDescent="0.2">
      <c r="A8" s="43" t="s">
        <v>408</v>
      </c>
      <c r="B8" s="41">
        <f>金币总产!O28</f>
        <v>42610750</v>
      </c>
      <c r="C8" s="41">
        <f>SUM(节奏总表!R16:R18)</f>
        <v>80</v>
      </c>
      <c r="D8" s="15">
        <f t="shared" si="0"/>
        <v>17044300</v>
      </c>
      <c r="E8" s="15">
        <f t="shared" si="0"/>
        <v>25566450</v>
      </c>
      <c r="F8" s="42"/>
      <c r="G8" s="42"/>
      <c r="H8" s="41">
        <v>15</v>
      </c>
      <c r="I8" s="41" t="s">
        <v>415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1213"/>
  <sheetViews>
    <sheetView workbookViewId="0">
      <selection activeCell="AK6" sqref="AK6"/>
    </sheetView>
  </sheetViews>
  <sheetFormatPr defaultRowHeight="14.25" x14ac:dyDescent="0.2"/>
  <cols>
    <col min="2" max="2" width="10.125" customWidth="1"/>
    <col min="3" max="3" width="12.5" customWidth="1"/>
    <col min="4" max="4" width="10.625" customWidth="1"/>
    <col min="5" max="5" width="9.125" bestFit="1" customWidth="1"/>
    <col min="6" max="6" width="13.875" bestFit="1" customWidth="1"/>
    <col min="7" max="7" width="10.75" customWidth="1"/>
    <col min="8" max="11" width="13.875" bestFit="1" customWidth="1"/>
    <col min="12" max="12" width="14" bestFit="1" customWidth="1"/>
    <col min="14" max="14" width="8.75" customWidth="1"/>
    <col min="15" max="15" width="9" customWidth="1"/>
    <col min="16" max="16" width="7.875" customWidth="1"/>
    <col min="17" max="17" width="10.75" customWidth="1"/>
    <col min="18" max="18" width="13.125" customWidth="1"/>
    <col min="29" max="29" width="9.625" bestFit="1" customWidth="1"/>
    <col min="30" max="30" width="15" customWidth="1"/>
    <col min="31" max="31" width="11.125" customWidth="1"/>
    <col min="32" max="32" width="24.875" customWidth="1"/>
    <col min="36" max="36" width="10.375" customWidth="1"/>
    <col min="37" max="37" width="30.75" customWidth="1"/>
    <col min="40" max="40" width="18.125" customWidth="1"/>
    <col min="41" max="41" width="11.625" customWidth="1"/>
    <col min="42" max="42" width="12.75" customWidth="1"/>
    <col min="43" max="44" width="14.625" customWidth="1"/>
    <col min="45" max="45" width="12.25" customWidth="1"/>
  </cols>
  <sheetData>
    <row r="3" spans="1:45" ht="17.25" x14ac:dyDescent="0.2">
      <c r="A3" s="12" t="s">
        <v>566</v>
      </c>
      <c r="B3" s="12" t="s">
        <v>564</v>
      </c>
      <c r="C3" s="12" t="s">
        <v>565</v>
      </c>
      <c r="E3" s="12" t="s">
        <v>567</v>
      </c>
      <c r="F3" s="12" t="s">
        <v>565</v>
      </c>
      <c r="G3" s="12" t="s">
        <v>574</v>
      </c>
      <c r="I3" s="12" t="s">
        <v>568</v>
      </c>
      <c r="J3" s="12" t="s">
        <v>108</v>
      </c>
      <c r="K3" s="12" t="s">
        <v>570</v>
      </c>
      <c r="L3" s="12" t="s">
        <v>569</v>
      </c>
      <c r="N3" s="62" t="s">
        <v>650</v>
      </c>
      <c r="O3" s="61">
        <v>300</v>
      </c>
      <c r="P3" s="16"/>
      <c r="Q3" s="16"/>
      <c r="R3" s="16"/>
      <c r="Z3" s="12" t="s">
        <v>582</v>
      </c>
      <c r="AA3" s="12" t="s">
        <v>646</v>
      </c>
      <c r="AB3" s="12" t="s">
        <v>583</v>
      </c>
      <c r="AC3" s="12" t="s">
        <v>581</v>
      </c>
      <c r="AD3" s="12" t="s">
        <v>584</v>
      </c>
      <c r="AE3" s="12" t="s">
        <v>584</v>
      </c>
      <c r="AF3" s="12" t="s">
        <v>584</v>
      </c>
    </row>
    <row r="4" spans="1:45" ht="16.5" x14ac:dyDescent="0.2">
      <c r="A4" s="60">
        <v>1</v>
      </c>
      <c r="B4" s="60">
        <v>0</v>
      </c>
      <c r="C4" s="60">
        <v>0</v>
      </c>
      <c r="E4" s="15">
        <v>0</v>
      </c>
      <c r="F4" s="15">
        <v>0</v>
      </c>
      <c r="G4" s="15"/>
      <c r="I4" s="60">
        <v>1</v>
      </c>
      <c r="J4" s="60">
        <v>2</v>
      </c>
      <c r="K4" s="60">
        <f>SUM(J$4:J4)</f>
        <v>2</v>
      </c>
      <c r="L4" s="60">
        <f>1/芦花古楼!$BM$9*芦花古楼!BM6</f>
        <v>8.4033613445378148E-3</v>
      </c>
      <c r="N4" s="62" t="s">
        <v>649</v>
      </c>
      <c r="O4" s="15">
        <f>SUMIFS(芦花古楼!$BF$6:$BF$105,芦花古楼!$BB$6:$BB$105,"&lt;="&amp;神器!O3)+芦花古楼!BF105*MAX(O3-芦花古楼!BB105,0)</f>
        <v>330400</v>
      </c>
      <c r="P4" s="16"/>
      <c r="Q4" s="16"/>
      <c r="R4" s="16"/>
      <c r="Z4" s="60">
        <v>101</v>
      </c>
      <c r="AA4" s="60">
        <v>1</v>
      </c>
      <c r="AB4" s="60">
        <v>1</v>
      </c>
      <c r="AC4" s="60">
        <v>1606003</v>
      </c>
      <c r="AD4" s="60" t="s">
        <v>644</v>
      </c>
      <c r="AE4" s="60" t="s">
        <v>585</v>
      </c>
      <c r="AF4" s="60" t="str">
        <f>AD4&amp;"-"&amp;AE4</f>
        <v>初级神器1配件1-两仪剑鞘</v>
      </c>
    </row>
    <row r="5" spans="1:45" ht="16.5" x14ac:dyDescent="0.2">
      <c r="A5" s="60">
        <v>40</v>
      </c>
      <c r="B5" s="15" t="str">
        <f>金币总产!A24</f>
        <v>1~40</v>
      </c>
      <c r="C5" s="15">
        <f>金币总产!N24</f>
        <v>73548</v>
      </c>
      <c r="E5" s="15">
        <v>10</v>
      </c>
      <c r="F5" s="15">
        <f>C5+C6/2</f>
        <v>525838</v>
      </c>
      <c r="G5" s="15">
        <f>SUMIF($A$14:$A$53,"&lt;="&amp;E5,$B$14:$B$53)</f>
        <v>33</v>
      </c>
      <c r="I5" s="60">
        <v>2</v>
      </c>
      <c r="J5" s="60">
        <v>2</v>
      </c>
      <c r="K5" s="60">
        <f>SUM(J$4:J5)</f>
        <v>4</v>
      </c>
      <c r="L5" s="60">
        <f>1/芦花古楼!$BM$9*芦花古楼!BN6</f>
        <v>1.2605042016806723E-2</v>
      </c>
      <c r="N5" s="16"/>
      <c r="O5" s="16"/>
      <c r="P5" s="16"/>
      <c r="Q5" s="16"/>
      <c r="R5" s="16"/>
      <c r="Z5" s="60">
        <v>101</v>
      </c>
      <c r="AA5" s="60">
        <v>1</v>
      </c>
      <c r="AB5" s="60">
        <v>2</v>
      </c>
      <c r="AC5" s="60">
        <v>1606004</v>
      </c>
      <c r="AD5" s="60" t="s">
        <v>615</v>
      </c>
      <c r="AE5" s="60" t="s">
        <v>586</v>
      </c>
      <c r="AF5" s="60" t="str">
        <f t="shared" ref="AF5:AF33" si="0">AD5&amp;"-"&amp;AE5</f>
        <v>初级神器1配件2-剑结</v>
      </c>
    </row>
    <row r="6" spans="1:45" ht="16.5" x14ac:dyDescent="0.2">
      <c r="A6" s="60">
        <v>80</v>
      </c>
      <c r="B6" s="15" t="str">
        <f>金币总产!A25</f>
        <v>40~80</v>
      </c>
      <c r="C6" s="15">
        <f>金币总产!N25</f>
        <v>904580</v>
      </c>
      <c r="E6" s="15">
        <v>20</v>
      </c>
      <c r="F6" s="15">
        <f>C7+C6/2</f>
        <v>2119770</v>
      </c>
      <c r="G6" s="15">
        <f>SUMIFS($B$14:$B$53,$A$14:$A$53,"&lt;="&amp;E6,$A$14:$A$53,"&gt;"&amp;E5)</f>
        <v>53</v>
      </c>
      <c r="I6" s="60">
        <v>3</v>
      </c>
      <c r="J6" s="60">
        <v>4</v>
      </c>
      <c r="K6" s="60">
        <f>SUM(J$4:J6)</f>
        <v>8</v>
      </c>
      <c r="L6" s="60">
        <f>1/芦花古楼!$BM$9*芦花古楼!BO6</f>
        <v>2.1008403361344536E-2</v>
      </c>
      <c r="N6" s="16"/>
      <c r="O6" s="16"/>
      <c r="P6" s="16"/>
      <c r="Q6" s="16"/>
      <c r="R6" s="16"/>
      <c r="Z6" s="60">
        <v>102</v>
      </c>
      <c r="AA6" s="60">
        <v>2</v>
      </c>
      <c r="AB6" s="60">
        <v>1</v>
      </c>
      <c r="AC6" s="60">
        <v>1606005</v>
      </c>
      <c r="AD6" s="60" t="s">
        <v>616</v>
      </c>
      <c r="AE6" s="60" t="s">
        <v>587</v>
      </c>
      <c r="AF6" s="60" t="str">
        <f t="shared" si="0"/>
        <v>初级神器2配件1-护木</v>
      </c>
    </row>
    <row r="7" spans="1:45" ht="16.5" x14ac:dyDescent="0.2">
      <c r="A7" s="60">
        <v>100</v>
      </c>
      <c r="B7" s="15" t="str">
        <f>金币总产!A26</f>
        <v>80~100</v>
      </c>
      <c r="C7" s="15">
        <f>金币总产!N26</f>
        <v>1667480</v>
      </c>
      <c r="E7" s="15">
        <v>30</v>
      </c>
      <c r="F7" s="15">
        <f>C8</f>
        <v>4345420</v>
      </c>
      <c r="G7" s="15">
        <f t="shared" ref="G7:G8" si="1">SUMIFS($B$14:$B$53,$A$14:$A$53,"&lt;="&amp;E7,$A$14:$A$53,"&gt;"&amp;E6)</f>
        <v>123</v>
      </c>
      <c r="I7" s="60">
        <v>4</v>
      </c>
      <c r="J7" s="60">
        <v>4</v>
      </c>
      <c r="K7" s="60">
        <f>SUM(J$4:J7)</f>
        <v>12</v>
      </c>
      <c r="L7" s="60">
        <f>1/芦花古楼!$BM$9*芦花古楼!BP6</f>
        <v>2.9411764705882353E-2</v>
      </c>
      <c r="N7" s="16"/>
      <c r="O7" s="16"/>
      <c r="P7" s="16"/>
      <c r="Q7" s="16"/>
      <c r="R7" s="16"/>
      <c r="Z7" s="60">
        <v>102</v>
      </c>
      <c r="AA7" s="60">
        <v>2</v>
      </c>
      <c r="AB7" s="60">
        <v>2</v>
      </c>
      <c r="AC7" s="60">
        <v>1606006</v>
      </c>
      <c r="AD7" s="60" t="s">
        <v>617</v>
      </c>
      <c r="AE7" s="60" t="s">
        <v>588</v>
      </c>
      <c r="AF7" s="60" t="str">
        <f t="shared" si="0"/>
        <v>初级神器2配件2-爪刃</v>
      </c>
    </row>
    <row r="8" spans="1:45" ht="16.5" x14ac:dyDescent="0.2">
      <c r="A8" s="60">
        <v>120</v>
      </c>
      <c r="B8" s="15" t="str">
        <f>金币总产!A27</f>
        <v>100~120</v>
      </c>
      <c r="C8" s="15">
        <f>金币总产!N27</f>
        <v>4345420</v>
      </c>
      <c r="E8" s="15">
        <v>40</v>
      </c>
      <c r="F8" s="15">
        <f>C9</f>
        <v>17044300</v>
      </c>
      <c r="G8" s="15">
        <f t="shared" si="1"/>
        <v>33</v>
      </c>
      <c r="I8" s="60">
        <v>5</v>
      </c>
      <c r="J8" s="60">
        <v>6</v>
      </c>
      <c r="K8" s="60">
        <f>SUM(J$4:J8)</f>
        <v>18</v>
      </c>
      <c r="L8" s="60">
        <f>1/芦花古楼!$BM$9*芦花古楼!BQ6</f>
        <v>4.2016806722689072E-2</v>
      </c>
      <c r="N8" s="16"/>
      <c r="O8" s="16"/>
      <c r="P8" s="16"/>
      <c r="Q8" s="16"/>
      <c r="R8" s="16"/>
      <c r="Z8" s="60">
        <v>201</v>
      </c>
      <c r="AA8" s="60">
        <v>3</v>
      </c>
      <c r="AB8" s="60">
        <v>1</v>
      </c>
      <c r="AC8" s="60">
        <v>1606007</v>
      </c>
      <c r="AD8" s="60" t="s">
        <v>618</v>
      </c>
      <c r="AE8" s="60" t="s">
        <v>589</v>
      </c>
      <c r="AF8" s="60" t="str">
        <f t="shared" si="0"/>
        <v>中级神器1配件1-绦带</v>
      </c>
    </row>
    <row r="9" spans="1:45" ht="16.5" x14ac:dyDescent="0.2">
      <c r="A9" s="60">
        <v>150</v>
      </c>
      <c r="B9" s="15" t="str">
        <f>金币总产!A28</f>
        <v>120~150</v>
      </c>
      <c r="C9" s="15">
        <f>金币总产!N28</f>
        <v>17044300</v>
      </c>
      <c r="I9" s="60">
        <v>6</v>
      </c>
      <c r="J9" s="60">
        <v>6</v>
      </c>
      <c r="K9" s="60">
        <f>SUM(J$4:J9)</f>
        <v>24</v>
      </c>
      <c r="L9" s="60">
        <f>1/芦花古楼!$BM$9*芦花古楼!BR6</f>
        <v>4.2016806722689072E-2</v>
      </c>
      <c r="Z9" s="60">
        <v>201</v>
      </c>
      <c r="AA9" s="60">
        <v>3</v>
      </c>
      <c r="AB9" s="60">
        <v>2</v>
      </c>
      <c r="AC9" s="60">
        <v>1606008</v>
      </c>
      <c r="AD9" s="60" t="s">
        <v>619</v>
      </c>
      <c r="AE9" s="60" t="s">
        <v>590</v>
      </c>
      <c r="AF9" s="60" t="str">
        <f t="shared" si="0"/>
        <v>中级神器1配件2-文饰</v>
      </c>
    </row>
    <row r="10" spans="1:45" ht="16.5" x14ac:dyDescent="0.2">
      <c r="I10" s="60">
        <v>7</v>
      </c>
      <c r="J10" s="60">
        <v>6</v>
      </c>
      <c r="K10" s="60">
        <f>SUM(J$4:J10)</f>
        <v>30</v>
      </c>
      <c r="L10" s="60">
        <f>1/芦花古楼!$BM$9*芦花古楼!BS6</f>
        <v>4.2016806722689072E-2</v>
      </c>
      <c r="Z10" s="60">
        <v>201</v>
      </c>
      <c r="AA10" s="60">
        <v>3</v>
      </c>
      <c r="AB10" s="60">
        <v>3</v>
      </c>
      <c r="AC10" s="60">
        <v>1606009</v>
      </c>
      <c r="AD10" s="60" t="s">
        <v>620</v>
      </c>
      <c r="AE10" s="60" t="s">
        <v>591</v>
      </c>
      <c r="AF10" s="60" t="str">
        <f t="shared" si="0"/>
        <v>中级神器1配件3-骨圈</v>
      </c>
    </row>
    <row r="11" spans="1:45" ht="16.5" x14ac:dyDescent="0.2">
      <c r="N11" s="61">
        <v>1.05</v>
      </c>
      <c r="Z11" s="60">
        <v>201</v>
      </c>
      <c r="AA11" s="60">
        <v>3</v>
      </c>
      <c r="AB11" s="60">
        <v>4</v>
      </c>
      <c r="AC11" s="60">
        <v>1606010</v>
      </c>
      <c r="AD11" s="60" t="s">
        <v>621</v>
      </c>
      <c r="AE11" s="60" t="s">
        <v>592</v>
      </c>
      <c r="AF11" s="60" t="str">
        <f t="shared" si="0"/>
        <v>中级神器1配件4-玉结</v>
      </c>
    </row>
    <row r="12" spans="1:45" ht="16.5" x14ac:dyDescent="0.2">
      <c r="F12" s="15">
        <f>芦花古楼!BM6/芦花古楼!$BM$9</f>
        <v>8.4033613445378148E-3</v>
      </c>
      <c r="G12" s="15">
        <f>芦花古楼!BN6/芦花古楼!$BM$9</f>
        <v>1.2605042016806723E-2</v>
      </c>
      <c r="H12" s="15">
        <f>芦花古楼!BO6/芦花古楼!$BM$9</f>
        <v>2.100840336134454E-2</v>
      </c>
      <c r="I12" s="15">
        <f>芦花古楼!BP6/芦花古楼!$BM$9</f>
        <v>2.9411764705882353E-2</v>
      </c>
      <c r="J12" s="15">
        <f>芦花古楼!BQ6/芦花古楼!$BM$9</f>
        <v>4.2016806722689079E-2</v>
      </c>
      <c r="K12" s="15">
        <f>芦花古楼!BR6/芦花古楼!$BM$9</f>
        <v>4.2016806722689079E-2</v>
      </c>
      <c r="L12" s="15">
        <f>芦花古楼!BS6/芦花古楼!$BM$9</f>
        <v>4.2016806722689079E-2</v>
      </c>
      <c r="N12" s="61">
        <v>0.25</v>
      </c>
      <c r="O12" s="15">
        <f>SUM($N$14:$N$53)</f>
        <v>524.79864545495798</v>
      </c>
      <c r="P12" s="15">
        <f>芦花古楼!BM6/芦花古楼!$BM$9</f>
        <v>8.4033613445378148E-3</v>
      </c>
      <c r="Q12" s="15">
        <f>芦花古楼!BN6/芦花古楼!$BM$9</f>
        <v>1.2605042016806723E-2</v>
      </c>
      <c r="R12" s="15">
        <f>芦花古楼!BO6/芦花古楼!$BM$9</f>
        <v>2.100840336134454E-2</v>
      </c>
      <c r="S12" s="15">
        <f>芦花古楼!BP6/芦花古楼!$BM$9</f>
        <v>2.9411764705882353E-2</v>
      </c>
      <c r="T12" s="15">
        <f>芦花古楼!BQ6/芦花古楼!$BM$9</f>
        <v>4.2016806722689079E-2</v>
      </c>
      <c r="U12" s="15">
        <f>芦花古楼!BR6/芦花古楼!$BM$9</f>
        <v>4.2016806722689079E-2</v>
      </c>
      <c r="V12" s="15">
        <f>芦花古楼!BS6/芦花古楼!$BM$9</f>
        <v>4.2016806722689079E-2</v>
      </c>
      <c r="Z12" s="60">
        <v>202</v>
      </c>
      <c r="AA12" s="60">
        <v>4</v>
      </c>
      <c r="AB12" s="60">
        <v>1</v>
      </c>
      <c r="AC12" s="60">
        <v>1606011</v>
      </c>
      <c r="AD12" s="60" t="s">
        <v>622</v>
      </c>
      <c r="AE12" s="60" t="s">
        <v>593</v>
      </c>
      <c r="AF12" s="60" t="str">
        <f t="shared" si="0"/>
        <v>中级神器2配件1-指虎</v>
      </c>
    </row>
    <row r="13" spans="1:45" ht="17.25" x14ac:dyDescent="0.2">
      <c r="A13" s="12" t="s">
        <v>571</v>
      </c>
      <c r="B13" s="12" t="s">
        <v>572</v>
      </c>
      <c r="C13" s="12" t="s">
        <v>573</v>
      </c>
      <c r="D13" s="12" t="s">
        <v>255</v>
      </c>
      <c r="F13" s="59" t="s">
        <v>575</v>
      </c>
      <c r="G13" s="59" t="s">
        <v>99</v>
      </c>
      <c r="H13" s="59" t="s">
        <v>100</v>
      </c>
      <c r="I13" s="59" t="s">
        <v>101</v>
      </c>
      <c r="J13" s="59" t="s">
        <v>102</v>
      </c>
      <c r="K13" s="59" t="s">
        <v>103</v>
      </c>
      <c r="L13" s="59" t="s">
        <v>104</v>
      </c>
      <c r="N13" s="12" t="s">
        <v>572</v>
      </c>
      <c r="O13" s="12" t="s">
        <v>651</v>
      </c>
      <c r="P13" s="59" t="s">
        <v>109</v>
      </c>
      <c r="Q13" s="59" t="s">
        <v>99</v>
      </c>
      <c r="R13" s="59" t="s">
        <v>100</v>
      </c>
      <c r="S13" s="59" t="s">
        <v>101</v>
      </c>
      <c r="T13" s="59" t="s">
        <v>102</v>
      </c>
      <c r="U13" s="59" t="s">
        <v>103</v>
      </c>
      <c r="V13" s="59" t="s">
        <v>104</v>
      </c>
      <c r="Z13" s="60">
        <v>202</v>
      </c>
      <c r="AA13" s="60">
        <v>4</v>
      </c>
      <c r="AB13" s="60">
        <v>2</v>
      </c>
      <c r="AC13" s="60">
        <v>1606012</v>
      </c>
      <c r="AD13" s="60" t="s">
        <v>623</v>
      </c>
      <c r="AE13" s="60" t="s">
        <v>594</v>
      </c>
      <c r="AF13" s="60" t="str">
        <f t="shared" si="0"/>
        <v>中级神器2配件2-手镖</v>
      </c>
      <c r="AI13" s="12" t="s">
        <v>33</v>
      </c>
      <c r="AJ13" s="12" t="s">
        <v>295</v>
      </c>
      <c r="AK13" s="12" t="s">
        <v>576</v>
      </c>
      <c r="AL13" s="12" t="s">
        <v>515</v>
      </c>
      <c r="AM13" s="12" t="s">
        <v>37</v>
      </c>
      <c r="AN13" s="12" t="s">
        <v>577</v>
      </c>
      <c r="AO13" s="12" t="s">
        <v>578</v>
      </c>
      <c r="AP13" s="12" t="s">
        <v>579</v>
      </c>
      <c r="AQ13" s="12" t="s">
        <v>580</v>
      </c>
      <c r="AR13" s="12" t="s">
        <v>652</v>
      </c>
      <c r="AS13" s="12" t="s">
        <v>653</v>
      </c>
    </row>
    <row r="14" spans="1:45" ht="16.5" x14ac:dyDescent="0.2">
      <c r="A14" s="60">
        <v>1</v>
      </c>
      <c r="B14" s="60">
        <v>1</v>
      </c>
      <c r="C14" s="22">
        <f>B14/INDEX($G$5:$G$8,MATCH(A14-1,$E$4:$E$8,1))</f>
        <v>3.0303030303030304E-2</v>
      </c>
      <c r="D14" s="60">
        <f>INT(INDEX($F$5:$F$8,MATCH(A14-1,$E$4:$E$8,1))*C14)</f>
        <v>15934</v>
      </c>
      <c r="F14" s="15">
        <f>INT($D14*F$12/5)*5</f>
        <v>130</v>
      </c>
      <c r="G14" s="15">
        <f t="shared" ref="G14:L29" si="2">INT($D14*G$12/5)*5</f>
        <v>200</v>
      </c>
      <c r="H14" s="15">
        <f t="shared" si="2"/>
        <v>330</v>
      </c>
      <c r="I14" s="15">
        <f t="shared" si="2"/>
        <v>465</v>
      </c>
      <c r="J14" s="15">
        <f t="shared" si="2"/>
        <v>665</v>
      </c>
      <c r="K14" s="15">
        <f t="shared" si="2"/>
        <v>665</v>
      </c>
      <c r="L14" s="15">
        <f t="shared" si="2"/>
        <v>665</v>
      </c>
      <c r="N14">
        <v>1</v>
      </c>
      <c r="O14" s="21">
        <f>N14/O$12</f>
        <v>1.9054927230863579E-3</v>
      </c>
      <c r="P14" s="15">
        <f>INT($O$4*$O14*P$12)</f>
        <v>5</v>
      </c>
      <c r="Q14" s="15">
        <f t="shared" ref="Q14:S29" si="3">INT($O$4*$O14*Q$12)</f>
        <v>7</v>
      </c>
      <c r="R14" s="15">
        <f t="shared" si="3"/>
        <v>13</v>
      </c>
      <c r="S14" s="15">
        <f t="shared" si="3"/>
        <v>18</v>
      </c>
      <c r="T14" s="15">
        <f>INT($O$4*$O14*T$12/5)*5</f>
        <v>25</v>
      </c>
      <c r="U14" s="15">
        <f t="shared" ref="U14:V29" si="4">INT($O$4*$O14*U$12/5)*5</f>
        <v>25</v>
      </c>
      <c r="V14" s="15">
        <f t="shared" si="4"/>
        <v>25</v>
      </c>
      <c r="Z14" s="60">
        <v>202</v>
      </c>
      <c r="AA14" s="60">
        <v>4</v>
      </c>
      <c r="AB14" s="60">
        <v>3</v>
      </c>
      <c r="AC14" s="60">
        <v>1606013</v>
      </c>
      <c r="AD14" s="60" t="s">
        <v>624</v>
      </c>
      <c r="AE14" s="60" t="s">
        <v>595</v>
      </c>
      <c r="AF14" s="60" t="str">
        <f t="shared" si="0"/>
        <v>中级神器2配件3-雷钻</v>
      </c>
      <c r="AI14" s="60">
        <v>1</v>
      </c>
      <c r="AJ14" s="15">
        <f>INDEX($AC$4:$AC$33,INT((AI14-1)/40)+1)</f>
        <v>1606003</v>
      </c>
      <c r="AK14" s="15" t="str">
        <f>INDEX($AF$4:$AF$33,INT((AI14-1)/40)+1)&amp;AL14&amp;AM14</f>
        <v>初级神器1配件1-两仪剑鞘Lvs1</v>
      </c>
      <c r="AL14" s="60" t="s">
        <v>645</v>
      </c>
      <c r="AM14" s="15">
        <f>MOD(AI14-1,40)+1</f>
        <v>1</v>
      </c>
      <c r="AN14" s="15" t="str">
        <f>INDEX($AD$4:$AD$33,INT((AI14-1)/40)+1)</f>
        <v>初级神器1配件1</v>
      </c>
      <c r="AO14" s="15">
        <f>INDEX(芦花古楼!$BX$19:$BX$58,神器!AM14)</f>
        <v>1</v>
      </c>
      <c r="AP14" s="15" t="s">
        <v>88</v>
      </c>
      <c r="AQ14" s="15">
        <f>INDEX($F$14:$L$53,AM14,INDEX($AB$4:$AB$33,INT((AI14-1)/40)+1))</f>
        <v>130</v>
      </c>
      <c r="AR14" s="15" t="s">
        <v>654</v>
      </c>
      <c r="AS14" s="15">
        <f>INDEX($P$14:$V$53,AM14,INDEX($AB$4:$AB$33,INT((AI14-1)/40)+1))</f>
        <v>5</v>
      </c>
    </row>
    <row r="15" spans="1:45" ht="16.5" x14ac:dyDescent="0.2">
      <c r="A15" s="60">
        <v>2</v>
      </c>
      <c r="B15" s="60">
        <v>1.5</v>
      </c>
      <c r="C15" s="22">
        <f t="shared" ref="C15:C53" si="5">B15/INDEX($G$5:$G$8,MATCH(A15-1,$E$4:$E$8,1))</f>
        <v>4.5454545454545456E-2</v>
      </c>
      <c r="D15" s="60">
        <f t="shared" ref="D15:D53" si="6">INT(INDEX($F$5:$F$8,MATCH(A15-1,$E$4:$E$8,1))*C15)</f>
        <v>23901</v>
      </c>
      <c r="F15" s="15">
        <f t="shared" ref="F15:L53" si="7">INT($D15*F$12/5)*5</f>
        <v>200</v>
      </c>
      <c r="G15" s="15">
        <f t="shared" si="2"/>
        <v>300</v>
      </c>
      <c r="H15" s="15">
        <f t="shared" si="2"/>
        <v>500</v>
      </c>
      <c r="I15" s="15">
        <f t="shared" si="2"/>
        <v>700</v>
      </c>
      <c r="J15" s="15">
        <f t="shared" si="2"/>
        <v>1000</v>
      </c>
      <c r="K15" s="15">
        <f t="shared" si="2"/>
        <v>1000</v>
      </c>
      <c r="L15" s="15">
        <f t="shared" si="2"/>
        <v>1000</v>
      </c>
      <c r="N15" s="15">
        <f t="shared" ref="N15:N53" si="8">N14*N$11+N$12</f>
        <v>1.3</v>
      </c>
      <c r="O15" s="21">
        <f t="shared" ref="O15:O53" si="9">N15/O$12</f>
        <v>2.4771405400122654E-3</v>
      </c>
      <c r="P15" s="15">
        <f t="shared" ref="P15:S53" si="10">INT($O$4*$O15*P$12)</f>
        <v>6</v>
      </c>
      <c r="Q15" s="15">
        <f t="shared" si="3"/>
        <v>10</v>
      </c>
      <c r="R15" s="15">
        <f t="shared" si="3"/>
        <v>17</v>
      </c>
      <c r="S15" s="15">
        <f t="shared" si="3"/>
        <v>24</v>
      </c>
      <c r="T15" s="15">
        <f t="shared" ref="T15:V53" si="11">INT($O$4*$O15*T$12/5)*5</f>
        <v>30</v>
      </c>
      <c r="U15" s="15">
        <f t="shared" si="4"/>
        <v>30</v>
      </c>
      <c r="V15" s="15">
        <f t="shared" si="4"/>
        <v>30</v>
      </c>
      <c r="Z15" s="60">
        <v>202</v>
      </c>
      <c r="AA15" s="60">
        <v>4</v>
      </c>
      <c r="AB15" s="60">
        <v>4</v>
      </c>
      <c r="AC15" s="60">
        <v>1606014</v>
      </c>
      <c r="AD15" s="60" t="s">
        <v>625</v>
      </c>
      <c r="AE15" s="60" t="s">
        <v>596</v>
      </c>
      <c r="AF15" s="60" t="str">
        <f t="shared" si="0"/>
        <v>中级神器2配件4-臂刃</v>
      </c>
      <c r="AI15" s="60">
        <v>2</v>
      </c>
      <c r="AJ15" s="15">
        <f t="shared" ref="AJ15:AJ78" si="12">INDEX($AC$4:$AC$33,INT((AI15-1)/40)+1)</f>
        <v>1606003</v>
      </c>
      <c r="AK15" s="15" t="str">
        <f t="shared" ref="AK15:AK78" si="13">INDEX($AF$4:$AF$33,INT((AI15-1)/40)+1)&amp;AL15&amp;AM15</f>
        <v>初级神器1配件1-两仪剑鞘Lvs2</v>
      </c>
      <c r="AL15" s="60" t="s">
        <v>645</v>
      </c>
      <c r="AM15" s="15">
        <f t="shared" ref="AM15:AM78" si="14">MOD(AI15-1,40)+1</f>
        <v>2</v>
      </c>
      <c r="AN15" s="15" t="str">
        <f t="shared" ref="AN15:AN78" si="15">INDEX($AD$4:$AD$33,INT((AI15-1)/40)+1)</f>
        <v>初级神器1配件1</v>
      </c>
      <c r="AO15" s="15">
        <f>INDEX(芦花古楼!$BX$19:$BX$58,神器!AM15)</f>
        <v>1</v>
      </c>
      <c r="AP15" s="15" t="s">
        <v>88</v>
      </c>
      <c r="AQ15" s="15">
        <f t="shared" ref="AQ15:AQ78" si="16">INDEX($F$14:$L$53,AM15,INDEX($AB$4:$AB$33,INT((AI15-1)/40)+1))</f>
        <v>200</v>
      </c>
      <c r="AR15" s="15" t="s">
        <v>654</v>
      </c>
      <c r="AS15" s="15">
        <f t="shared" ref="AS15:AS78" si="17">INDEX($P$14:$V$53,AM15,INDEX($AB$4:$AB$33,INT((AI15-1)/40)+1))</f>
        <v>6</v>
      </c>
    </row>
    <row r="16" spans="1:45" ht="16.5" x14ac:dyDescent="0.2">
      <c r="A16" s="60">
        <v>3</v>
      </c>
      <c r="B16" s="60">
        <v>2</v>
      </c>
      <c r="C16" s="22">
        <f t="shared" si="5"/>
        <v>6.0606060606060608E-2</v>
      </c>
      <c r="D16" s="60">
        <f t="shared" si="6"/>
        <v>31868</v>
      </c>
      <c r="F16" s="15">
        <f t="shared" si="7"/>
        <v>265</v>
      </c>
      <c r="G16" s="15">
        <f t="shared" si="2"/>
        <v>400</v>
      </c>
      <c r="H16" s="15">
        <f t="shared" si="2"/>
        <v>665</v>
      </c>
      <c r="I16" s="15">
        <f t="shared" si="2"/>
        <v>935</v>
      </c>
      <c r="J16" s="15">
        <f t="shared" si="2"/>
        <v>1335</v>
      </c>
      <c r="K16" s="15">
        <f t="shared" si="2"/>
        <v>1335</v>
      </c>
      <c r="L16" s="15">
        <f t="shared" si="2"/>
        <v>1335</v>
      </c>
      <c r="N16" s="15">
        <f t="shared" si="8"/>
        <v>1.6150000000000002</v>
      </c>
      <c r="O16" s="21">
        <f t="shared" si="9"/>
        <v>3.0773707477844687E-3</v>
      </c>
      <c r="P16" s="15">
        <f t="shared" si="10"/>
        <v>8</v>
      </c>
      <c r="Q16" s="15">
        <f t="shared" si="3"/>
        <v>12</v>
      </c>
      <c r="R16" s="15">
        <f t="shared" si="3"/>
        <v>21</v>
      </c>
      <c r="S16" s="15">
        <f t="shared" si="3"/>
        <v>29</v>
      </c>
      <c r="T16" s="15">
        <f t="shared" si="11"/>
        <v>40</v>
      </c>
      <c r="U16" s="15">
        <f t="shared" si="4"/>
        <v>40</v>
      </c>
      <c r="V16" s="15">
        <f t="shared" si="4"/>
        <v>40</v>
      </c>
      <c r="Z16" s="60">
        <v>301</v>
      </c>
      <c r="AA16" s="60">
        <v>5</v>
      </c>
      <c r="AB16" s="60">
        <v>1</v>
      </c>
      <c r="AC16" s="60">
        <v>1606015</v>
      </c>
      <c r="AD16" s="60" t="s">
        <v>626</v>
      </c>
      <c r="AE16" s="60" t="s">
        <v>597</v>
      </c>
      <c r="AF16" s="60" t="str">
        <f t="shared" si="0"/>
        <v>高级神器1配件1-鬼王咒</v>
      </c>
      <c r="AI16" s="60">
        <v>3</v>
      </c>
      <c r="AJ16" s="15">
        <f t="shared" si="12"/>
        <v>1606003</v>
      </c>
      <c r="AK16" s="15" t="str">
        <f t="shared" si="13"/>
        <v>初级神器1配件1-两仪剑鞘Lvs3</v>
      </c>
      <c r="AL16" s="60" t="s">
        <v>645</v>
      </c>
      <c r="AM16" s="15">
        <f t="shared" si="14"/>
        <v>3</v>
      </c>
      <c r="AN16" s="15" t="str">
        <f t="shared" si="15"/>
        <v>初级神器1配件1</v>
      </c>
      <c r="AO16" s="15">
        <f>INDEX(芦花古楼!$BX$19:$BX$58,神器!AM16)</f>
        <v>2</v>
      </c>
      <c r="AP16" s="15" t="s">
        <v>88</v>
      </c>
      <c r="AQ16" s="15">
        <f t="shared" si="16"/>
        <v>265</v>
      </c>
      <c r="AR16" s="15" t="s">
        <v>654</v>
      </c>
      <c r="AS16" s="15">
        <f t="shared" si="17"/>
        <v>8</v>
      </c>
    </row>
    <row r="17" spans="1:45" ht="16.5" x14ac:dyDescent="0.2">
      <c r="A17" s="60">
        <v>4</v>
      </c>
      <c r="B17" s="60">
        <v>2.5</v>
      </c>
      <c r="C17" s="22">
        <f t="shared" si="5"/>
        <v>7.575757575757576E-2</v>
      </c>
      <c r="D17" s="60">
        <f t="shared" si="6"/>
        <v>39836</v>
      </c>
      <c r="F17" s="15">
        <f t="shared" si="7"/>
        <v>330</v>
      </c>
      <c r="G17" s="15">
        <f t="shared" si="2"/>
        <v>500</v>
      </c>
      <c r="H17" s="15">
        <f t="shared" si="2"/>
        <v>835</v>
      </c>
      <c r="I17" s="15">
        <f t="shared" si="2"/>
        <v>1170</v>
      </c>
      <c r="J17" s="15">
        <f t="shared" si="2"/>
        <v>1670</v>
      </c>
      <c r="K17" s="15">
        <f t="shared" si="2"/>
        <v>1670</v>
      </c>
      <c r="L17" s="15">
        <f t="shared" si="2"/>
        <v>1670</v>
      </c>
      <c r="N17" s="15">
        <f t="shared" si="8"/>
        <v>1.9457500000000003</v>
      </c>
      <c r="O17" s="21">
        <f t="shared" si="9"/>
        <v>3.7076124659452818E-3</v>
      </c>
      <c r="P17" s="15">
        <f t="shared" si="10"/>
        <v>10</v>
      </c>
      <c r="Q17" s="15">
        <f t="shared" si="3"/>
        <v>15</v>
      </c>
      <c r="R17" s="15">
        <f t="shared" si="3"/>
        <v>25</v>
      </c>
      <c r="S17" s="15">
        <f t="shared" si="3"/>
        <v>36</v>
      </c>
      <c r="T17" s="15">
        <f t="shared" si="11"/>
        <v>50</v>
      </c>
      <c r="U17" s="15">
        <f t="shared" si="4"/>
        <v>50</v>
      </c>
      <c r="V17" s="15">
        <f t="shared" si="4"/>
        <v>50</v>
      </c>
      <c r="Z17" s="60">
        <v>301</v>
      </c>
      <c r="AA17" s="60">
        <v>5</v>
      </c>
      <c r="AB17" s="60">
        <v>2</v>
      </c>
      <c r="AC17" s="60">
        <v>1606016</v>
      </c>
      <c r="AD17" s="60" t="s">
        <v>627</v>
      </c>
      <c r="AE17" s="60" t="s">
        <v>598</v>
      </c>
      <c r="AF17" s="60" t="str">
        <f t="shared" si="0"/>
        <v>高级神器1配件2-虎獠</v>
      </c>
      <c r="AI17" s="60">
        <v>4</v>
      </c>
      <c r="AJ17" s="15">
        <f t="shared" si="12"/>
        <v>1606003</v>
      </c>
      <c r="AK17" s="15" t="str">
        <f t="shared" si="13"/>
        <v>初级神器1配件1-两仪剑鞘Lvs4</v>
      </c>
      <c r="AL17" s="60" t="s">
        <v>645</v>
      </c>
      <c r="AM17" s="15">
        <f t="shared" si="14"/>
        <v>4</v>
      </c>
      <c r="AN17" s="15" t="str">
        <f t="shared" si="15"/>
        <v>初级神器1配件1</v>
      </c>
      <c r="AO17" s="15">
        <f>INDEX(芦花古楼!$BX$19:$BX$58,神器!AM17)</f>
        <v>3</v>
      </c>
      <c r="AP17" s="15" t="s">
        <v>88</v>
      </c>
      <c r="AQ17" s="15">
        <f t="shared" si="16"/>
        <v>330</v>
      </c>
      <c r="AR17" s="15" t="s">
        <v>654</v>
      </c>
      <c r="AS17" s="15">
        <f t="shared" si="17"/>
        <v>10</v>
      </c>
    </row>
    <row r="18" spans="1:45" ht="16.5" x14ac:dyDescent="0.2">
      <c r="A18" s="60">
        <v>5</v>
      </c>
      <c r="B18" s="60">
        <v>3</v>
      </c>
      <c r="C18" s="22">
        <f t="shared" si="5"/>
        <v>9.0909090909090912E-2</v>
      </c>
      <c r="D18" s="60">
        <f t="shared" si="6"/>
        <v>47803</v>
      </c>
      <c r="F18" s="15">
        <f t="shared" si="7"/>
        <v>400</v>
      </c>
      <c r="G18" s="15">
        <f t="shared" si="2"/>
        <v>600</v>
      </c>
      <c r="H18" s="15">
        <f t="shared" si="2"/>
        <v>1000</v>
      </c>
      <c r="I18" s="15">
        <f t="shared" si="2"/>
        <v>1405</v>
      </c>
      <c r="J18" s="15">
        <f t="shared" si="2"/>
        <v>2005</v>
      </c>
      <c r="K18" s="15">
        <f t="shared" si="2"/>
        <v>2005</v>
      </c>
      <c r="L18" s="15">
        <f t="shared" si="2"/>
        <v>2005</v>
      </c>
      <c r="N18" s="15">
        <f t="shared" si="8"/>
        <v>2.2930375000000005</v>
      </c>
      <c r="O18" s="21">
        <f t="shared" si="9"/>
        <v>4.3693662700141356E-3</v>
      </c>
      <c r="P18" s="15">
        <f t="shared" si="10"/>
        <v>12</v>
      </c>
      <c r="Q18" s="15">
        <f t="shared" si="3"/>
        <v>18</v>
      </c>
      <c r="R18" s="15">
        <f t="shared" si="3"/>
        <v>30</v>
      </c>
      <c r="S18" s="15">
        <f t="shared" si="3"/>
        <v>42</v>
      </c>
      <c r="T18" s="15">
        <f t="shared" si="11"/>
        <v>60</v>
      </c>
      <c r="U18" s="15">
        <f t="shared" si="4"/>
        <v>60</v>
      </c>
      <c r="V18" s="15">
        <f t="shared" si="4"/>
        <v>60</v>
      </c>
      <c r="Z18" s="60">
        <v>301</v>
      </c>
      <c r="AA18" s="60">
        <v>5</v>
      </c>
      <c r="AB18" s="60">
        <v>3</v>
      </c>
      <c r="AC18" s="60">
        <v>1606017</v>
      </c>
      <c r="AD18" s="60" t="s">
        <v>628</v>
      </c>
      <c r="AE18" s="60" t="s">
        <v>599</v>
      </c>
      <c r="AF18" s="60" t="str">
        <f t="shared" si="0"/>
        <v>高级神器1配件3-阎王炮</v>
      </c>
      <c r="AI18" s="60">
        <v>5</v>
      </c>
      <c r="AJ18" s="15">
        <f t="shared" si="12"/>
        <v>1606003</v>
      </c>
      <c r="AK18" s="15" t="str">
        <f t="shared" si="13"/>
        <v>初级神器1配件1-两仪剑鞘Lvs5</v>
      </c>
      <c r="AL18" s="60" t="s">
        <v>645</v>
      </c>
      <c r="AM18" s="15">
        <f t="shared" si="14"/>
        <v>5</v>
      </c>
      <c r="AN18" s="15" t="str">
        <f t="shared" si="15"/>
        <v>初级神器1配件1</v>
      </c>
      <c r="AO18" s="15">
        <f>INDEX(芦花古楼!$BX$19:$BX$58,神器!AM18)</f>
        <v>3</v>
      </c>
      <c r="AP18" s="15" t="s">
        <v>88</v>
      </c>
      <c r="AQ18" s="15">
        <f t="shared" si="16"/>
        <v>400</v>
      </c>
      <c r="AR18" s="15" t="s">
        <v>654</v>
      </c>
      <c r="AS18" s="15">
        <f t="shared" si="17"/>
        <v>12</v>
      </c>
    </row>
    <row r="19" spans="1:45" ht="16.5" x14ac:dyDescent="0.2">
      <c r="A19" s="60">
        <v>6</v>
      </c>
      <c r="B19" s="60">
        <v>3.5</v>
      </c>
      <c r="C19" s="22">
        <f t="shared" si="5"/>
        <v>0.10606060606060606</v>
      </c>
      <c r="D19" s="60">
        <f t="shared" si="6"/>
        <v>55770</v>
      </c>
      <c r="F19" s="15">
        <f t="shared" si="7"/>
        <v>465</v>
      </c>
      <c r="G19" s="15">
        <f t="shared" si="2"/>
        <v>700</v>
      </c>
      <c r="H19" s="15">
        <f t="shared" si="2"/>
        <v>1170</v>
      </c>
      <c r="I19" s="15">
        <f t="shared" si="2"/>
        <v>1640</v>
      </c>
      <c r="J19" s="15">
        <f t="shared" si="2"/>
        <v>2340</v>
      </c>
      <c r="K19" s="15">
        <f t="shared" si="2"/>
        <v>2340</v>
      </c>
      <c r="L19" s="15">
        <f t="shared" si="2"/>
        <v>2340</v>
      </c>
      <c r="N19" s="15">
        <f t="shared" si="8"/>
        <v>2.6576893750000008</v>
      </c>
      <c r="O19" s="21">
        <f t="shared" si="9"/>
        <v>5.0642077642864321E-3</v>
      </c>
      <c r="P19" s="15">
        <f t="shared" si="10"/>
        <v>14</v>
      </c>
      <c r="Q19" s="15">
        <f t="shared" si="3"/>
        <v>21</v>
      </c>
      <c r="R19" s="15">
        <f t="shared" si="3"/>
        <v>35</v>
      </c>
      <c r="S19" s="15">
        <f t="shared" si="3"/>
        <v>49</v>
      </c>
      <c r="T19" s="15">
        <f t="shared" si="11"/>
        <v>70</v>
      </c>
      <c r="U19" s="15">
        <f t="shared" si="4"/>
        <v>70</v>
      </c>
      <c r="V19" s="15">
        <f t="shared" si="4"/>
        <v>70</v>
      </c>
      <c r="Z19" s="60">
        <v>301</v>
      </c>
      <c r="AA19" s="60">
        <v>5</v>
      </c>
      <c r="AB19" s="60">
        <v>4</v>
      </c>
      <c r="AC19" s="60">
        <v>1606018</v>
      </c>
      <c r="AD19" s="60" t="s">
        <v>629</v>
      </c>
      <c r="AE19" s="60" t="s">
        <v>600</v>
      </c>
      <c r="AF19" s="60" t="str">
        <f t="shared" si="0"/>
        <v>高级神器1配件4-狱火锤</v>
      </c>
      <c r="AI19" s="60">
        <v>6</v>
      </c>
      <c r="AJ19" s="15">
        <f t="shared" si="12"/>
        <v>1606003</v>
      </c>
      <c r="AK19" s="15" t="str">
        <f t="shared" si="13"/>
        <v>初级神器1配件1-两仪剑鞘Lvs6</v>
      </c>
      <c r="AL19" s="60" t="s">
        <v>645</v>
      </c>
      <c r="AM19" s="15">
        <f t="shared" si="14"/>
        <v>6</v>
      </c>
      <c r="AN19" s="15" t="str">
        <f t="shared" si="15"/>
        <v>初级神器1配件1</v>
      </c>
      <c r="AO19" s="15">
        <f>INDEX(芦花古楼!$BX$19:$BX$58,神器!AM19)</f>
        <v>5</v>
      </c>
      <c r="AP19" s="15" t="s">
        <v>88</v>
      </c>
      <c r="AQ19" s="15">
        <f t="shared" si="16"/>
        <v>465</v>
      </c>
      <c r="AR19" s="15" t="s">
        <v>654</v>
      </c>
      <c r="AS19" s="15">
        <f t="shared" si="17"/>
        <v>14</v>
      </c>
    </row>
    <row r="20" spans="1:45" ht="16.5" x14ac:dyDescent="0.2">
      <c r="A20" s="60">
        <v>7</v>
      </c>
      <c r="B20" s="60">
        <v>4</v>
      </c>
      <c r="C20" s="22">
        <f t="shared" si="5"/>
        <v>0.12121212121212122</v>
      </c>
      <c r="D20" s="60">
        <f t="shared" si="6"/>
        <v>63737</v>
      </c>
      <c r="F20" s="15">
        <f t="shared" si="7"/>
        <v>535</v>
      </c>
      <c r="G20" s="15">
        <f t="shared" si="2"/>
        <v>800</v>
      </c>
      <c r="H20" s="15">
        <f t="shared" si="2"/>
        <v>1335</v>
      </c>
      <c r="I20" s="15">
        <f t="shared" si="2"/>
        <v>1870</v>
      </c>
      <c r="J20" s="15">
        <f t="shared" si="2"/>
        <v>2675</v>
      </c>
      <c r="K20" s="15">
        <f t="shared" si="2"/>
        <v>2675</v>
      </c>
      <c r="L20" s="15">
        <f t="shared" si="2"/>
        <v>2675</v>
      </c>
      <c r="N20" s="15">
        <f t="shared" si="8"/>
        <v>3.0405738437500012</v>
      </c>
      <c r="O20" s="21">
        <f t="shared" si="9"/>
        <v>5.7937913332723441E-3</v>
      </c>
      <c r="P20" s="15">
        <f t="shared" si="10"/>
        <v>16</v>
      </c>
      <c r="Q20" s="15">
        <f t="shared" si="3"/>
        <v>24</v>
      </c>
      <c r="R20" s="15">
        <f t="shared" si="3"/>
        <v>40</v>
      </c>
      <c r="S20" s="15">
        <f t="shared" si="3"/>
        <v>56</v>
      </c>
      <c r="T20" s="15">
        <f t="shared" si="11"/>
        <v>80</v>
      </c>
      <c r="U20" s="15">
        <f t="shared" si="4"/>
        <v>80</v>
      </c>
      <c r="V20" s="15">
        <f t="shared" si="4"/>
        <v>80</v>
      </c>
      <c r="Z20" s="60">
        <v>301</v>
      </c>
      <c r="AA20" s="60">
        <v>5</v>
      </c>
      <c r="AB20" s="60">
        <v>5</v>
      </c>
      <c r="AC20" s="60">
        <v>1606019</v>
      </c>
      <c r="AD20" s="60" t="s">
        <v>630</v>
      </c>
      <c r="AE20" s="60" t="s">
        <v>601</v>
      </c>
      <c r="AF20" s="60" t="str">
        <f t="shared" si="0"/>
        <v>高级神器1配件5-魔骨</v>
      </c>
      <c r="AI20" s="60">
        <v>7</v>
      </c>
      <c r="AJ20" s="15">
        <f t="shared" si="12"/>
        <v>1606003</v>
      </c>
      <c r="AK20" s="15" t="str">
        <f t="shared" si="13"/>
        <v>初级神器1配件1-两仪剑鞘Lvs7</v>
      </c>
      <c r="AL20" s="60" t="s">
        <v>645</v>
      </c>
      <c r="AM20" s="15">
        <f t="shared" si="14"/>
        <v>7</v>
      </c>
      <c r="AN20" s="15" t="str">
        <f t="shared" si="15"/>
        <v>初级神器1配件1</v>
      </c>
      <c r="AO20" s="15">
        <f>INDEX(芦花古楼!$BX$19:$BX$58,神器!AM20)</f>
        <v>5</v>
      </c>
      <c r="AP20" s="15" t="s">
        <v>88</v>
      </c>
      <c r="AQ20" s="15">
        <f t="shared" si="16"/>
        <v>535</v>
      </c>
      <c r="AR20" s="15" t="s">
        <v>654</v>
      </c>
      <c r="AS20" s="15">
        <f t="shared" si="17"/>
        <v>16</v>
      </c>
    </row>
    <row r="21" spans="1:45" ht="16.5" x14ac:dyDescent="0.2">
      <c r="A21" s="60">
        <v>8</v>
      </c>
      <c r="B21" s="60">
        <v>4.5</v>
      </c>
      <c r="C21" s="22">
        <f t="shared" si="5"/>
        <v>0.13636363636363635</v>
      </c>
      <c r="D21" s="60">
        <f t="shared" si="6"/>
        <v>71705</v>
      </c>
      <c r="F21" s="15">
        <f t="shared" si="7"/>
        <v>600</v>
      </c>
      <c r="G21" s="15">
        <f t="shared" si="2"/>
        <v>900</v>
      </c>
      <c r="H21" s="15">
        <f t="shared" si="2"/>
        <v>1505</v>
      </c>
      <c r="I21" s="15">
        <f t="shared" si="2"/>
        <v>2105</v>
      </c>
      <c r="J21" s="15">
        <f t="shared" si="2"/>
        <v>3010</v>
      </c>
      <c r="K21" s="15">
        <f t="shared" si="2"/>
        <v>3010</v>
      </c>
      <c r="L21" s="15">
        <f t="shared" si="2"/>
        <v>3010</v>
      </c>
      <c r="N21" s="15">
        <f t="shared" si="8"/>
        <v>3.4426025359375014</v>
      </c>
      <c r="O21" s="21">
        <f t="shared" si="9"/>
        <v>6.5598540807075513E-3</v>
      </c>
      <c r="P21" s="15">
        <f t="shared" si="10"/>
        <v>18</v>
      </c>
      <c r="Q21" s="15">
        <f t="shared" si="3"/>
        <v>27</v>
      </c>
      <c r="R21" s="15">
        <f t="shared" si="3"/>
        <v>45</v>
      </c>
      <c r="S21" s="15">
        <f t="shared" si="3"/>
        <v>63</v>
      </c>
      <c r="T21" s="15">
        <f t="shared" si="11"/>
        <v>90</v>
      </c>
      <c r="U21" s="15">
        <f t="shared" si="4"/>
        <v>90</v>
      </c>
      <c r="V21" s="15">
        <f t="shared" si="4"/>
        <v>90</v>
      </c>
      <c r="Z21" s="60">
        <v>301</v>
      </c>
      <c r="AA21" s="60">
        <v>5</v>
      </c>
      <c r="AB21" s="60">
        <v>6</v>
      </c>
      <c r="AC21" s="60">
        <v>1606020</v>
      </c>
      <c r="AD21" s="60" t="s">
        <v>631</v>
      </c>
      <c r="AE21" s="60" t="s">
        <v>602</v>
      </c>
      <c r="AF21" s="60" t="str">
        <f t="shared" si="0"/>
        <v>高级神器1配件6-封魔匣</v>
      </c>
      <c r="AI21" s="60">
        <v>8</v>
      </c>
      <c r="AJ21" s="15">
        <f t="shared" si="12"/>
        <v>1606003</v>
      </c>
      <c r="AK21" s="15" t="str">
        <f t="shared" si="13"/>
        <v>初级神器1配件1-两仪剑鞘Lvs8</v>
      </c>
      <c r="AL21" s="60" t="s">
        <v>645</v>
      </c>
      <c r="AM21" s="15">
        <f t="shared" si="14"/>
        <v>8</v>
      </c>
      <c r="AN21" s="15" t="str">
        <f t="shared" si="15"/>
        <v>初级神器1配件1</v>
      </c>
      <c r="AO21" s="15">
        <f>INDEX(芦花古楼!$BX$19:$BX$58,神器!AM21)</f>
        <v>5</v>
      </c>
      <c r="AP21" s="15" t="s">
        <v>88</v>
      </c>
      <c r="AQ21" s="15">
        <f t="shared" si="16"/>
        <v>600</v>
      </c>
      <c r="AR21" s="15" t="s">
        <v>654</v>
      </c>
      <c r="AS21" s="15">
        <f t="shared" si="17"/>
        <v>18</v>
      </c>
    </row>
    <row r="22" spans="1:45" ht="16.5" x14ac:dyDescent="0.2">
      <c r="A22" s="60">
        <v>9</v>
      </c>
      <c r="B22" s="60">
        <v>5</v>
      </c>
      <c r="C22" s="22">
        <f t="shared" si="5"/>
        <v>0.15151515151515152</v>
      </c>
      <c r="D22" s="60">
        <f t="shared" si="6"/>
        <v>79672</v>
      </c>
      <c r="F22" s="15">
        <f t="shared" si="7"/>
        <v>665</v>
      </c>
      <c r="G22" s="15">
        <f t="shared" si="2"/>
        <v>1000</v>
      </c>
      <c r="H22" s="15">
        <f t="shared" si="2"/>
        <v>1670</v>
      </c>
      <c r="I22" s="15">
        <f t="shared" si="2"/>
        <v>2340</v>
      </c>
      <c r="J22" s="15">
        <f t="shared" si="2"/>
        <v>3345</v>
      </c>
      <c r="K22" s="15">
        <f t="shared" si="2"/>
        <v>3345</v>
      </c>
      <c r="L22" s="15">
        <f t="shared" si="2"/>
        <v>3345</v>
      </c>
      <c r="N22" s="15">
        <f t="shared" si="8"/>
        <v>3.8647326627343768</v>
      </c>
      <c r="O22" s="21">
        <f t="shared" si="9"/>
        <v>7.364219965514519E-3</v>
      </c>
      <c r="P22" s="15">
        <f t="shared" si="10"/>
        <v>20</v>
      </c>
      <c r="Q22" s="15">
        <f t="shared" si="3"/>
        <v>30</v>
      </c>
      <c r="R22" s="15">
        <f t="shared" si="3"/>
        <v>51</v>
      </c>
      <c r="S22" s="15">
        <f t="shared" si="3"/>
        <v>71</v>
      </c>
      <c r="T22" s="15">
        <f t="shared" si="11"/>
        <v>100</v>
      </c>
      <c r="U22" s="15">
        <f t="shared" si="4"/>
        <v>100</v>
      </c>
      <c r="V22" s="15">
        <f t="shared" si="4"/>
        <v>100</v>
      </c>
      <c r="Z22" s="60">
        <v>302</v>
      </c>
      <c r="AA22" s="60">
        <v>6</v>
      </c>
      <c r="AB22" s="60">
        <v>1</v>
      </c>
      <c r="AC22" s="60">
        <v>1606021</v>
      </c>
      <c r="AD22" s="60" t="s">
        <v>632</v>
      </c>
      <c r="AE22" s="60" t="s">
        <v>603</v>
      </c>
      <c r="AF22" s="60" t="str">
        <f t="shared" si="0"/>
        <v>高级神器2配件1-龙雀刀鞘</v>
      </c>
      <c r="AI22" s="60">
        <v>9</v>
      </c>
      <c r="AJ22" s="15">
        <f t="shared" si="12"/>
        <v>1606003</v>
      </c>
      <c r="AK22" s="15" t="str">
        <f t="shared" si="13"/>
        <v>初级神器1配件1-两仪剑鞘Lvs9</v>
      </c>
      <c r="AL22" s="60" t="s">
        <v>645</v>
      </c>
      <c r="AM22" s="15">
        <f t="shared" si="14"/>
        <v>9</v>
      </c>
      <c r="AN22" s="15" t="str">
        <f t="shared" si="15"/>
        <v>初级神器1配件1</v>
      </c>
      <c r="AO22" s="15">
        <f>INDEX(芦花古楼!$BX$19:$BX$58,神器!AM22)</f>
        <v>5</v>
      </c>
      <c r="AP22" s="15" t="s">
        <v>88</v>
      </c>
      <c r="AQ22" s="15">
        <f t="shared" si="16"/>
        <v>665</v>
      </c>
      <c r="AR22" s="15" t="s">
        <v>654</v>
      </c>
      <c r="AS22" s="15">
        <f t="shared" si="17"/>
        <v>20</v>
      </c>
    </row>
    <row r="23" spans="1:45" ht="16.5" x14ac:dyDescent="0.2">
      <c r="A23" s="60">
        <v>10</v>
      </c>
      <c r="B23" s="60">
        <v>6</v>
      </c>
      <c r="C23" s="22">
        <f t="shared" si="5"/>
        <v>0.18181818181818182</v>
      </c>
      <c r="D23" s="60">
        <f t="shared" si="6"/>
        <v>95606</v>
      </c>
      <c r="F23" s="15">
        <f t="shared" si="7"/>
        <v>800</v>
      </c>
      <c r="G23" s="15">
        <f t="shared" si="2"/>
        <v>1205</v>
      </c>
      <c r="H23" s="15">
        <f t="shared" si="2"/>
        <v>2005</v>
      </c>
      <c r="I23" s="15">
        <f t="shared" si="2"/>
        <v>2810</v>
      </c>
      <c r="J23" s="15">
        <f t="shared" si="2"/>
        <v>4015</v>
      </c>
      <c r="K23" s="15">
        <f t="shared" si="2"/>
        <v>4015</v>
      </c>
      <c r="L23" s="15">
        <f t="shared" si="2"/>
        <v>4015</v>
      </c>
      <c r="N23" s="15">
        <f t="shared" si="8"/>
        <v>4.3079692958710956</v>
      </c>
      <c r="O23" s="21">
        <f t="shared" si="9"/>
        <v>8.2088041445618348E-3</v>
      </c>
      <c r="P23" s="15">
        <f t="shared" si="10"/>
        <v>22</v>
      </c>
      <c r="Q23" s="15">
        <f t="shared" si="3"/>
        <v>34</v>
      </c>
      <c r="R23" s="15">
        <f t="shared" si="3"/>
        <v>56</v>
      </c>
      <c r="S23" s="15">
        <f t="shared" si="3"/>
        <v>79</v>
      </c>
      <c r="T23" s="15">
        <f t="shared" si="11"/>
        <v>110</v>
      </c>
      <c r="U23" s="15">
        <f t="shared" si="4"/>
        <v>110</v>
      </c>
      <c r="V23" s="15">
        <f t="shared" si="4"/>
        <v>110</v>
      </c>
      <c r="Z23" s="60">
        <v>302</v>
      </c>
      <c r="AA23" s="60">
        <v>6</v>
      </c>
      <c r="AB23" s="60">
        <v>2</v>
      </c>
      <c r="AC23" s="60">
        <v>1606022</v>
      </c>
      <c r="AD23" s="60" t="s">
        <v>633</v>
      </c>
      <c r="AE23" s="60" t="s">
        <v>604</v>
      </c>
      <c r="AF23" s="60" t="str">
        <f t="shared" si="0"/>
        <v>高级神器2配件2-雀环</v>
      </c>
      <c r="AI23" s="60">
        <v>10</v>
      </c>
      <c r="AJ23" s="15">
        <f t="shared" si="12"/>
        <v>1606003</v>
      </c>
      <c r="AK23" s="15" t="str">
        <f t="shared" si="13"/>
        <v>初级神器1配件1-两仪剑鞘Lvs10</v>
      </c>
      <c r="AL23" s="60" t="s">
        <v>645</v>
      </c>
      <c r="AM23" s="15">
        <f t="shared" si="14"/>
        <v>10</v>
      </c>
      <c r="AN23" s="15" t="str">
        <f t="shared" si="15"/>
        <v>初级神器1配件1</v>
      </c>
      <c r="AO23" s="15">
        <f>INDEX(芦花古楼!$BX$19:$BX$58,神器!AM23)</f>
        <v>7</v>
      </c>
      <c r="AP23" s="15" t="s">
        <v>88</v>
      </c>
      <c r="AQ23" s="15">
        <f t="shared" si="16"/>
        <v>800</v>
      </c>
      <c r="AR23" s="15" t="s">
        <v>654</v>
      </c>
      <c r="AS23" s="15">
        <f t="shared" si="17"/>
        <v>22</v>
      </c>
    </row>
    <row r="24" spans="1:45" ht="16.5" x14ac:dyDescent="0.2">
      <c r="A24" s="60">
        <v>11</v>
      </c>
      <c r="B24" s="60">
        <v>3</v>
      </c>
      <c r="C24" s="22">
        <f t="shared" si="5"/>
        <v>5.6603773584905662E-2</v>
      </c>
      <c r="D24" s="60">
        <f t="shared" si="6"/>
        <v>119986</v>
      </c>
      <c r="F24" s="15">
        <f t="shared" si="7"/>
        <v>1005</v>
      </c>
      <c r="G24" s="15">
        <f t="shared" si="2"/>
        <v>1510</v>
      </c>
      <c r="H24" s="15">
        <f t="shared" si="2"/>
        <v>2520</v>
      </c>
      <c r="I24" s="15">
        <f t="shared" si="2"/>
        <v>3525</v>
      </c>
      <c r="J24" s="15">
        <f t="shared" si="2"/>
        <v>5040</v>
      </c>
      <c r="K24" s="15">
        <f t="shared" si="2"/>
        <v>5040</v>
      </c>
      <c r="L24" s="15">
        <f t="shared" si="2"/>
        <v>5040</v>
      </c>
      <c r="N24" s="15">
        <f t="shared" si="8"/>
        <v>4.7733677606646507</v>
      </c>
      <c r="O24" s="21">
        <f t="shared" si="9"/>
        <v>9.095617532561516E-3</v>
      </c>
      <c r="P24" s="15">
        <f t="shared" si="10"/>
        <v>25</v>
      </c>
      <c r="Q24" s="15">
        <f t="shared" si="3"/>
        <v>37</v>
      </c>
      <c r="R24" s="15">
        <f t="shared" si="3"/>
        <v>63</v>
      </c>
      <c r="S24" s="15">
        <f t="shared" si="3"/>
        <v>88</v>
      </c>
      <c r="T24" s="15">
        <f t="shared" si="11"/>
        <v>125</v>
      </c>
      <c r="U24" s="15">
        <f t="shared" si="4"/>
        <v>125</v>
      </c>
      <c r="V24" s="15">
        <f t="shared" si="4"/>
        <v>125</v>
      </c>
      <c r="Z24" s="60">
        <v>302</v>
      </c>
      <c r="AA24" s="60">
        <v>6</v>
      </c>
      <c r="AB24" s="60">
        <v>3</v>
      </c>
      <c r="AC24" s="60">
        <v>1606023</v>
      </c>
      <c r="AD24" s="60" t="s">
        <v>634</v>
      </c>
      <c r="AE24" s="60" t="s">
        <v>605</v>
      </c>
      <c r="AF24" s="60" t="str">
        <f t="shared" si="0"/>
        <v>高级神器2配件3-龙印</v>
      </c>
      <c r="AI24" s="60">
        <v>11</v>
      </c>
      <c r="AJ24" s="15">
        <f t="shared" si="12"/>
        <v>1606003</v>
      </c>
      <c r="AK24" s="15" t="str">
        <f t="shared" si="13"/>
        <v>初级神器1配件1-两仪剑鞘Lvs11</v>
      </c>
      <c r="AL24" s="60" t="s">
        <v>645</v>
      </c>
      <c r="AM24" s="15">
        <f t="shared" si="14"/>
        <v>11</v>
      </c>
      <c r="AN24" s="15" t="str">
        <f t="shared" si="15"/>
        <v>初级神器1配件1</v>
      </c>
      <c r="AO24" s="15">
        <f>INDEX(芦花古楼!$BX$19:$BX$58,神器!AM24)</f>
        <v>7</v>
      </c>
      <c r="AP24" s="15" t="s">
        <v>88</v>
      </c>
      <c r="AQ24" s="15">
        <f t="shared" si="16"/>
        <v>1005</v>
      </c>
      <c r="AR24" s="15" t="s">
        <v>654</v>
      </c>
      <c r="AS24" s="15">
        <f t="shared" si="17"/>
        <v>25</v>
      </c>
    </row>
    <row r="25" spans="1:45" ht="16.5" x14ac:dyDescent="0.2">
      <c r="A25" s="60">
        <v>12</v>
      </c>
      <c r="B25" s="60">
        <v>3.5</v>
      </c>
      <c r="C25" s="22">
        <f t="shared" si="5"/>
        <v>6.6037735849056603E-2</v>
      </c>
      <c r="D25" s="60">
        <f t="shared" si="6"/>
        <v>139984</v>
      </c>
      <c r="F25" s="15">
        <f t="shared" si="7"/>
        <v>1175</v>
      </c>
      <c r="G25" s="15">
        <f t="shared" si="2"/>
        <v>1760</v>
      </c>
      <c r="H25" s="15">
        <f t="shared" si="2"/>
        <v>2940</v>
      </c>
      <c r="I25" s="15">
        <f t="shared" si="2"/>
        <v>4115</v>
      </c>
      <c r="J25" s="15">
        <f t="shared" si="2"/>
        <v>5880</v>
      </c>
      <c r="K25" s="15">
        <f t="shared" si="2"/>
        <v>5880</v>
      </c>
      <c r="L25" s="15">
        <f t="shared" si="2"/>
        <v>5880</v>
      </c>
      <c r="N25" s="15">
        <f t="shared" si="8"/>
        <v>5.2620361486978835</v>
      </c>
      <c r="O25" s="21">
        <f t="shared" si="9"/>
        <v>1.0026771589961181E-2</v>
      </c>
      <c r="P25" s="15">
        <f t="shared" si="10"/>
        <v>27</v>
      </c>
      <c r="Q25" s="15">
        <f t="shared" si="3"/>
        <v>41</v>
      </c>
      <c r="R25" s="15">
        <f t="shared" si="3"/>
        <v>69</v>
      </c>
      <c r="S25" s="15">
        <f t="shared" si="3"/>
        <v>97</v>
      </c>
      <c r="T25" s="15">
        <f t="shared" si="11"/>
        <v>135</v>
      </c>
      <c r="U25" s="15">
        <f t="shared" si="4"/>
        <v>135</v>
      </c>
      <c r="V25" s="15">
        <f t="shared" si="4"/>
        <v>135</v>
      </c>
      <c r="Z25" s="60">
        <v>302</v>
      </c>
      <c r="AA25" s="60">
        <v>6</v>
      </c>
      <c r="AB25" s="60">
        <v>4</v>
      </c>
      <c r="AC25" s="60">
        <v>1606024</v>
      </c>
      <c r="AD25" s="60" t="s">
        <v>635</v>
      </c>
      <c r="AE25" s="60" t="s">
        <v>606</v>
      </c>
      <c r="AF25" s="60" t="str">
        <f t="shared" si="0"/>
        <v>高级神器2配件4-上古篆文</v>
      </c>
      <c r="AI25" s="60">
        <v>12</v>
      </c>
      <c r="AJ25" s="15">
        <f t="shared" si="12"/>
        <v>1606003</v>
      </c>
      <c r="AK25" s="15" t="str">
        <f t="shared" si="13"/>
        <v>初级神器1配件1-两仪剑鞘Lvs12</v>
      </c>
      <c r="AL25" s="60" t="s">
        <v>645</v>
      </c>
      <c r="AM25" s="15">
        <f t="shared" si="14"/>
        <v>12</v>
      </c>
      <c r="AN25" s="15" t="str">
        <f t="shared" si="15"/>
        <v>初级神器1配件1</v>
      </c>
      <c r="AO25" s="15">
        <f>INDEX(芦花古楼!$BX$19:$BX$58,神器!AM25)</f>
        <v>7</v>
      </c>
      <c r="AP25" s="15" t="s">
        <v>88</v>
      </c>
      <c r="AQ25" s="15">
        <f t="shared" si="16"/>
        <v>1175</v>
      </c>
      <c r="AR25" s="15" t="s">
        <v>654</v>
      </c>
      <c r="AS25" s="15">
        <f t="shared" si="17"/>
        <v>27</v>
      </c>
    </row>
    <row r="26" spans="1:45" ht="16.5" x14ac:dyDescent="0.2">
      <c r="A26" s="60">
        <v>13</v>
      </c>
      <c r="B26" s="60">
        <v>4</v>
      </c>
      <c r="C26" s="22">
        <f t="shared" si="5"/>
        <v>7.5471698113207544E-2</v>
      </c>
      <c r="D26" s="60">
        <f t="shared" si="6"/>
        <v>159982</v>
      </c>
      <c r="F26" s="15">
        <f t="shared" si="7"/>
        <v>1340</v>
      </c>
      <c r="G26" s="15">
        <f t="shared" si="2"/>
        <v>2015</v>
      </c>
      <c r="H26" s="15">
        <f t="shared" si="2"/>
        <v>3360</v>
      </c>
      <c r="I26" s="15">
        <f t="shared" si="2"/>
        <v>4705</v>
      </c>
      <c r="J26" s="15">
        <f t="shared" si="2"/>
        <v>6720</v>
      </c>
      <c r="K26" s="15">
        <f t="shared" si="2"/>
        <v>6720</v>
      </c>
      <c r="L26" s="15">
        <f t="shared" si="2"/>
        <v>6720</v>
      </c>
      <c r="N26" s="15">
        <f t="shared" si="8"/>
        <v>5.7751379561327782</v>
      </c>
      <c r="O26" s="21">
        <f t="shared" si="9"/>
        <v>1.1004483350230831E-2</v>
      </c>
      <c r="P26" s="15">
        <f t="shared" si="10"/>
        <v>30</v>
      </c>
      <c r="Q26" s="15">
        <f t="shared" si="3"/>
        <v>45</v>
      </c>
      <c r="R26" s="15">
        <f t="shared" si="3"/>
        <v>76</v>
      </c>
      <c r="S26" s="15">
        <f t="shared" si="3"/>
        <v>106</v>
      </c>
      <c r="T26" s="15">
        <f t="shared" si="11"/>
        <v>150</v>
      </c>
      <c r="U26" s="15">
        <f t="shared" si="4"/>
        <v>150</v>
      </c>
      <c r="V26" s="15">
        <f t="shared" si="4"/>
        <v>150</v>
      </c>
      <c r="Z26" s="60">
        <v>302</v>
      </c>
      <c r="AA26" s="60">
        <v>6</v>
      </c>
      <c r="AB26" s="60">
        <v>5</v>
      </c>
      <c r="AC26" s="60">
        <v>1606025</v>
      </c>
      <c r="AD26" s="60" t="s">
        <v>636</v>
      </c>
      <c r="AE26" s="60" t="s">
        <v>607</v>
      </c>
      <c r="AF26" s="60" t="str">
        <f t="shared" si="0"/>
        <v>高级神器2配件5-吸魂石</v>
      </c>
      <c r="AI26" s="60">
        <v>13</v>
      </c>
      <c r="AJ26" s="15">
        <f t="shared" si="12"/>
        <v>1606003</v>
      </c>
      <c r="AK26" s="15" t="str">
        <f t="shared" si="13"/>
        <v>初级神器1配件1-两仪剑鞘Lvs13</v>
      </c>
      <c r="AL26" s="60" t="s">
        <v>645</v>
      </c>
      <c r="AM26" s="15">
        <f t="shared" si="14"/>
        <v>13</v>
      </c>
      <c r="AN26" s="15" t="str">
        <f t="shared" si="15"/>
        <v>初级神器1配件1</v>
      </c>
      <c r="AO26" s="15">
        <f>INDEX(芦花古楼!$BX$19:$BX$58,神器!AM26)</f>
        <v>7</v>
      </c>
      <c r="AP26" s="15" t="s">
        <v>88</v>
      </c>
      <c r="AQ26" s="15">
        <f t="shared" si="16"/>
        <v>1340</v>
      </c>
      <c r="AR26" s="15" t="s">
        <v>654</v>
      </c>
      <c r="AS26" s="15">
        <f t="shared" si="17"/>
        <v>30</v>
      </c>
    </row>
    <row r="27" spans="1:45" ht="16.5" x14ac:dyDescent="0.2">
      <c r="A27" s="60">
        <v>14</v>
      </c>
      <c r="B27" s="60">
        <v>4.5</v>
      </c>
      <c r="C27" s="22">
        <f t="shared" si="5"/>
        <v>8.4905660377358486E-2</v>
      </c>
      <c r="D27" s="60">
        <f t="shared" si="6"/>
        <v>179980</v>
      </c>
      <c r="F27" s="15">
        <f t="shared" si="7"/>
        <v>1510</v>
      </c>
      <c r="G27" s="15">
        <f t="shared" si="2"/>
        <v>2265</v>
      </c>
      <c r="H27" s="15">
        <f t="shared" si="2"/>
        <v>3780</v>
      </c>
      <c r="I27" s="15">
        <f t="shared" si="2"/>
        <v>5290</v>
      </c>
      <c r="J27" s="15">
        <f t="shared" si="2"/>
        <v>7560</v>
      </c>
      <c r="K27" s="15">
        <f t="shared" si="2"/>
        <v>7560</v>
      </c>
      <c r="L27" s="15">
        <f t="shared" si="2"/>
        <v>7560</v>
      </c>
      <c r="N27" s="15">
        <f t="shared" si="8"/>
        <v>6.3138948539394173</v>
      </c>
      <c r="O27" s="21">
        <f t="shared" si="9"/>
        <v>1.2031080698513963E-2</v>
      </c>
      <c r="P27" s="15">
        <f t="shared" si="10"/>
        <v>33</v>
      </c>
      <c r="Q27" s="15">
        <f t="shared" si="3"/>
        <v>50</v>
      </c>
      <c r="R27" s="15">
        <f t="shared" si="3"/>
        <v>83</v>
      </c>
      <c r="S27" s="15">
        <f t="shared" si="3"/>
        <v>116</v>
      </c>
      <c r="T27" s="15">
        <f t="shared" si="11"/>
        <v>165</v>
      </c>
      <c r="U27" s="15">
        <f t="shared" si="4"/>
        <v>165</v>
      </c>
      <c r="V27" s="15">
        <f t="shared" si="4"/>
        <v>165</v>
      </c>
      <c r="Z27" s="60">
        <v>302</v>
      </c>
      <c r="AA27" s="60">
        <v>6</v>
      </c>
      <c r="AB27" s="60">
        <v>6</v>
      </c>
      <c r="AC27" s="60">
        <v>1606026</v>
      </c>
      <c r="AD27" s="60" t="s">
        <v>637</v>
      </c>
      <c r="AE27" s="60" t="s">
        <v>608</v>
      </c>
      <c r="AF27" s="60" t="str">
        <f t="shared" si="0"/>
        <v>高级神器2配件6-卷云链</v>
      </c>
      <c r="AI27" s="60">
        <v>14</v>
      </c>
      <c r="AJ27" s="15">
        <f t="shared" si="12"/>
        <v>1606003</v>
      </c>
      <c r="AK27" s="15" t="str">
        <f t="shared" si="13"/>
        <v>初级神器1配件1-两仪剑鞘Lvs14</v>
      </c>
      <c r="AL27" s="60" t="s">
        <v>645</v>
      </c>
      <c r="AM27" s="15">
        <f t="shared" si="14"/>
        <v>14</v>
      </c>
      <c r="AN27" s="15" t="str">
        <f t="shared" si="15"/>
        <v>初级神器1配件1</v>
      </c>
      <c r="AO27" s="15">
        <f>INDEX(芦花古楼!$BX$19:$BX$58,神器!AM27)</f>
        <v>7</v>
      </c>
      <c r="AP27" s="15" t="s">
        <v>88</v>
      </c>
      <c r="AQ27" s="15">
        <f t="shared" si="16"/>
        <v>1510</v>
      </c>
      <c r="AR27" s="15" t="s">
        <v>654</v>
      </c>
      <c r="AS27" s="15">
        <f t="shared" si="17"/>
        <v>33</v>
      </c>
    </row>
    <row r="28" spans="1:45" ht="16.5" x14ac:dyDescent="0.2">
      <c r="A28" s="60">
        <v>15</v>
      </c>
      <c r="B28" s="60">
        <v>5</v>
      </c>
      <c r="C28" s="22">
        <f t="shared" si="5"/>
        <v>9.4339622641509441E-2</v>
      </c>
      <c r="D28" s="60">
        <f t="shared" si="6"/>
        <v>199978</v>
      </c>
      <c r="F28" s="15">
        <f t="shared" si="7"/>
        <v>1680</v>
      </c>
      <c r="G28" s="15">
        <f t="shared" si="2"/>
        <v>2520</v>
      </c>
      <c r="H28" s="15">
        <f t="shared" si="2"/>
        <v>4200</v>
      </c>
      <c r="I28" s="15">
        <f t="shared" si="2"/>
        <v>5880</v>
      </c>
      <c r="J28" s="15">
        <f t="shared" si="2"/>
        <v>8400</v>
      </c>
      <c r="K28" s="15">
        <f t="shared" si="2"/>
        <v>8400</v>
      </c>
      <c r="L28" s="15">
        <f t="shared" si="2"/>
        <v>8400</v>
      </c>
      <c r="N28" s="15">
        <f t="shared" si="8"/>
        <v>6.8795895966363885</v>
      </c>
      <c r="O28" s="21">
        <f t="shared" si="9"/>
        <v>1.3109007914211251E-2</v>
      </c>
      <c r="P28" s="15">
        <f t="shared" si="10"/>
        <v>36</v>
      </c>
      <c r="Q28" s="15">
        <f t="shared" si="3"/>
        <v>54</v>
      </c>
      <c r="R28" s="15">
        <f t="shared" si="3"/>
        <v>90</v>
      </c>
      <c r="S28" s="15">
        <f t="shared" si="3"/>
        <v>127</v>
      </c>
      <c r="T28" s="15">
        <f t="shared" si="11"/>
        <v>180</v>
      </c>
      <c r="U28" s="15">
        <f t="shared" si="4"/>
        <v>180</v>
      </c>
      <c r="V28" s="15">
        <f t="shared" si="4"/>
        <v>180</v>
      </c>
      <c r="Z28" s="60">
        <v>303</v>
      </c>
      <c r="AA28" s="60">
        <v>7</v>
      </c>
      <c r="AB28" s="60">
        <v>1</v>
      </c>
      <c r="AC28" s="60">
        <v>1606027</v>
      </c>
      <c r="AD28" s="60" t="s">
        <v>638</v>
      </c>
      <c r="AE28" s="60" t="s">
        <v>609</v>
      </c>
      <c r="AF28" s="60" t="str">
        <f t="shared" si="0"/>
        <v>高级神器3配件1-毁灭毒素</v>
      </c>
      <c r="AI28" s="60">
        <v>15</v>
      </c>
      <c r="AJ28" s="15">
        <f t="shared" si="12"/>
        <v>1606003</v>
      </c>
      <c r="AK28" s="15" t="str">
        <f t="shared" si="13"/>
        <v>初级神器1配件1-两仪剑鞘Lvs15</v>
      </c>
      <c r="AL28" s="60" t="s">
        <v>645</v>
      </c>
      <c r="AM28" s="15">
        <f t="shared" si="14"/>
        <v>15</v>
      </c>
      <c r="AN28" s="15" t="str">
        <f t="shared" si="15"/>
        <v>初级神器1配件1</v>
      </c>
      <c r="AO28" s="15">
        <f>INDEX(芦花古楼!$BX$19:$BX$58,神器!AM28)</f>
        <v>10</v>
      </c>
      <c r="AP28" s="15" t="s">
        <v>88</v>
      </c>
      <c r="AQ28" s="15">
        <f t="shared" si="16"/>
        <v>1680</v>
      </c>
      <c r="AR28" s="15" t="s">
        <v>654</v>
      </c>
      <c r="AS28" s="15">
        <f t="shared" si="17"/>
        <v>36</v>
      </c>
    </row>
    <row r="29" spans="1:45" ht="16.5" x14ac:dyDescent="0.2">
      <c r="A29" s="60">
        <v>16</v>
      </c>
      <c r="B29" s="60">
        <v>5.5</v>
      </c>
      <c r="C29" s="22">
        <f t="shared" si="5"/>
        <v>0.10377358490566038</v>
      </c>
      <c r="D29" s="60">
        <f t="shared" si="6"/>
        <v>219976</v>
      </c>
      <c r="F29" s="15">
        <f t="shared" si="7"/>
        <v>1845</v>
      </c>
      <c r="G29" s="15">
        <f t="shared" si="2"/>
        <v>2770</v>
      </c>
      <c r="H29" s="15">
        <f t="shared" si="2"/>
        <v>4620</v>
      </c>
      <c r="I29" s="15">
        <f t="shared" si="2"/>
        <v>6465</v>
      </c>
      <c r="J29" s="15">
        <f t="shared" si="2"/>
        <v>9240</v>
      </c>
      <c r="K29" s="15">
        <f t="shared" si="2"/>
        <v>9240</v>
      </c>
      <c r="L29" s="15">
        <f t="shared" si="2"/>
        <v>9240</v>
      </c>
      <c r="N29" s="15">
        <f t="shared" si="8"/>
        <v>7.4735690764682081</v>
      </c>
      <c r="O29" s="21">
        <f t="shared" si="9"/>
        <v>1.4240831490693403E-2</v>
      </c>
      <c r="P29" s="15">
        <f t="shared" si="10"/>
        <v>39</v>
      </c>
      <c r="Q29" s="15">
        <f t="shared" si="3"/>
        <v>59</v>
      </c>
      <c r="R29" s="15">
        <f t="shared" si="3"/>
        <v>98</v>
      </c>
      <c r="S29" s="15">
        <f t="shared" si="3"/>
        <v>138</v>
      </c>
      <c r="T29" s="15">
        <f t="shared" si="11"/>
        <v>195</v>
      </c>
      <c r="U29" s="15">
        <f t="shared" si="4"/>
        <v>195</v>
      </c>
      <c r="V29" s="15">
        <f t="shared" si="4"/>
        <v>195</v>
      </c>
      <c r="Z29" s="60">
        <v>303</v>
      </c>
      <c r="AA29" s="60">
        <v>7</v>
      </c>
      <c r="AB29" s="60">
        <v>2</v>
      </c>
      <c r="AC29" s="60">
        <v>1606028</v>
      </c>
      <c r="AD29" s="60" t="s">
        <v>639</v>
      </c>
      <c r="AE29" s="60" t="s">
        <v>610</v>
      </c>
      <c r="AF29" s="60" t="str">
        <f t="shared" si="0"/>
        <v>高级神器3配件2-阿波普之鞘</v>
      </c>
      <c r="AI29" s="60">
        <v>16</v>
      </c>
      <c r="AJ29" s="15">
        <f t="shared" si="12"/>
        <v>1606003</v>
      </c>
      <c r="AK29" s="15" t="str">
        <f t="shared" si="13"/>
        <v>初级神器1配件1-两仪剑鞘Lvs16</v>
      </c>
      <c r="AL29" s="60" t="s">
        <v>645</v>
      </c>
      <c r="AM29" s="15">
        <f t="shared" si="14"/>
        <v>16</v>
      </c>
      <c r="AN29" s="15" t="str">
        <f t="shared" si="15"/>
        <v>初级神器1配件1</v>
      </c>
      <c r="AO29" s="15">
        <f>INDEX(芦花古楼!$BX$19:$BX$58,神器!AM29)</f>
        <v>10</v>
      </c>
      <c r="AP29" s="15" t="s">
        <v>88</v>
      </c>
      <c r="AQ29" s="15">
        <f t="shared" si="16"/>
        <v>1845</v>
      </c>
      <c r="AR29" s="15" t="s">
        <v>654</v>
      </c>
      <c r="AS29" s="15">
        <f t="shared" si="17"/>
        <v>39</v>
      </c>
    </row>
    <row r="30" spans="1:45" ht="16.5" x14ac:dyDescent="0.2">
      <c r="A30" s="60">
        <v>17</v>
      </c>
      <c r="B30" s="60">
        <v>6</v>
      </c>
      <c r="C30" s="22">
        <f t="shared" si="5"/>
        <v>0.11320754716981132</v>
      </c>
      <c r="D30" s="60">
        <f t="shared" si="6"/>
        <v>239973</v>
      </c>
      <c r="F30" s="15">
        <f t="shared" si="7"/>
        <v>2015</v>
      </c>
      <c r="G30" s="15">
        <f t="shared" si="7"/>
        <v>3020</v>
      </c>
      <c r="H30" s="15">
        <f t="shared" si="7"/>
        <v>5040</v>
      </c>
      <c r="I30" s="15">
        <f t="shared" si="7"/>
        <v>7055</v>
      </c>
      <c r="J30" s="15">
        <f t="shared" si="7"/>
        <v>10080</v>
      </c>
      <c r="K30" s="15">
        <f t="shared" si="7"/>
        <v>10080</v>
      </c>
      <c r="L30" s="15">
        <f t="shared" si="7"/>
        <v>10080</v>
      </c>
      <c r="N30" s="15">
        <f t="shared" si="8"/>
        <v>8.097247530291618</v>
      </c>
      <c r="O30" s="21">
        <f t="shared" si="9"/>
        <v>1.5429246245999662E-2</v>
      </c>
      <c r="P30" s="15">
        <f t="shared" si="10"/>
        <v>42</v>
      </c>
      <c r="Q30" s="15">
        <f t="shared" si="10"/>
        <v>64</v>
      </c>
      <c r="R30" s="15">
        <f t="shared" si="10"/>
        <v>107</v>
      </c>
      <c r="S30" s="15">
        <f t="shared" si="10"/>
        <v>149</v>
      </c>
      <c r="T30" s="15">
        <f t="shared" si="11"/>
        <v>210</v>
      </c>
      <c r="U30" s="15">
        <f t="shared" si="11"/>
        <v>210</v>
      </c>
      <c r="V30" s="15">
        <f t="shared" si="11"/>
        <v>210</v>
      </c>
      <c r="Z30" s="60">
        <v>303</v>
      </c>
      <c r="AA30" s="60">
        <v>7</v>
      </c>
      <c r="AB30" s="60">
        <v>3</v>
      </c>
      <c r="AC30" s="60">
        <v>1606029</v>
      </c>
      <c r="AD30" s="60" t="s">
        <v>640</v>
      </c>
      <c r="AE30" s="60" t="s">
        <v>611</v>
      </c>
      <c r="AF30" s="60" t="str">
        <f t="shared" si="0"/>
        <v>高级神器3配件3-翼骨</v>
      </c>
      <c r="AI30" s="60">
        <v>17</v>
      </c>
      <c r="AJ30" s="15">
        <f t="shared" si="12"/>
        <v>1606003</v>
      </c>
      <c r="AK30" s="15" t="str">
        <f t="shared" si="13"/>
        <v>初级神器1配件1-两仪剑鞘Lvs17</v>
      </c>
      <c r="AL30" s="60" t="s">
        <v>645</v>
      </c>
      <c r="AM30" s="15">
        <f t="shared" si="14"/>
        <v>17</v>
      </c>
      <c r="AN30" s="15" t="str">
        <f t="shared" si="15"/>
        <v>初级神器1配件1</v>
      </c>
      <c r="AO30" s="15">
        <f>INDEX(芦花古楼!$BX$19:$BX$58,神器!AM30)</f>
        <v>10</v>
      </c>
      <c r="AP30" s="15" t="s">
        <v>88</v>
      </c>
      <c r="AQ30" s="15">
        <f t="shared" si="16"/>
        <v>2015</v>
      </c>
      <c r="AR30" s="15" t="s">
        <v>654</v>
      </c>
      <c r="AS30" s="15">
        <f t="shared" si="17"/>
        <v>42</v>
      </c>
    </row>
    <row r="31" spans="1:45" ht="16.5" x14ac:dyDescent="0.2">
      <c r="A31" s="60">
        <v>18</v>
      </c>
      <c r="B31" s="60">
        <v>6.5</v>
      </c>
      <c r="C31" s="22">
        <f t="shared" si="5"/>
        <v>0.12264150943396226</v>
      </c>
      <c r="D31" s="60">
        <f t="shared" si="6"/>
        <v>259971</v>
      </c>
      <c r="F31" s="15">
        <f t="shared" si="7"/>
        <v>2180</v>
      </c>
      <c r="G31" s="15">
        <f t="shared" si="7"/>
        <v>3275</v>
      </c>
      <c r="H31" s="15">
        <f t="shared" si="7"/>
        <v>5460</v>
      </c>
      <c r="I31" s="15">
        <f t="shared" si="7"/>
        <v>7645</v>
      </c>
      <c r="J31" s="15">
        <f t="shared" si="7"/>
        <v>10920</v>
      </c>
      <c r="K31" s="15">
        <f t="shared" si="7"/>
        <v>10920</v>
      </c>
      <c r="L31" s="15">
        <f t="shared" si="7"/>
        <v>10920</v>
      </c>
      <c r="N31" s="15">
        <f t="shared" si="8"/>
        <v>8.7521099068061989</v>
      </c>
      <c r="O31" s="21">
        <f t="shared" si="9"/>
        <v>1.6677081739071235E-2</v>
      </c>
      <c r="P31" s="15">
        <f t="shared" si="10"/>
        <v>46</v>
      </c>
      <c r="Q31" s="15">
        <f t="shared" si="10"/>
        <v>69</v>
      </c>
      <c r="R31" s="15">
        <f t="shared" si="10"/>
        <v>115</v>
      </c>
      <c r="S31" s="15">
        <f t="shared" si="10"/>
        <v>162</v>
      </c>
      <c r="T31" s="15">
        <f t="shared" si="11"/>
        <v>230</v>
      </c>
      <c r="U31" s="15">
        <f t="shared" si="11"/>
        <v>230</v>
      </c>
      <c r="V31" s="15">
        <f t="shared" si="11"/>
        <v>230</v>
      </c>
      <c r="Z31" s="60">
        <v>303</v>
      </c>
      <c r="AA31" s="60">
        <v>7</v>
      </c>
      <c r="AB31" s="60">
        <v>4</v>
      </c>
      <c r="AC31" s="60">
        <v>1606030</v>
      </c>
      <c r="AD31" s="60" t="s">
        <v>641</v>
      </c>
      <c r="AE31" s="60" t="s">
        <v>612</v>
      </c>
      <c r="AF31" s="60" t="str">
        <f t="shared" si="0"/>
        <v>高级神器3配件4-冥神刻印</v>
      </c>
      <c r="AI31" s="60">
        <v>18</v>
      </c>
      <c r="AJ31" s="15">
        <f t="shared" si="12"/>
        <v>1606003</v>
      </c>
      <c r="AK31" s="15" t="str">
        <f t="shared" si="13"/>
        <v>初级神器1配件1-两仪剑鞘Lvs18</v>
      </c>
      <c r="AL31" s="60" t="s">
        <v>645</v>
      </c>
      <c r="AM31" s="15">
        <f t="shared" si="14"/>
        <v>18</v>
      </c>
      <c r="AN31" s="15" t="str">
        <f t="shared" si="15"/>
        <v>初级神器1配件1</v>
      </c>
      <c r="AO31" s="15">
        <f>INDEX(芦花古楼!$BX$19:$BX$58,神器!AM31)</f>
        <v>10</v>
      </c>
      <c r="AP31" s="15" t="s">
        <v>88</v>
      </c>
      <c r="AQ31" s="15">
        <f t="shared" si="16"/>
        <v>2180</v>
      </c>
      <c r="AR31" s="15" t="s">
        <v>654</v>
      </c>
      <c r="AS31" s="15">
        <f t="shared" si="17"/>
        <v>46</v>
      </c>
    </row>
    <row r="32" spans="1:45" ht="16.5" x14ac:dyDescent="0.2">
      <c r="A32" s="60">
        <v>19</v>
      </c>
      <c r="B32" s="60">
        <v>7</v>
      </c>
      <c r="C32" s="22">
        <f t="shared" si="5"/>
        <v>0.13207547169811321</v>
      </c>
      <c r="D32" s="60">
        <f t="shared" si="6"/>
        <v>279969</v>
      </c>
      <c r="F32" s="15">
        <f t="shared" si="7"/>
        <v>2350</v>
      </c>
      <c r="G32" s="15">
        <f t="shared" si="7"/>
        <v>3525</v>
      </c>
      <c r="H32" s="15">
        <f t="shared" si="7"/>
        <v>5880</v>
      </c>
      <c r="I32" s="15">
        <f t="shared" si="7"/>
        <v>8230</v>
      </c>
      <c r="J32" s="15">
        <f t="shared" si="7"/>
        <v>11760</v>
      </c>
      <c r="K32" s="15">
        <f t="shared" si="7"/>
        <v>11760</v>
      </c>
      <c r="L32" s="15">
        <f t="shared" si="7"/>
        <v>11760</v>
      </c>
      <c r="N32" s="15">
        <f t="shared" si="8"/>
        <v>9.4397154021465095</v>
      </c>
      <c r="O32" s="21">
        <f t="shared" si="9"/>
        <v>1.7987309006796386E-2</v>
      </c>
      <c r="P32" s="15">
        <f t="shared" si="10"/>
        <v>49</v>
      </c>
      <c r="Q32" s="15">
        <f t="shared" si="10"/>
        <v>74</v>
      </c>
      <c r="R32" s="15">
        <f t="shared" si="10"/>
        <v>124</v>
      </c>
      <c r="S32" s="15">
        <f t="shared" si="10"/>
        <v>174</v>
      </c>
      <c r="T32" s="15">
        <f t="shared" si="11"/>
        <v>245</v>
      </c>
      <c r="U32" s="15">
        <f t="shared" si="11"/>
        <v>245</v>
      </c>
      <c r="V32" s="15">
        <f t="shared" si="11"/>
        <v>245</v>
      </c>
      <c r="Z32" s="60">
        <v>303</v>
      </c>
      <c r="AA32" s="60">
        <v>7</v>
      </c>
      <c r="AB32" s="60">
        <v>5</v>
      </c>
      <c r="AC32" s="60">
        <v>1606031</v>
      </c>
      <c r="AD32" s="60" t="s">
        <v>642</v>
      </c>
      <c r="AE32" s="60" t="s">
        <v>613</v>
      </c>
      <c r="AF32" s="60" t="str">
        <f t="shared" si="0"/>
        <v>高级神器3配件5-灼热磨沙</v>
      </c>
      <c r="AI32" s="60">
        <v>19</v>
      </c>
      <c r="AJ32" s="15">
        <f t="shared" si="12"/>
        <v>1606003</v>
      </c>
      <c r="AK32" s="15" t="str">
        <f t="shared" si="13"/>
        <v>初级神器1配件1-两仪剑鞘Lvs19</v>
      </c>
      <c r="AL32" s="60" t="s">
        <v>645</v>
      </c>
      <c r="AM32" s="15">
        <f t="shared" si="14"/>
        <v>19</v>
      </c>
      <c r="AN32" s="15" t="str">
        <f t="shared" si="15"/>
        <v>初级神器1配件1</v>
      </c>
      <c r="AO32" s="15">
        <f>INDEX(芦花古楼!$BX$19:$BX$58,神器!AM32)</f>
        <v>10</v>
      </c>
      <c r="AP32" s="15" t="s">
        <v>88</v>
      </c>
      <c r="AQ32" s="15">
        <f t="shared" si="16"/>
        <v>2350</v>
      </c>
      <c r="AR32" s="15" t="s">
        <v>654</v>
      </c>
      <c r="AS32" s="15">
        <f t="shared" si="17"/>
        <v>49</v>
      </c>
    </row>
    <row r="33" spans="1:45" ht="16.5" x14ac:dyDescent="0.2">
      <c r="A33" s="60">
        <v>20</v>
      </c>
      <c r="B33" s="60">
        <v>8</v>
      </c>
      <c r="C33" s="22">
        <f t="shared" si="5"/>
        <v>0.15094339622641509</v>
      </c>
      <c r="D33" s="60">
        <f t="shared" si="6"/>
        <v>319965</v>
      </c>
      <c r="F33" s="15">
        <f t="shared" si="7"/>
        <v>2685</v>
      </c>
      <c r="G33" s="15">
        <f t="shared" si="7"/>
        <v>4030</v>
      </c>
      <c r="H33" s="15">
        <f t="shared" si="7"/>
        <v>6720</v>
      </c>
      <c r="I33" s="15">
        <f t="shared" si="7"/>
        <v>9410</v>
      </c>
      <c r="J33" s="15">
        <f t="shared" si="7"/>
        <v>13440</v>
      </c>
      <c r="K33" s="15">
        <f t="shared" si="7"/>
        <v>13440</v>
      </c>
      <c r="L33" s="15">
        <f t="shared" si="7"/>
        <v>13440</v>
      </c>
      <c r="N33" s="15">
        <f t="shared" si="8"/>
        <v>10.161701172253835</v>
      </c>
      <c r="O33" s="21">
        <f t="shared" si="9"/>
        <v>1.9363047637907797E-2</v>
      </c>
      <c r="P33" s="15">
        <f t="shared" si="10"/>
        <v>53</v>
      </c>
      <c r="Q33" s="15">
        <f t="shared" si="10"/>
        <v>80</v>
      </c>
      <c r="R33" s="15">
        <f t="shared" si="10"/>
        <v>134</v>
      </c>
      <c r="S33" s="15">
        <f t="shared" si="10"/>
        <v>188</v>
      </c>
      <c r="T33" s="15">
        <f t="shared" si="11"/>
        <v>265</v>
      </c>
      <c r="U33" s="15">
        <f t="shared" si="11"/>
        <v>265</v>
      </c>
      <c r="V33" s="15">
        <f t="shared" si="11"/>
        <v>265</v>
      </c>
      <c r="Z33" s="60">
        <v>303</v>
      </c>
      <c r="AA33" s="60">
        <v>7</v>
      </c>
      <c r="AB33" s="60">
        <v>6</v>
      </c>
      <c r="AC33" s="60">
        <v>1606032</v>
      </c>
      <c r="AD33" s="60" t="s">
        <v>643</v>
      </c>
      <c r="AE33" s="60" t="s">
        <v>614</v>
      </c>
      <c r="AF33" s="60" t="str">
        <f t="shared" si="0"/>
        <v>高级神器3配件6-禁纹</v>
      </c>
      <c r="AI33" s="60">
        <v>20</v>
      </c>
      <c r="AJ33" s="15">
        <f t="shared" si="12"/>
        <v>1606003</v>
      </c>
      <c r="AK33" s="15" t="str">
        <f t="shared" si="13"/>
        <v>初级神器1配件1-两仪剑鞘Lvs20</v>
      </c>
      <c r="AL33" s="60" t="s">
        <v>645</v>
      </c>
      <c r="AM33" s="15">
        <f t="shared" si="14"/>
        <v>20</v>
      </c>
      <c r="AN33" s="15" t="str">
        <f t="shared" si="15"/>
        <v>初级神器1配件1</v>
      </c>
      <c r="AO33" s="15">
        <f>INDEX(芦花古楼!$BX$19:$BX$58,神器!AM33)</f>
        <v>10</v>
      </c>
      <c r="AP33" s="15" t="s">
        <v>88</v>
      </c>
      <c r="AQ33" s="15">
        <f t="shared" si="16"/>
        <v>2685</v>
      </c>
      <c r="AR33" s="15" t="s">
        <v>654</v>
      </c>
      <c r="AS33" s="15">
        <f t="shared" si="17"/>
        <v>53</v>
      </c>
    </row>
    <row r="34" spans="1:45" ht="16.5" x14ac:dyDescent="0.2">
      <c r="A34" s="60">
        <v>21</v>
      </c>
      <c r="B34" s="60">
        <v>10</v>
      </c>
      <c r="C34" s="22">
        <f t="shared" si="5"/>
        <v>8.1300813008130079E-2</v>
      </c>
      <c r="D34" s="60">
        <f t="shared" si="6"/>
        <v>353286</v>
      </c>
      <c r="F34" s="15">
        <f t="shared" si="7"/>
        <v>2965</v>
      </c>
      <c r="G34" s="15">
        <f t="shared" si="7"/>
        <v>4450</v>
      </c>
      <c r="H34" s="15">
        <f t="shared" si="7"/>
        <v>7420</v>
      </c>
      <c r="I34" s="15">
        <f t="shared" si="7"/>
        <v>10390</v>
      </c>
      <c r="J34" s="15">
        <f t="shared" si="7"/>
        <v>14840</v>
      </c>
      <c r="K34" s="15">
        <f t="shared" si="7"/>
        <v>14840</v>
      </c>
      <c r="L34" s="15">
        <f t="shared" si="7"/>
        <v>14840</v>
      </c>
      <c r="N34" s="15">
        <f t="shared" si="8"/>
        <v>10.919786230866528</v>
      </c>
      <c r="O34" s="21">
        <f t="shared" si="9"/>
        <v>2.0807573200574778E-2</v>
      </c>
      <c r="P34" s="15">
        <f t="shared" si="10"/>
        <v>57</v>
      </c>
      <c r="Q34" s="15">
        <f t="shared" si="10"/>
        <v>86</v>
      </c>
      <c r="R34" s="15">
        <f t="shared" si="10"/>
        <v>144</v>
      </c>
      <c r="S34" s="15">
        <f t="shared" si="10"/>
        <v>202</v>
      </c>
      <c r="T34" s="15">
        <f t="shared" si="11"/>
        <v>285</v>
      </c>
      <c r="U34" s="15">
        <f t="shared" si="11"/>
        <v>285</v>
      </c>
      <c r="V34" s="15">
        <f t="shared" si="11"/>
        <v>285</v>
      </c>
      <c r="AI34" s="60">
        <v>21</v>
      </c>
      <c r="AJ34" s="15">
        <f t="shared" si="12"/>
        <v>1606003</v>
      </c>
      <c r="AK34" s="15" t="str">
        <f t="shared" si="13"/>
        <v>初级神器1配件1-两仪剑鞘Lvs21</v>
      </c>
      <c r="AL34" s="60" t="s">
        <v>645</v>
      </c>
      <c r="AM34" s="15">
        <f t="shared" si="14"/>
        <v>21</v>
      </c>
      <c r="AN34" s="15" t="str">
        <f t="shared" si="15"/>
        <v>初级神器1配件1</v>
      </c>
      <c r="AO34" s="15">
        <f>INDEX(芦花古楼!$BX$19:$BX$58,神器!AM34)</f>
        <v>15</v>
      </c>
      <c r="AP34" s="15" t="s">
        <v>88</v>
      </c>
      <c r="AQ34" s="15">
        <f t="shared" si="16"/>
        <v>2965</v>
      </c>
      <c r="AR34" s="15" t="s">
        <v>654</v>
      </c>
      <c r="AS34" s="15">
        <f t="shared" si="17"/>
        <v>57</v>
      </c>
    </row>
    <row r="35" spans="1:45" ht="16.5" x14ac:dyDescent="0.2">
      <c r="A35" s="60">
        <v>22</v>
      </c>
      <c r="B35" s="60">
        <v>10.5</v>
      </c>
      <c r="C35" s="22">
        <f t="shared" si="5"/>
        <v>8.5365853658536592E-2</v>
      </c>
      <c r="D35" s="60">
        <f t="shared" si="6"/>
        <v>370950</v>
      </c>
      <c r="F35" s="15">
        <f t="shared" si="7"/>
        <v>3115</v>
      </c>
      <c r="G35" s="15">
        <f t="shared" si="7"/>
        <v>4675</v>
      </c>
      <c r="H35" s="15">
        <f t="shared" si="7"/>
        <v>7790</v>
      </c>
      <c r="I35" s="15">
        <f t="shared" si="7"/>
        <v>10910</v>
      </c>
      <c r="J35" s="15">
        <f t="shared" si="7"/>
        <v>15585</v>
      </c>
      <c r="K35" s="15">
        <f t="shared" si="7"/>
        <v>15585</v>
      </c>
      <c r="L35" s="15">
        <f t="shared" si="7"/>
        <v>15585</v>
      </c>
      <c r="N35" s="15">
        <f t="shared" si="8"/>
        <v>11.715775542409855</v>
      </c>
      <c r="O35" s="21">
        <f t="shared" si="9"/>
        <v>2.2324325041375107E-2</v>
      </c>
      <c r="P35" s="15">
        <f t="shared" si="10"/>
        <v>61</v>
      </c>
      <c r="Q35" s="15">
        <f t="shared" si="10"/>
        <v>92</v>
      </c>
      <c r="R35" s="15">
        <f t="shared" si="10"/>
        <v>154</v>
      </c>
      <c r="S35" s="15">
        <f t="shared" si="10"/>
        <v>216</v>
      </c>
      <c r="T35" s="15">
        <f t="shared" si="11"/>
        <v>305</v>
      </c>
      <c r="U35" s="15">
        <f t="shared" si="11"/>
        <v>305</v>
      </c>
      <c r="V35" s="15">
        <f t="shared" si="11"/>
        <v>305</v>
      </c>
      <c r="AI35" s="60">
        <v>22</v>
      </c>
      <c r="AJ35" s="15">
        <f t="shared" si="12"/>
        <v>1606003</v>
      </c>
      <c r="AK35" s="15" t="str">
        <f t="shared" si="13"/>
        <v>初级神器1配件1-两仪剑鞘Lvs22</v>
      </c>
      <c r="AL35" s="60" t="s">
        <v>645</v>
      </c>
      <c r="AM35" s="15">
        <f t="shared" si="14"/>
        <v>22</v>
      </c>
      <c r="AN35" s="15" t="str">
        <f t="shared" si="15"/>
        <v>初级神器1配件1</v>
      </c>
      <c r="AO35" s="15">
        <f>INDEX(芦花古楼!$BX$19:$BX$58,神器!AM35)</f>
        <v>15</v>
      </c>
      <c r="AP35" s="15" t="s">
        <v>88</v>
      </c>
      <c r="AQ35" s="15">
        <f t="shared" si="16"/>
        <v>3115</v>
      </c>
      <c r="AR35" s="15" t="s">
        <v>654</v>
      </c>
      <c r="AS35" s="15">
        <f t="shared" si="17"/>
        <v>61</v>
      </c>
    </row>
    <row r="36" spans="1:45" ht="16.5" x14ac:dyDescent="0.2">
      <c r="A36" s="60">
        <v>23</v>
      </c>
      <c r="B36" s="60">
        <v>11</v>
      </c>
      <c r="C36" s="22">
        <f t="shared" si="5"/>
        <v>8.943089430894309E-2</v>
      </c>
      <c r="D36" s="60">
        <f t="shared" si="6"/>
        <v>388614</v>
      </c>
      <c r="F36" s="15">
        <f t="shared" si="7"/>
        <v>3265</v>
      </c>
      <c r="G36" s="15">
        <f t="shared" si="7"/>
        <v>4895</v>
      </c>
      <c r="H36" s="15">
        <f t="shared" si="7"/>
        <v>8160</v>
      </c>
      <c r="I36" s="15">
        <f t="shared" si="7"/>
        <v>11425</v>
      </c>
      <c r="J36" s="15">
        <f t="shared" si="7"/>
        <v>16325</v>
      </c>
      <c r="K36" s="15">
        <f t="shared" si="7"/>
        <v>16325</v>
      </c>
      <c r="L36" s="15">
        <f t="shared" si="7"/>
        <v>16325</v>
      </c>
      <c r="N36" s="15">
        <f t="shared" si="8"/>
        <v>12.551564319530348</v>
      </c>
      <c r="O36" s="21">
        <f t="shared" si="9"/>
        <v>2.3916914474215453E-2</v>
      </c>
      <c r="P36" s="15">
        <f t="shared" si="10"/>
        <v>66</v>
      </c>
      <c r="Q36" s="15">
        <f t="shared" si="10"/>
        <v>99</v>
      </c>
      <c r="R36" s="15">
        <f t="shared" si="10"/>
        <v>166</v>
      </c>
      <c r="S36" s="15">
        <f t="shared" si="10"/>
        <v>232</v>
      </c>
      <c r="T36" s="15">
        <f t="shared" si="11"/>
        <v>330</v>
      </c>
      <c r="U36" s="15">
        <f t="shared" si="11"/>
        <v>330</v>
      </c>
      <c r="V36" s="15">
        <f t="shared" si="11"/>
        <v>330</v>
      </c>
      <c r="AI36" s="60">
        <v>23</v>
      </c>
      <c r="AJ36" s="15">
        <f t="shared" si="12"/>
        <v>1606003</v>
      </c>
      <c r="AK36" s="15" t="str">
        <f t="shared" si="13"/>
        <v>初级神器1配件1-两仪剑鞘Lvs23</v>
      </c>
      <c r="AL36" s="60" t="s">
        <v>645</v>
      </c>
      <c r="AM36" s="15">
        <f t="shared" si="14"/>
        <v>23</v>
      </c>
      <c r="AN36" s="15" t="str">
        <f t="shared" si="15"/>
        <v>初级神器1配件1</v>
      </c>
      <c r="AO36" s="15">
        <f>INDEX(芦花古楼!$BX$19:$BX$58,神器!AM36)</f>
        <v>15</v>
      </c>
      <c r="AP36" s="15" t="s">
        <v>88</v>
      </c>
      <c r="AQ36" s="15">
        <f t="shared" si="16"/>
        <v>3265</v>
      </c>
      <c r="AR36" s="15" t="s">
        <v>654</v>
      </c>
      <c r="AS36" s="15">
        <f t="shared" si="17"/>
        <v>66</v>
      </c>
    </row>
    <row r="37" spans="1:45" ht="16.5" x14ac:dyDescent="0.2">
      <c r="A37" s="60">
        <v>24</v>
      </c>
      <c r="B37" s="60">
        <v>11.5</v>
      </c>
      <c r="C37" s="22">
        <f t="shared" si="5"/>
        <v>9.3495934959349589E-2</v>
      </c>
      <c r="D37" s="60">
        <f t="shared" si="6"/>
        <v>406279</v>
      </c>
      <c r="F37" s="15">
        <f t="shared" si="7"/>
        <v>3410</v>
      </c>
      <c r="G37" s="15">
        <f t="shared" si="7"/>
        <v>5120</v>
      </c>
      <c r="H37" s="15">
        <f t="shared" si="7"/>
        <v>8535</v>
      </c>
      <c r="I37" s="15">
        <f t="shared" si="7"/>
        <v>11945</v>
      </c>
      <c r="J37" s="15">
        <f t="shared" si="7"/>
        <v>17070</v>
      </c>
      <c r="K37" s="15">
        <f t="shared" si="7"/>
        <v>17070</v>
      </c>
      <c r="L37" s="15">
        <f t="shared" si="7"/>
        <v>17070</v>
      </c>
      <c r="N37" s="15">
        <f t="shared" si="8"/>
        <v>13.429142535506866</v>
      </c>
      <c r="O37" s="21">
        <f t="shared" si="9"/>
        <v>2.5589133378697816E-2</v>
      </c>
      <c r="P37" s="15">
        <f t="shared" si="10"/>
        <v>71</v>
      </c>
      <c r="Q37" s="15">
        <f t="shared" si="10"/>
        <v>106</v>
      </c>
      <c r="R37" s="15">
        <f t="shared" si="10"/>
        <v>177</v>
      </c>
      <c r="S37" s="15">
        <f t="shared" si="10"/>
        <v>248</v>
      </c>
      <c r="T37" s="15">
        <f t="shared" si="11"/>
        <v>355</v>
      </c>
      <c r="U37" s="15">
        <f t="shared" si="11"/>
        <v>355</v>
      </c>
      <c r="V37" s="15">
        <f t="shared" si="11"/>
        <v>355</v>
      </c>
      <c r="AI37" s="60">
        <v>24</v>
      </c>
      <c r="AJ37" s="15">
        <f t="shared" si="12"/>
        <v>1606003</v>
      </c>
      <c r="AK37" s="15" t="str">
        <f t="shared" si="13"/>
        <v>初级神器1配件1-两仪剑鞘Lvs24</v>
      </c>
      <c r="AL37" s="60" t="s">
        <v>645</v>
      </c>
      <c r="AM37" s="15">
        <f t="shared" si="14"/>
        <v>24</v>
      </c>
      <c r="AN37" s="15" t="str">
        <f t="shared" si="15"/>
        <v>初级神器1配件1</v>
      </c>
      <c r="AO37" s="15">
        <f>INDEX(芦花古楼!$BX$19:$BX$58,神器!AM37)</f>
        <v>15</v>
      </c>
      <c r="AP37" s="15" t="s">
        <v>88</v>
      </c>
      <c r="AQ37" s="15">
        <f t="shared" si="16"/>
        <v>3410</v>
      </c>
      <c r="AR37" s="15" t="s">
        <v>654</v>
      </c>
      <c r="AS37" s="15">
        <f t="shared" si="17"/>
        <v>71</v>
      </c>
    </row>
    <row r="38" spans="1:45" ht="16.5" x14ac:dyDescent="0.2">
      <c r="A38" s="60">
        <v>25</v>
      </c>
      <c r="B38" s="60">
        <v>12</v>
      </c>
      <c r="C38" s="22">
        <f t="shared" si="5"/>
        <v>9.7560975609756101E-2</v>
      </c>
      <c r="D38" s="60">
        <f t="shared" si="6"/>
        <v>423943</v>
      </c>
      <c r="F38" s="15">
        <f t="shared" si="7"/>
        <v>3560</v>
      </c>
      <c r="G38" s="15">
        <f t="shared" si="7"/>
        <v>5340</v>
      </c>
      <c r="H38" s="15">
        <f t="shared" si="7"/>
        <v>8905</v>
      </c>
      <c r="I38" s="15">
        <f t="shared" si="7"/>
        <v>12465</v>
      </c>
      <c r="J38" s="15">
        <f t="shared" si="7"/>
        <v>17810</v>
      </c>
      <c r="K38" s="15">
        <f t="shared" si="7"/>
        <v>17810</v>
      </c>
      <c r="L38" s="15">
        <f t="shared" si="7"/>
        <v>17810</v>
      </c>
      <c r="N38" s="15">
        <f t="shared" si="8"/>
        <v>14.35059966228221</v>
      </c>
      <c r="O38" s="21">
        <f t="shared" si="9"/>
        <v>2.7344963228404299E-2</v>
      </c>
      <c r="P38" s="15">
        <f t="shared" si="10"/>
        <v>75</v>
      </c>
      <c r="Q38" s="15">
        <f t="shared" si="10"/>
        <v>113</v>
      </c>
      <c r="R38" s="15">
        <f t="shared" si="10"/>
        <v>189</v>
      </c>
      <c r="S38" s="15">
        <f t="shared" si="10"/>
        <v>265</v>
      </c>
      <c r="T38" s="15">
        <f t="shared" si="11"/>
        <v>375</v>
      </c>
      <c r="U38" s="15">
        <f t="shared" si="11"/>
        <v>375</v>
      </c>
      <c r="V38" s="15">
        <f t="shared" si="11"/>
        <v>375</v>
      </c>
      <c r="AI38" s="60">
        <v>25</v>
      </c>
      <c r="AJ38" s="15">
        <f t="shared" si="12"/>
        <v>1606003</v>
      </c>
      <c r="AK38" s="15" t="str">
        <f t="shared" si="13"/>
        <v>初级神器1配件1-两仪剑鞘Lvs25</v>
      </c>
      <c r="AL38" s="60" t="s">
        <v>645</v>
      </c>
      <c r="AM38" s="15">
        <f t="shared" si="14"/>
        <v>25</v>
      </c>
      <c r="AN38" s="15" t="str">
        <f t="shared" si="15"/>
        <v>初级神器1配件1</v>
      </c>
      <c r="AO38" s="15">
        <f>INDEX(芦花古楼!$BX$19:$BX$58,神器!AM38)</f>
        <v>15</v>
      </c>
      <c r="AP38" s="15" t="s">
        <v>88</v>
      </c>
      <c r="AQ38" s="15">
        <f t="shared" si="16"/>
        <v>3560</v>
      </c>
      <c r="AR38" s="15" t="s">
        <v>654</v>
      </c>
      <c r="AS38" s="15">
        <f t="shared" si="17"/>
        <v>75</v>
      </c>
    </row>
    <row r="39" spans="1:45" ht="16.5" x14ac:dyDescent="0.2">
      <c r="A39" s="60">
        <v>26</v>
      </c>
      <c r="B39" s="60">
        <v>12.5</v>
      </c>
      <c r="C39" s="22">
        <f t="shared" si="5"/>
        <v>0.1016260162601626</v>
      </c>
      <c r="D39" s="60">
        <f t="shared" si="6"/>
        <v>441607</v>
      </c>
      <c r="F39" s="15">
        <f t="shared" si="7"/>
        <v>3710</v>
      </c>
      <c r="G39" s="15">
        <f t="shared" si="7"/>
        <v>5565</v>
      </c>
      <c r="H39" s="15">
        <f t="shared" si="7"/>
        <v>9275</v>
      </c>
      <c r="I39" s="15">
        <f t="shared" si="7"/>
        <v>12985</v>
      </c>
      <c r="J39" s="15">
        <f t="shared" si="7"/>
        <v>18550</v>
      </c>
      <c r="K39" s="15">
        <f t="shared" si="7"/>
        <v>18550</v>
      </c>
      <c r="L39" s="15">
        <f t="shared" si="7"/>
        <v>18550</v>
      </c>
      <c r="N39" s="15">
        <f t="shared" si="8"/>
        <v>15.318129645396322</v>
      </c>
      <c r="O39" s="21">
        <f t="shared" si="9"/>
        <v>2.9188584570596105E-2</v>
      </c>
      <c r="P39" s="15">
        <f t="shared" si="10"/>
        <v>81</v>
      </c>
      <c r="Q39" s="15">
        <f t="shared" si="10"/>
        <v>121</v>
      </c>
      <c r="R39" s="15">
        <f t="shared" si="10"/>
        <v>202</v>
      </c>
      <c r="S39" s="15">
        <f t="shared" si="10"/>
        <v>283</v>
      </c>
      <c r="T39" s="15">
        <f t="shared" si="11"/>
        <v>405</v>
      </c>
      <c r="U39" s="15">
        <f t="shared" si="11"/>
        <v>405</v>
      </c>
      <c r="V39" s="15">
        <f t="shared" si="11"/>
        <v>405</v>
      </c>
      <c r="AI39" s="60">
        <v>26</v>
      </c>
      <c r="AJ39" s="15">
        <f t="shared" si="12"/>
        <v>1606003</v>
      </c>
      <c r="AK39" s="15" t="str">
        <f t="shared" si="13"/>
        <v>初级神器1配件1-两仪剑鞘Lvs26</v>
      </c>
      <c r="AL39" s="60" t="s">
        <v>645</v>
      </c>
      <c r="AM39" s="15">
        <f t="shared" si="14"/>
        <v>26</v>
      </c>
      <c r="AN39" s="15" t="str">
        <f t="shared" si="15"/>
        <v>初级神器1配件1</v>
      </c>
      <c r="AO39" s="15">
        <f>INDEX(芦花古楼!$BX$19:$BX$58,神器!AM39)</f>
        <v>25</v>
      </c>
      <c r="AP39" s="15" t="s">
        <v>88</v>
      </c>
      <c r="AQ39" s="15">
        <f t="shared" si="16"/>
        <v>3710</v>
      </c>
      <c r="AR39" s="15" t="s">
        <v>654</v>
      </c>
      <c r="AS39" s="15">
        <f t="shared" si="17"/>
        <v>81</v>
      </c>
    </row>
    <row r="40" spans="1:45" ht="16.5" x14ac:dyDescent="0.2">
      <c r="A40" s="60">
        <v>27</v>
      </c>
      <c r="B40" s="60">
        <v>13</v>
      </c>
      <c r="C40" s="22">
        <f t="shared" si="5"/>
        <v>0.10569105691056911</v>
      </c>
      <c r="D40" s="60">
        <f t="shared" si="6"/>
        <v>459272</v>
      </c>
      <c r="F40" s="15">
        <f t="shared" si="7"/>
        <v>3855</v>
      </c>
      <c r="G40" s="15">
        <f t="shared" si="7"/>
        <v>5785</v>
      </c>
      <c r="H40" s="15">
        <f t="shared" si="7"/>
        <v>9645</v>
      </c>
      <c r="I40" s="15">
        <f t="shared" si="7"/>
        <v>13505</v>
      </c>
      <c r="J40" s="15">
        <f t="shared" si="7"/>
        <v>19295</v>
      </c>
      <c r="K40" s="15">
        <f t="shared" si="7"/>
        <v>19295</v>
      </c>
      <c r="L40" s="15">
        <f t="shared" si="7"/>
        <v>19295</v>
      </c>
      <c r="N40" s="15">
        <f t="shared" si="8"/>
        <v>16.334036127666138</v>
      </c>
      <c r="O40" s="21">
        <f t="shared" si="9"/>
        <v>3.11243869798975E-2</v>
      </c>
      <c r="P40" s="15">
        <f t="shared" si="10"/>
        <v>86</v>
      </c>
      <c r="Q40" s="15">
        <f t="shared" si="10"/>
        <v>129</v>
      </c>
      <c r="R40" s="15">
        <f t="shared" si="10"/>
        <v>216</v>
      </c>
      <c r="S40" s="15">
        <f t="shared" si="10"/>
        <v>302</v>
      </c>
      <c r="T40" s="15">
        <f t="shared" si="11"/>
        <v>430</v>
      </c>
      <c r="U40" s="15">
        <f t="shared" si="11"/>
        <v>430</v>
      </c>
      <c r="V40" s="15">
        <f t="shared" si="11"/>
        <v>430</v>
      </c>
      <c r="AI40" s="60">
        <v>27</v>
      </c>
      <c r="AJ40" s="15">
        <f t="shared" si="12"/>
        <v>1606003</v>
      </c>
      <c r="AK40" s="15" t="str">
        <f t="shared" si="13"/>
        <v>初级神器1配件1-两仪剑鞘Lvs27</v>
      </c>
      <c r="AL40" s="60" t="s">
        <v>645</v>
      </c>
      <c r="AM40" s="15">
        <f t="shared" si="14"/>
        <v>27</v>
      </c>
      <c r="AN40" s="15" t="str">
        <f t="shared" si="15"/>
        <v>初级神器1配件1</v>
      </c>
      <c r="AO40" s="15">
        <f>INDEX(芦花古楼!$BX$19:$BX$58,神器!AM40)</f>
        <v>25</v>
      </c>
      <c r="AP40" s="15" t="s">
        <v>88</v>
      </c>
      <c r="AQ40" s="15">
        <f t="shared" si="16"/>
        <v>3855</v>
      </c>
      <c r="AR40" s="15" t="s">
        <v>654</v>
      </c>
      <c r="AS40" s="15">
        <f t="shared" si="17"/>
        <v>86</v>
      </c>
    </row>
    <row r="41" spans="1:45" ht="16.5" x14ac:dyDescent="0.2">
      <c r="A41" s="60">
        <v>28</v>
      </c>
      <c r="B41" s="60">
        <v>13.5</v>
      </c>
      <c r="C41" s="22">
        <f t="shared" si="5"/>
        <v>0.10975609756097561</v>
      </c>
      <c r="D41" s="60">
        <f t="shared" si="6"/>
        <v>476936</v>
      </c>
      <c r="F41" s="15">
        <f t="shared" si="7"/>
        <v>4005</v>
      </c>
      <c r="G41" s="15">
        <f t="shared" si="7"/>
        <v>6010</v>
      </c>
      <c r="H41" s="15">
        <f t="shared" si="7"/>
        <v>10015</v>
      </c>
      <c r="I41" s="15">
        <f t="shared" si="7"/>
        <v>14025</v>
      </c>
      <c r="J41" s="15">
        <f t="shared" si="7"/>
        <v>20035</v>
      </c>
      <c r="K41" s="15">
        <f t="shared" si="7"/>
        <v>20035</v>
      </c>
      <c r="L41" s="15">
        <f t="shared" si="7"/>
        <v>20035</v>
      </c>
      <c r="N41" s="15">
        <f t="shared" si="8"/>
        <v>17.400737934049445</v>
      </c>
      <c r="O41" s="21">
        <f t="shared" si="9"/>
        <v>3.3156979509663967E-2</v>
      </c>
      <c r="P41" s="15">
        <f t="shared" si="10"/>
        <v>92</v>
      </c>
      <c r="Q41" s="15">
        <f t="shared" si="10"/>
        <v>138</v>
      </c>
      <c r="R41" s="15">
        <f t="shared" si="10"/>
        <v>230</v>
      </c>
      <c r="S41" s="15">
        <f t="shared" si="10"/>
        <v>322</v>
      </c>
      <c r="T41" s="15">
        <f t="shared" si="11"/>
        <v>460</v>
      </c>
      <c r="U41" s="15">
        <f t="shared" si="11"/>
        <v>460</v>
      </c>
      <c r="V41" s="15">
        <f t="shared" si="11"/>
        <v>460</v>
      </c>
      <c r="AI41" s="60">
        <v>28</v>
      </c>
      <c r="AJ41" s="15">
        <f t="shared" si="12"/>
        <v>1606003</v>
      </c>
      <c r="AK41" s="15" t="str">
        <f t="shared" si="13"/>
        <v>初级神器1配件1-两仪剑鞘Lvs28</v>
      </c>
      <c r="AL41" s="60" t="s">
        <v>645</v>
      </c>
      <c r="AM41" s="15">
        <f t="shared" si="14"/>
        <v>28</v>
      </c>
      <c r="AN41" s="15" t="str">
        <f t="shared" si="15"/>
        <v>初级神器1配件1</v>
      </c>
      <c r="AO41" s="15">
        <f>INDEX(芦花古楼!$BX$19:$BX$58,神器!AM41)</f>
        <v>25</v>
      </c>
      <c r="AP41" s="15" t="s">
        <v>88</v>
      </c>
      <c r="AQ41" s="15">
        <f t="shared" si="16"/>
        <v>4005</v>
      </c>
      <c r="AR41" s="15" t="s">
        <v>654</v>
      </c>
      <c r="AS41" s="15">
        <f t="shared" si="17"/>
        <v>92</v>
      </c>
    </row>
    <row r="42" spans="1:45" ht="16.5" x14ac:dyDescent="0.2">
      <c r="A42" s="60">
        <v>29</v>
      </c>
      <c r="B42" s="60">
        <v>14</v>
      </c>
      <c r="C42" s="22">
        <f t="shared" si="5"/>
        <v>0.11382113821138211</v>
      </c>
      <c r="D42" s="60">
        <f t="shared" si="6"/>
        <v>494600</v>
      </c>
      <c r="F42" s="15">
        <f t="shared" si="7"/>
        <v>4155</v>
      </c>
      <c r="G42" s="15">
        <f t="shared" si="7"/>
        <v>6230</v>
      </c>
      <c r="H42" s="15">
        <f t="shared" si="7"/>
        <v>10390</v>
      </c>
      <c r="I42" s="15">
        <f t="shared" si="7"/>
        <v>14545</v>
      </c>
      <c r="J42" s="15">
        <f t="shared" si="7"/>
        <v>20780</v>
      </c>
      <c r="K42" s="15">
        <f t="shared" si="7"/>
        <v>20780</v>
      </c>
      <c r="L42" s="15">
        <f t="shared" si="7"/>
        <v>20780</v>
      </c>
      <c r="N42" s="15">
        <f t="shared" si="8"/>
        <v>18.520774830751918</v>
      </c>
      <c r="O42" s="21">
        <f t="shared" si="9"/>
        <v>3.5291201665918752E-2</v>
      </c>
      <c r="P42" s="15">
        <f t="shared" si="10"/>
        <v>97</v>
      </c>
      <c r="Q42" s="15">
        <f t="shared" si="10"/>
        <v>146</v>
      </c>
      <c r="R42" s="15">
        <f t="shared" si="10"/>
        <v>244</v>
      </c>
      <c r="S42" s="15">
        <f t="shared" si="10"/>
        <v>342</v>
      </c>
      <c r="T42" s="15">
        <f t="shared" si="11"/>
        <v>485</v>
      </c>
      <c r="U42" s="15">
        <f t="shared" si="11"/>
        <v>485</v>
      </c>
      <c r="V42" s="15">
        <f t="shared" si="11"/>
        <v>485</v>
      </c>
      <c r="AI42" s="60">
        <v>29</v>
      </c>
      <c r="AJ42" s="15">
        <f t="shared" si="12"/>
        <v>1606003</v>
      </c>
      <c r="AK42" s="15" t="str">
        <f t="shared" si="13"/>
        <v>初级神器1配件1-两仪剑鞘Lvs29</v>
      </c>
      <c r="AL42" s="60" t="s">
        <v>645</v>
      </c>
      <c r="AM42" s="15">
        <f t="shared" si="14"/>
        <v>29</v>
      </c>
      <c r="AN42" s="15" t="str">
        <f t="shared" si="15"/>
        <v>初级神器1配件1</v>
      </c>
      <c r="AO42" s="15">
        <f>INDEX(芦花古楼!$BX$19:$BX$58,神器!AM42)</f>
        <v>25</v>
      </c>
      <c r="AP42" s="15" t="s">
        <v>88</v>
      </c>
      <c r="AQ42" s="15">
        <f t="shared" si="16"/>
        <v>4155</v>
      </c>
      <c r="AR42" s="15" t="s">
        <v>654</v>
      </c>
      <c r="AS42" s="15">
        <f t="shared" si="17"/>
        <v>97</v>
      </c>
    </row>
    <row r="43" spans="1:45" ht="16.5" x14ac:dyDescent="0.2">
      <c r="A43" s="60">
        <v>30</v>
      </c>
      <c r="B43" s="60">
        <v>15</v>
      </c>
      <c r="C43" s="22">
        <f t="shared" si="5"/>
        <v>0.12195121951219512</v>
      </c>
      <c r="D43" s="60">
        <f t="shared" si="6"/>
        <v>529929</v>
      </c>
      <c r="F43" s="15">
        <f t="shared" si="7"/>
        <v>4450</v>
      </c>
      <c r="G43" s="15">
        <f t="shared" si="7"/>
        <v>6675</v>
      </c>
      <c r="H43" s="15">
        <f t="shared" si="7"/>
        <v>11130</v>
      </c>
      <c r="I43" s="15">
        <f t="shared" si="7"/>
        <v>15585</v>
      </c>
      <c r="J43" s="15">
        <f t="shared" si="7"/>
        <v>22265</v>
      </c>
      <c r="K43" s="15">
        <f t="shared" si="7"/>
        <v>22265</v>
      </c>
      <c r="L43" s="15">
        <f t="shared" si="7"/>
        <v>22265</v>
      </c>
      <c r="N43" s="15">
        <f t="shared" si="8"/>
        <v>19.696813572289514</v>
      </c>
      <c r="O43" s="21">
        <f t="shared" si="9"/>
        <v>3.7532134929986277E-2</v>
      </c>
      <c r="P43" s="15">
        <f t="shared" si="10"/>
        <v>104</v>
      </c>
      <c r="Q43" s="15">
        <f t="shared" si="10"/>
        <v>156</v>
      </c>
      <c r="R43" s="15">
        <f t="shared" si="10"/>
        <v>260</v>
      </c>
      <c r="S43" s="15">
        <f t="shared" si="10"/>
        <v>364</v>
      </c>
      <c r="T43" s="15">
        <f t="shared" si="11"/>
        <v>520</v>
      </c>
      <c r="U43" s="15">
        <f t="shared" si="11"/>
        <v>520</v>
      </c>
      <c r="V43" s="15">
        <f t="shared" si="11"/>
        <v>520</v>
      </c>
      <c r="AI43" s="60">
        <v>30</v>
      </c>
      <c r="AJ43" s="15">
        <f t="shared" si="12"/>
        <v>1606003</v>
      </c>
      <c r="AK43" s="15" t="str">
        <f t="shared" si="13"/>
        <v>初级神器1配件1-两仪剑鞘Lvs30</v>
      </c>
      <c r="AL43" s="60" t="s">
        <v>645</v>
      </c>
      <c r="AM43" s="15">
        <f t="shared" si="14"/>
        <v>30</v>
      </c>
      <c r="AN43" s="15" t="str">
        <f t="shared" si="15"/>
        <v>初级神器1配件1</v>
      </c>
      <c r="AO43" s="15">
        <f>INDEX(芦花古楼!$BX$19:$BX$58,神器!AM43)</f>
        <v>25</v>
      </c>
      <c r="AP43" s="15" t="s">
        <v>88</v>
      </c>
      <c r="AQ43" s="15">
        <f t="shared" si="16"/>
        <v>4450</v>
      </c>
      <c r="AR43" s="15" t="s">
        <v>654</v>
      </c>
      <c r="AS43" s="15">
        <f t="shared" si="17"/>
        <v>104</v>
      </c>
    </row>
    <row r="44" spans="1:45" ht="16.5" x14ac:dyDescent="0.2">
      <c r="A44" s="60">
        <v>31</v>
      </c>
      <c r="B44" s="60">
        <v>1</v>
      </c>
      <c r="C44" s="22">
        <f t="shared" si="5"/>
        <v>3.0303030303030304E-2</v>
      </c>
      <c r="D44" s="60">
        <f t="shared" si="6"/>
        <v>516493</v>
      </c>
      <c r="F44" s="15">
        <f t="shared" si="7"/>
        <v>4340</v>
      </c>
      <c r="G44" s="15">
        <f t="shared" si="7"/>
        <v>6510</v>
      </c>
      <c r="H44" s="15">
        <f t="shared" si="7"/>
        <v>10850</v>
      </c>
      <c r="I44" s="15">
        <f t="shared" si="7"/>
        <v>15190</v>
      </c>
      <c r="J44" s="15">
        <f t="shared" si="7"/>
        <v>21700</v>
      </c>
      <c r="K44" s="15">
        <f t="shared" si="7"/>
        <v>21700</v>
      </c>
      <c r="L44" s="15">
        <f t="shared" si="7"/>
        <v>21700</v>
      </c>
      <c r="N44" s="15">
        <f t="shared" si="8"/>
        <v>20.931654250903989</v>
      </c>
      <c r="O44" s="21">
        <f t="shared" si="9"/>
        <v>3.9885114857257181E-2</v>
      </c>
      <c r="P44" s="15">
        <f t="shared" si="10"/>
        <v>110</v>
      </c>
      <c r="Q44" s="15">
        <f t="shared" si="10"/>
        <v>166</v>
      </c>
      <c r="R44" s="15">
        <f t="shared" si="10"/>
        <v>276</v>
      </c>
      <c r="S44" s="15">
        <f t="shared" si="10"/>
        <v>387</v>
      </c>
      <c r="T44" s="15">
        <f t="shared" si="11"/>
        <v>550</v>
      </c>
      <c r="U44" s="15">
        <f t="shared" si="11"/>
        <v>550</v>
      </c>
      <c r="V44" s="15">
        <f t="shared" si="11"/>
        <v>550</v>
      </c>
      <c r="AI44" s="60">
        <v>31</v>
      </c>
      <c r="AJ44" s="15">
        <f t="shared" si="12"/>
        <v>1606003</v>
      </c>
      <c r="AK44" s="15" t="str">
        <f t="shared" si="13"/>
        <v>初级神器1配件1-两仪剑鞘Lvs31</v>
      </c>
      <c r="AL44" s="60" t="s">
        <v>645</v>
      </c>
      <c r="AM44" s="15">
        <f t="shared" si="14"/>
        <v>31</v>
      </c>
      <c r="AN44" s="15" t="str">
        <f t="shared" si="15"/>
        <v>初级神器1配件1</v>
      </c>
      <c r="AO44" s="15">
        <f>INDEX(芦花古楼!$BX$19:$BX$58,神器!AM44)</f>
        <v>30</v>
      </c>
      <c r="AP44" s="15" t="s">
        <v>88</v>
      </c>
      <c r="AQ44" s="15">
        <f t="shared" si="16"/>
        <v>4340</v>
      </c>
      <c r="AR44" s="15" t="s">
        <v>654</v>
      </c>
      <c r="AS44" s="15">
        <f t="shared" si="17"/>
        <v>110</v>
      </c>
    </row>
    <row r="45" spans="1:45" ht="16.5" x14ac:dyDescent="0.2">
      <c r="A45" s="60">
        <v>32</v>
      </c>
      <c r="B45" s="60">
        <v>1.5</v>
      </c>
      <c r="C45" s="22">
        <f t="shared" si="5"/>
        <v>4.5454545454545456E-2</v>
      </c>
      <c r="D45" s="60">
        <f t="shared" si="6"/>
        <v>774740</v>
      </c>
      <c r="F45" s="15">
        <f t="shared" si="7"/>
        <v>6510</v>
      </c>
      <c r="G45" s="15">
        <f t="shared" si="7"/>
        <v>9765</v>
      </c>
      <c r="H45" s="15">
        <f t="shared" si="7"/>
        <v>16275</v>
      </c>
      <c r="I45" s="15">
        <f t="shared" si="7"/>
        <v>22785</v>
      </c>
      <c r="J45" s="15">
        <f t="shared" si="7"/>
        <v>32550</v>
      </c>
      <c r="K45" s="15">
        <f t="shared" si="7"/>
        <v>32550</v>
      </c>
      <c r="L45" s="15">
        <f t="shared" si="7"/>
        <v>32550</v>
      </c>
      <c r="N45" s="15">
        <f t="shared" si="8"/>
        <v>22.228236963449188</v>
      </c>
      <c r="O45" s="21">
        <f t="shared" si="9"/>
        <v>4.235574378089163E-2</v>
      </c>
      <c r="P45" s="15">
        <f t="shared" si="10"/>
        <v>117</v>
      </c>
      <c r="Q45" s="15">
        <f t="shared" si="10"/>
        <v>176</v>
      </c>
      <c r="R45" s="15">
        <f t="shared" si="10"/>
        <v>293</v>
      </c>
      <c r="S45" s="15">
        <f t="shared" si="10"/>
        <v>411</v>
      </c>
      <c r="T45" s="15">
        <f t="shared" si="11"/>
        <v>585</v>
      </c>
      <c r="U45" s="15">
        <f t="shared" si="11"/>
        <v>585</v>
      </c>
      <c r="V45" s="15">
        <f t="shared" si="11"/>
        <v>585</v>
      </c>
      <c r="AI45" s="60">
        <v>32</v>
      </c>
      <c r="AJ45" s="15">
        <f t="shared" si="12"/>
        <v>1606003</v>
      </c>
      <c r="AK45" s="15" t="str">
        <f t="shared" si="13"/>
        <v>初级神器1配件1-两仪剑鞘Lvs32</v>
      </c>
      <c r="AL45" s="60" t="s">
        <v>645</v>
      </c>
      <c r="AM45" s="15">
        <f t="shared" si="14"/>
        <v>32</v>
      </c>
      <c r="AN45" s="15" t="str">
        <f t="shared" si="15"/>
        <v>初级神器1配件1</v>
      </c>
      <c r="AO45" s="15">
        <f>INDEX(芦花古楼!$BX$19:$BX$58,神器!AM45)</f>
        <v>30</v>
      </c>
      <c r="AP45" s="15" t="s">
        <v>88</v>
      </c>
      <c r="AQ45" s="15">
        <f t="shared" si="16"/>
        <v>6510</v>
      </c>
      <c r="AR45" s="15" t="s">
        <v>654</v>
      </c>
      <c r="AS45" s="15">
        <f t="shared" si="17"/>
        <v>117</v>
      </c>
    </row>
    <row r="46" spans="1:45" ht="16.5" x14ac:dyDescent="0.2">
      <c r="A46" s="60">
        <v>33</v>
      </c>
      <c r="B46" s="60">
        <v>2</v>
      </c>
      <c r="C46" s="22">
        <f t="shared" si="5"/>
        <v>6.0606060606060608E-2</v>
      </c>
      <c r="D46" s="60">
        <f t="shared" si="6"/>
        <v>1032987</v>
      </c>
      <c r="F46" s="15">
        <f t="shared" si="7"/>
        <v>8680</v>
      </c>
      <c r="G46" s="15">
        <f t="shared" si="7"/>
        <v>13020</v>
      </c>
      <c r="H46" s="15">
        <f t="shared" si="7"/>
        <v>21700</v>
      </c>
      <c r="I46" s="15">
        <f t="shared" si="7"/>
        <v>30380</v>
      </c>
      <c r="J46" s="15">
        <f t="shared" si="7"/>
        <v>43400</v>
      </c>
      <c r="K46" s="15">
        <f t="shared" si="7"/>
        <v>43400</v>
      </c>
      <c r="L46" s="15">
        <f t="shared" si="7"/>
        <v>43400</v>
      </c>
      <c r="N46" s="15">
        <f t="shared" si="8"/>
        <v>23.589648811621647</v>
      </c>
      <c r="O46" s="21">
        <f t="shared" si="9"/>
        <v>4.4949904150707799E-2</v>
      </c>
      <c r="P46" s="15">
        <f t="shared" si="10"/>
        <v>124</v>
      </c>
      <c r="Q46" s="15">
        <f t="shared" si="10"/>
        <v>187</v>
      </c>
      <c r="R46" s="15">
        <f t="shared" si="10"/>
        <v>312</v>
      </c>
      <c r="S46" s="15">
        <f t="shared" si="10"/>
        <v>436</v>
      </c>
      <c r="T46" s="15">
        <f t="shared" si="11"/>
        <v>620</v>
      </c>
      <c r="U46" s="15">
        <f t="shared" si="11"/>
        <v>620</v>
      </c>
      <c r="V46" s="15">
        <f t="shared" si="11"/>
        <v>620</v>
      </c>
      <c r="AI46" s="60">
        <v>33</v>
      </c>
      <c r="AJ46" s="15">
        <f t="shared" si="12"/>
        <v>1606003</v>
      </c>
      <c r="AK46" s="15" t="str">
        <f t="shared" si="13"/>
        <v>初级神器1配件1-两仪剑鞘Lvs33</v>
      </c>
      <c r="AL46" s="60" t="s">
        <v>645</v>
      </c>
      <c r="AM46" s="15">
        <f t="shared" si="14"/>
        <v>33</v>
      </c>
      <c r="AN46" s="15" t="str">
        <f t="shared" si="15"/>
        <v>初级神器1配件1</v>
      </c>
      <c r="AO46" s="15">
        <f>INDEX(芦花古楼!$BX$19:$BX$58,神器!AM46)</f>
        <v>30</v>
      </c>
      <c r="AP46" s="15" t="s">
        <v>88</v>
      </c>
      <c r="AQ46" s="15">
        <f t="shared" si="16"/>
        <v>8680</v>
      </c>
      <c r="AR46" s="15" t="s">
        <v>654</v>
      </c>
      <c r="AS46" s="15">
        <f t="shared" si="17"/>
        <v>124</v>
      </c>
    </row>
    <row r="47" spans="1:45" ht="16.5" x14ac:dyDescent="0.2">
      <c r="A47" s="60">
        <v>34</v>
      </c>
      <c r="B47" s="60">
        <v>2.5</v>
      </c>
      <c r="C47" s="22">
        <f t="shared" si="5"/>
        <v>7.575757575757576E-2</v>
      </c>
      <c r="D47" s="60">
        <f t="shared" si="6"/>
        <v>1291234</v>
      </c>
      <c r="F47" s="15">
        <f t="shared" si="7"/>
        <v>10850</v>
      </c>
      <c r="G47" s="15">
        <f t="shared" si="7"/>
        <v>16275</v>
      </c>
      <c r="H47" s="15">
        <f t="shared" si="7"/>
        <v>27125</v>
      </c>
      <c r="I47" s="15">
        <f t="shared" si="7"/>
        <v>37975</v>
      </c>
      <c r="J47" s="15">
        <f t="shared" si="7"/>
        <v>54250</v>
      </c>
      <c r="K47" s="15">
        <f t="shared" si="7"/>
        <v>54250</v>
      </c>
      <c r="L47" s="15">
        <f t="shared" si="7"/>
        <v>54250</v>
      </c>
      <c r="N47" s="15">
        <f t="shared" si="8"/>
        <v>25.01913125220273</v>
      </c>
      <c r="O47" s="21">
        <f t="shared" si="9"/>
        <v>4.767377253901478E-2</v>
      </c>
      <c r="P47" s="15">
        <f t="shared" si="10"/>
        <v>132</v>
      </c>
      <c r="Q47" s="15">
        <f t="shared" si="10"/>
        <v>198</v>
      </c>
      <c r="R47" s="15">
        <f t="shared" si="10"/>
        <v>330</v>
      </c>
      <c r="S47" s="15">
        <f t="shared" si="10"/>
        <v>463</v>
      </c>
      <c r="T47" s="15">
        <f t="shared" si="11"/>
        <v>660</v>
      </c>
      <c r="U47" s="15">
        <f t="shared" si="11"/>
        <v>660</v>
      </c>
      <c r="V47" s="15">
        <f t="shared" si="11"/>
        <v>660</v>
      </c>
      <c r="AI47" s="60">
        <v>34</v>
      </c>
      <c r="AJ47" s="15">
        <f t="shared" si="12"/>
        <v>1606003</v>
      </c>
      <c r="AK47" s="15" t="str">
        <f t="shared" si="13"/>
        <v>初级神器1配件1-两仪剑鞘Lvs34</v>
      </c>
      <c r="AL47" s="60" t="s">
        <v>645</v>
      </c>
      <c r="AM47" s="15">
        <f t="shared" si="14"/>
        <v>34</v>
      </c>
      <c r="AN47" s="15" t="str">
        <f t="shared" si="15"/>
        <v>初级神器1配件1</v>
      </c>
      <c r="AO47" s="15">
        <f>INDEX(芦花古楼!$BX$19:$BX$58,神器!AM47)</f>
        <v>30</v>
      </c>
      <c r="AP47" s="15" t="s">
        <v>88</v>
      </c>
      <c r="AQ47" s="15">
        <f t="shared" si="16"/>
        <v>10850</v>
      </c>
      <c r="AR47" s="15" t="s">
        <v>654</v>
      </c>
      <c r="AS47" s="15">
        <f t="shared" si="17"/>
        <v>132</v>
      </c>
    </row>
    <row r="48" spans="1:45" ht="16.5" x14ac:dyDescent="0.2">
      <c r="A48" s="60">
        <v>35</v>
      </c>
      <c r="B48" s="60">
        <v>3</v>
      </c>
      <c r="C48" s="22">
        <f t="shared" si="5"/>
        <v>9.0909090909090912E-2</v>
      </c>
      <c r="D48" s="60">
        <f t="shared" si="6"/>
        <v>1549481</v>
      </c>
      <c r="F48" s="15">
        <f t="shared" si="7"/>
        <v>13020</v>
      </c>
      <c r="G48" s="15">
        <f t="shared" si="7"/>
        <v>19530</v>
      </c>
      <c r="H48" s="15">
        <f t="shared" si="7"/>
        <v>32550</v>
      </c>
      <c r="I48" s="15">
        <f t="shared" si="7"/>
        <v>45570</v>
      </c>
      <c r="J48" s="15">
        <f t="shared" si="7"/>
        <v>65100</v>
      </c>
      <c r="K48" s="15">
        <f t="shared" si="7"/>
        <v>65100</v>
      </c>
      <c r="L48" s="15">
        <f t="shared" si="7"/>
        <v>65100</v>
      </c>
      <c r="N48" s="15">
        <f t="shared" si="8"/>
        <v>26.520087814812868</v>
      </c>
      <c r="O48" s="21">
        <f t="shared" si="9"/>
        <v>5.0533834346737111E-2</v>
      </c>
      <c r="P48" s="15">
        <f t="shared" si="10"/>
        <v>140</v>
      </c>
      <c r="Q48" s="15">
        <f t="shared" si="10"/>
        <v>210</v>
      </c>
      <c r="R48" s="15">
        <f t="shared" si="10"/>
        <v>350</v>
      </c>
      <c r="S48" s="15">
        <f t="shared" si="10"/>
        <v>491</v>
      </c>
      <c r="T48" s="15">
        <f t="shared" si="11"/>
        <v>700</v>
      </c>
      <c r="U48" s="15">
        <f t="shared" si="11"/>
        <v>700</v>
      </c>
      <c r="V48" s="15">
        <f t="shared" si="11"/>
        <v>700</v>
      </c>
      <c r="AI48" s="60">
        <v>35</v>
      </c>
      <c r="AJ48" s="15">
        <f t="shared" si="12"/>
        <v>1606003</v>
      </c>
      <c r="AK48" s="15" t="str">
        <f t="shared" si="13"/>
        <v>初级神器1配件1-两仪剑鞘Lvs35</v>
      </c>
      <c r="AL48" s="60" t="s">
        <v>645</v>
      </c>
      <c r="AM48" s="15">
        <f t="shared" si="14"/>
        <v>35</v>
      </c>
      <c r="AN48" s="15" t="str">
        <f t="shared" si="15"/>
        <v>初级神器1配件1</v>
      </c>
      <c r="AO48" s="15">
        <f>INDEX(芦花古楼!$BX$19:$BX$58,神器!AM48)</f>
        <v>30</v>
      </c>
      <c r="AP48" s="15" t="s">
        <v>88</v>
      </c>
      <c r="AQ48" s="15">
        <f t="shared" si="16"/>
        <v>13020</v>
      </c>
      <c r="AR48" s="15" t="s">
        <v>654</v>
      </c>
      <c r="AS48" s="15">
        <f t="shared" si="17"/>
        <v>140</v>
      </c>
    </row>
    <row r="49" spans="1:45" ht="16.5" x14ac:dyDescent="0.2">
      <c r="A49" s="60">
        <v>36</v>
      </c>
      <c r="B49" s="60">
        <v>3.5</v>
      </c>
      <c r="C49" s="22">
        <f t="shared" si="5"/>
        <v>0.10606060606060606</v>
      </c>
      <c r="D49" s="60">
        <f t="shared" si="6"/>
        <v>1807728</v>
      </c>
      <c r="F49" s="15">
        <f t="shared" si="7"/>
        <v>15190</v>
      </c>
      <c r="G49" s="15">
        <f t="shared" si="7"/>
        <v>22785</v>
      </c>
      <c r="H49" s="15">
        <f t="shared" si="7"/>
        <v>37975</v>
      </c>
      <c r="I49" s="15">
        <f t="shared" si="7"/>
        <v>53165</v>
      </c>
      <c r="J49" s="15">
        <f t="shared" si="7"/>
        <v>75950</v>
      </c>
      <c r="K49" s="15">
        <f t="shared" si="7"/>
        <v>75950</v>
      </c>
      <c r="L49" s="15">
        <f t="shared" si="7"/>
        <v>75950</v>
      </c>
      <c r="N49" s="15">
        <f t="shared" si="8"/>
        <v>28.096092205553514</v>
      </c>
      <c r="O49" s="21">
        <f t="shared" si="9"/>
        <v>5.3536899244845566E-2</v>
      </c>
      <c r="P49" s="15">
        <f t="shared" si="10"/>
        <v>148</v>
      </c>
      <c r="Q49" s="15">
        <f t="shared" si="10"/>
        <v>222</v>
      </c>
      <c r="R49" s="15">
        <f t="shared" si="10"/>
        <v>371</v>
      </c>
      <c r="S49" s="15">
        <f t="shared" si="10"/>
        <v>520</v>
      </c>
      <c r="T49" s="15">
        <f t="shared" si="11"/>
        <v>740</v>
      </c>
      <c r="U49" s="15">
        <f t="shared" si="11"/>
        <v>740</v>
      </c>
      <c r="V49" s="15">
        <f t="shared" si="11"/>
        <v>740</v>
      </c>
      <c r="AI49" s="60">
        <v>36</v>
      </c>
      <c r="AJ49" s="15">
        <f t="shared" si="12"/>
        <v>1606003</v>
      </c>
      <c r="AK49" s="15" t="str">
        <f t="shared" si="13"/>
        <v>初级神器1配件1-两仪剑鞘Lvs36</v>
      </c>
      <c r="AL49" s="60" t="s">
        <v>645</v>
      </c>
      <c r="AM49" s="15">
        <f t="shared" si="14"/>
        <v>36</v>
      </c>
      <c r="AN49" s="15" t="str">
        <f t="shared" si="15"/>
        <v>初级神器1配件1</v>
      </c>
      <c r="AO49" s="15">
        <f>INDEX(芦花古楼!$BX$19:$BX$58,神器!AM49)</f>
        <v>40</v>
      </c>
      <c r="AP49" s="15" t="s">
        <v>88</v>
      </c>
      <c r="AQ49" s="15">
        <f t="shared" si="16"/>
        <v>15190</v>
      </c>
      <c r="AR49" s="15" t="s">
        <v>654</v>
      </c>
      <c r="AS49" s="15">
        <f t="shared" si="17"/>
        <v>148</v>
      </c>
    </row>
    <row r="50" spans="1:45" ht="16.5" x14ac:dyDescent="0.2">
      <c r="A50" s="60">
        <v>37</v>
      </c>
      <c r="B50" s="60">
        <v>4</v>
      </c>
      <c r="C50" s="22">
        <f t="shared" si="5"/>
        <v>0.12121212121212122</v>
      </c>
      <c r="D50" s="60">
        <f t="shared" si="6"/>
        <v>2065975</v>
      </c>
      <c r="F50" s="15">
        <f t="shared" si="7"/>
        <v>17360</v>
      </c>
      <c r="G50" s="15">
        <f t="shared" si="7"/>
        <v>26040</v>
      </c>
      <c r="H50" s="15">
        <f t="shared" si="7"/>
        <v>43400</v>
      </c>
      <c r="I50" s="15">
        <f t="shared" si="7"/>
        <v>60760</v>
      </c>
      <c r="J50" s="15">
        <f t="shared" si="7"/>
        <v>86805</v>
      </c>
      <c r="K50" s="15">
        <f t="shared" si="7"/>
        <v>86805</v>
      </c>
      <c r="L50" s="15">
        <f t="shared" si="7"/>
        <v>86805</v>
      </c>
      <c r="N50" s="15">
        <f t="shared" si="8"/>
        <v>29.75089681583119</v>
      </c>
      <c r="O50" s="21">
        <f t="shared" si="9"/>
        <v>5.669011738785943E-2</v>
      </c>
      <c r="P50" s="15">
        <f t="shared" si="10"/>
        <v>157</v>
      </c>
      <c r="Q50" s="15">
        <f t="shared" si="10"/>
        <v>236</v>
      </c>
      <c r="R50" s="15">
        <f t="shared" si="10"/>
        <v>393</v>
      </c>
      <c r="S50" s="15">
        <f t="shared" si="10"/>
        <v>550</v>
      </c>
      <c r="T50" s="15">
        <f t="shared" si="11"/>
        <v>785</v>
      </c>
      <c r="U50" s="15">
        <f t="shared" si="11"/>
        <v>785</v>
      </c>
      <c r="V50" s="15">
        <f t="shared" si="11"/>
        <v>785</v>
      </c>
      <c r="AI50" s="60">
        <v>37</v>
      </c>
      <c r="AJ50" s="15">
        <f t="shared" si="12"/>
        <v>1606003</v>
      </c>
      <c r="AK50" s="15" t="str">
        <f t="shared" si="13"/>
        <v>初级神器1配件1-两仪剑鞘Lvs37</v>
      </c>
      <c r="AL50" s="60" t="s">
        <v>645</v>
      </c>
      <c r="AM50" s="15">
        <f t="shared" si="14"/>
        <v>37</v>
      </c>
      <c r="AN50" s="15" t="str">
        <f t="shared" si="15"/>
        <v>初级神器1配件1</v>
      </c>
      <c r="AO50" s="15">
        <f>INDEX(芦花古楼!$BX$19:$BX$58,神器!AM50)</f>
        <v>40</v>
      </c>
      <c r="AP50" s="15" t="s">
        <v>88</v>
      </c>
      <c r="AQ50" s="15">
        <f t="shared" si="16"/>
        <v>17360</v>
      </c>
      <c r="AR50" s="15" t="s">
        <v>654</v>
      </c>
      <c r="AS50" s="15">
        <f t="shared" si="17"/>
        <v>157</v>
      </c>
    </row>
    <row r="51" spans="1:45" ht="16.5" x14ac:dyDescent="0.2">
      <c r="A51" s="60">
        <v>38</v>
      </c>
      <c r="B51" s="60">
        <v>4.5</v>
      </c>
      <c r="C51" s="22">
        <f t="shared" si="5"/>
        <v>0.13636363636363635</v>
      </c>
      <c r="D51" s="60">
        <f t="shared" si="6"/>
        <v>2324222</v>
      </c>
      <c r="F51" s="15">
        <f t="shared" si="7"/>
        <v>19530</v>
      </c>
      <c r="G51" s="15">
        <f t="shared" si="7"/>
        <v>29295</v>
      </c>
      <c r="H51" s="15">
        <f t="shared" si="7"/>
        <v>48825</v>
      </c>
      <c r="I51" s="15">
        <f t="shared" si="7"/>
        <v>68355</v>
      </c>
      <c r="J51" s="15">
        <f t="shared" si="7"/>
        <v>97655</v>
      </c>
      <c r="K51" s="15">
        <f t="shared" si="7"/>
        <v>97655</v>
      </c>
      <c r="L51" s="15">
        <f t="shared" si="7"/>
        <v>97655</v>
      </c>
      <c r="N51" s="15">
        <f t="shared" si="8"/>
        <v>31.488441656622751</v>
      </c>
      <c r="O51" s="21">
        <f t="shared" si="9"/>
        <v>6.0000996438023993E-2</v>
      </c>
      <c r="P51" s="15">
        <f t="shared" si="10"/>
        <v>166</v>
      </c>
      <c r="Q51" s="15">
        <f t="shared" si="10"/>
        <v>249</v>
      </c>
      <c r="R51" s="15">
        <f t="shared" si="10"/>
        <v>416</v>
      </c>
      <c r="S51" s="15">
        <f t="shared" si="10"/>
        <v>583</v>
      </c>
      <c r="T51" s="15">
        <f t="shared" si="11"/>
        <v>830</v>
      </c>
      <c r="U51" s="15">
        <f t="shared" si="11"/>
        <v>830</v>
      </c>
      <c r="V51" s="15">
        <f t="shared" si="11"/>
        <v>830</v>
      </c>
      <c r="AI51" s="60">
        <v>38</v>
      </c>
      <c r="AJ51" s="15">
        <f t="shared" si="12"/>
        <v>1606003</v>
      </c>
      <c r="AK51" s="15" t="str">
        <f t="shared" si="13"/>
        <v>初级神器1配件1-两仪剑鞘Lvs38</v>
      </c>
      <c r="AL51" s="60" t="s">
        <v>645</v>
      </c>
      <c r="AM51" s="15">
        <f t="shared" si="14"/>
        <v>38</v>
      </c>
      <c r="AN51" s="15" t="str">
        <f t="shared" si="15"/>
        <v>初级神器1配件1</v>
      </c>
      <c r="AO51" s="15">
        <f>INDEX(芦花古楼!$BX$19:$BX$58,神器!AM51)</f>
        <v>40</v>
      </c>
      <c r="AP51" s="15" t="s">
        <v>88</v>
      </c>
      <c r="AQ51" s="15">
        <f t="shared" si="16"/>
        <v>19530</v>
      </c>
      <c r="AR51" s="15" t="s">
        <v>654</v>
      </c>
      <c r="AS51" s="15">
        <f t="shared" si="17"/>
        <v>166</v>
      </c>
    </row>
    <row r="52" spans="1:45" ht="16.5" x14ac:dyDescent="0.2">
      <c r="A52" s="60">
        <v>39</v>
      </c>
      <c r="B52" s="60">
        <v>5</v>
      </c>
      <c r="C52" s="22">
        <f t="shared" si="5"/>
        <v>0.15151515151515152</v>
      </c>
      <c r="D52" s="60">
        <f t="shared" si="6"/>
        <v>2582469</v>
      </c>
      <c r="F52" s="15">
        <f t="shared" si="7"/>
        <v>21700</v>
      </c>
      <c r="G52" s="15">
        <f t="shared" si="7"/>
        <v>32550</v>
      </c>
      <c r="H52" s="15">
        <f t="shared" si="7"/>
        <v>54250</v>
      </c>
      <c r="I52" s="15">
        <f t="shared" si="7"/>
        <v>75950</v>
      </c>
      <c r="J52" s="15">
        <f t="shared" si="7"/>
        <v>108505</v>
      </c>
      <c r="K52" s="15">
        <f t="shared" si="7"/>
        <v>108505</v>
      </c>
      <c r="L52" s="15">
        <f t="shared" si="7"/>
        <v>108505</v>
      </c>
      <c r="N52" s="15">
        <f t="shared" si="8"/>
        <v>33.312863739453888</v>
      </c>
      <c r="O52" s="21">
        <f t="shared" si="9"/>
        <v>6.3477419440696778E-2</v>
      </c>
      <c r="P52" s="15">
        <f t="shared" si="10"/>
        <v>176</v>
      </c>
      <c r="Q52" s="15">
        <f t="shared" si="10"/>
        <v>264</v>
      </c>
      <c r="R52" s="15">
        <f t="shared" si="10"/>
        <v>440</v>
      </c>
      <c r="S52" s="15">
        <f t="shared" si="10"/>
        <v>616</v>
      </c>
      <c r="T52" s="15">
        <f t="shared" si="11"/>
        <v>880</v>
      </c>
      <c r="U52" s="15">
        <f t="shared" si="11"/>
        <v>880</v>
      </c>
      <c r="V52" s="15">
        <f t="shared" si="11"/>
        <v>880</v>
      </c>
      <c r="AI52" s="60">
        <v>39</v>
      </c>
      <c r="AJ52" s="15">
        <f t="shared" si="12"/>
        <v>1606003</v>
      </c>
      <c r="AK52" s="15" t="str">
        <f t="shared" si="13"/>
        <v>初级神器1配件1-两仪剑鞘Lvs39</v>
      </c>
      <c r="AL52" s="60" t="s">
        <v>645</v>
      </c>
      <c r="AM52" s="15">
        <f t="shared" si="14"/>
        <v>39</v>
      </c>
      <c r="AN52" s="15" t="str">
        <f t="shared" si="15"/>
        <v>初级神器1配件1</v>
      </c>
      <c r="AO52" s="15">
        <f>INDEX(芦花古楼!$BX$19:$BX$58,神器!AM52)</f>
        <v>40</v>
      </c>
      <c r="AP52" s="15" t="s">
        <v>88</v>
      </c>
      <c r="AQ52" s="15">
        <f t="shared" si="16"/>
        <v>21700</v>
      </c>
      <c r="AR52" s="15" t="s">
        <v>654</v>
      </c>
      <c r="AS52" s="15">
        <f t="shared" si="17"/>
        <v>176</v>
      </c>
    </row>
    <row r="53" spans="1:45" ht="16.5" x14ac:dyDescent="0.2">
      <c r="A53" s="60">
        <v>40</v>
      </c>
      <c r="B53" s="60">
        <v>6</v>
      </c>
      <c r="C53" s="22">
        <f t="shared" si="5"/>
        <v>0.18181818181818182</v>
      </c>
      <c r="D53" s="60">
        <f t="shared" si="6"/>
        <v>3098963</v>
      </c>
      <c r="F53" s="15">
        <f t="shared" si="7"/>
        <v>26040</v>
      </c>
      <c r="G53" s="15">
        <f t="shared" si="7"/>
        <v>39060</v>
      </c>
      <c r="H53" s="15">
        <f t="shared" si="7"/>
        <v>65100</v>
      </c>
      <c r="I53" s="15">
        <f t="shared" si="7"/>
        <v>91145</v>
      </c>
      <c r="J53" s="15">
        <f t="shared" si="7"/>
        <v>130205</v>
      </c>
      <c r="K53" s="15">
        <f t="shared" si="7"/>
        <v>130205</v>
      </c>
      <c r="L53" s="15">
        <f t="shared" si="7"/>
        <v>130205</v>
      </c>
      <c r="N53" s="15">
        <f t="shared" si="8"/>
        <v>35.228506926426583</v>
      </c>
      <c r="O53" s="21">
        <f t="shared" si="9"/>
        <v>6.7127663593503209E-2</v>
      </c>
      <c r="P53" s="15">
        <f t="shared" si="10"/>
        <v>186</v>
      </c>
      <c r="Q53" s="15">
        <f t="shared" si="10"/>
        <v>279</v>
      </c>
      <c r="R53" s="15">
        <f t="shared" si="10"/>
        <v>465</v>
      </c>
      <c r="S53" s="15">
        <f t="shared" si="10"/>
        <v>652</v>
      </c>
      <c r="T53" s="15">
        <f t="shared" si="11"/>
        <v>930</v>
      </c>
      <c r="U53" s="15">
        <f t="shared" si="11"/>
        <v>930</v>
      </c>
      <c r="V53" s="15">
        <f t="shared" si="11"/>
        <v>930</v>
      </c>
      <c r="AI53" s="60">
        <v>40</v>
      </c>
      <c r="AJ53" s="15">
        <f t="shared" si="12"/>
        <v>1606003</v>
      </c>
      <c r="AK53" s="15" t="str">
        <f t="shared" si="13"/>
        <v>初级神器1配件1-两仪剑鞘Lvs40</v>
      </c>
      <c r="AL53" s="60" t="s">
        <v>645</v>
      </c>
      <c r="AM53" s="15">
        <f t="shared" si="14"/>
        <v>40</v>
      </c>
      <c r="AN53" s="15" t="str">
        <f t="shared" si="15"/>
        <v>初级神器1配件1</v>
      </c>
      <c r="AO53" s="15">
        <f>INDEX(芦花古楼!$BX$19:$BX$58,神器!AM53)</f>
        <v>40</v>
      </c>
      <c r="AP53" s="15" t="s">
        <v>88</v>
      </c>
      <c r="AQ53" s="15">
        <f t="shared" si="16"/>
        <v>26040</v>
      </c>
      <c r="AR53" s="15" t="s">
        <v>654</v>
      </c>
      <c r="AS53" s="15">
        <f t="shared" si="17"/>
        <v>186</v>
      </c>
    </row>
    <row r="54" spans="1:45" ht="16.5" x14ac:dyDescent="0.2">
      <c r="AI54" s="60">
        <v>41</v>
      </c>
      <c r="AJ54" s="15">
        <f t="shared" si="12"/>
        <v>1606004</v>
      </c>
      <c r="AK54" s="15" t="str">
        <f t="shared" si="13"/>
        <v>初级神器1配件2-剑结Lvs1</v>
      </c>
      <c r="AL54" s="60" t="s">
        <v>645</v>
      </c>
      <c r="AM54" s="15">
        <f t="shared" si="14"/>
        <v>1</v>
      </c>
      <c r="AN54" s="15" t="str">
        <f t="shared" si="15"/>
        <v>初级神器1配件2</v>
      </c>
      <c r="AO54" s="15">
        <f>INDEX(芦花古楼!$BX$19:$BX$58,神器!AM54)</f>
        <v>1</v>
      </c>
      <c r="AP54" s="15" t="s">
        <v>88</v>
      </c>
      <c r="AQ54" s="15">
        <f t="shared" si="16"/>
        <v>200</v>
      </c>
      <c r="AR54" s="15" t="s">
        <v>654</v>
      </c>
      <c r="AS54" s="15">
        <f t="shared" si="17"/>
        <v>7</v>
      </c>
    </row>
    <row r="55" spans="1:45" ht="16.5" x14ac:dyDescent="0.2">
      <c r="AI55" s="60">
        <v>42</v>
      </c>
      <c r="AJ55" s="15">
        <f t="shared" si="12"/>
        <v>1606004</v>
      </c>
      <c r="AK55" s="15" t="str">
        <f t="shared" si="13"/>
        <v>初级神器1配件2-剑结Lvs2</v>
      </c>
      <c r="AL55" s="60" t="s">
        <v>645</v>
      </c>
      <c r="AM55" s="15">
        <f t="shared" si="14"/>
        <v>2</v>
      </c>
      <c r="AN55" s="15" t="str">
        <f t="shared" si="15"/>
        <v>初级神器1配件2</v>
      </c>
      <c r="AO55" s="15">
        <f>INDEX(芦花古楼!$BX$19:$BX$58,神器!AM55)</f>
        <v>1</v>
      </c>
      <c r="AP55" s="15" t="s">
        <v>88</v>
      </c>
      <c r="AQ55" s="15">
        <f t="shared" si="16"/>
        <v>300</v>
      </c>
      <c r="AR55" s="15" t="s">
        <v>654</v>
      </c>
      <c r="AS55" s="15">
        <f t="shared" si="17"/>
        <v>10</v>
      </c>
    </row>
    <row r="56" spans="1:45" ht="16.5" x14ac:dyDescent="0.2">
      <c r="AI56" s="60">
        <v>43</v>
      </c>
      <c r="AJ56" s="15">
        <f t="shared" si="12"/>
        <v>1606004</v>
      </c>
      <c r="AK56" s="15" t="str">
        <f t="shared" si="13"/>
        <v>初级神器1配件2-剑结Lvs3</v>
      </c>
      <c r="AL56" s="60" t="s">
        <v>645</v>
      </c>
      <c r="AM56" s="15">
        <f t="shared" si="14"/>
        <v>3</v>
      </c>
      <c r="AN56" s="15" t="str">
        <f t="shared" si="15"/>
        <v>初级神器1配件2</v>
      </c>
      <c r="AO56" s="15">
        <f>INDEX(芦花古楼!$BX$19:$BX$58,神器!AM56)</f>
        <v>2</v>
      </c>
      <c r="AP56" s="15" t="s">
        <v>88</v>
      </c>
      <c r="AQ56" s="15">
        <f t="shared" si="16"/>
        <v>400</v>
      </c>
      <c r="AR56" s="15" t="s">
        <v>654</v>
      </c>
      <c r="AS56" s="15">
        <f t="shared" si="17"/>
        <v>12</v>
      </c>
    </row>
    <row r="57" spans="1:45" ht="16.5" x14ac:dyDescent="0.2">
      <c r="AI57" s="60">
        <v>44</v>
      </c>
      <c r="AJ57" s="15">
        <f t="shared" si="12"/>
        <v>1606004</v>
      </c>
      <c r="AK57" s="15" t="str">
        <f t="shared" si="13"/>
        <v>初级神器1配件2-剑结Lvs4</v>
      </c>
      <c r="AL57" s="60" t="s">
        <v>645</v>
      </c>
      <c r="AM57" s="15">
        <f t="shared" si="14"/>
        <v>4</v>
      </c>
      <c r="AN57" s="15" t="str">
        <f t="shared" si="15"/>
        <v>初级神器1配件2</v>
      </c>
      <c r="AO57" s="15">
        <f>INDEX(芦花古楼!$BX$19:$BX$58,神器!AM57)</f>
        <v>3</v>
      </c>
      <c r="AP57" s="15" t="s">
        <v>88</v>
      </c>
      <c r="AQ57" s="15">
        <f t="shared" si="16"/>
        <v>500</v>
      </c>
      <c r="AR57" s="15" t="s">
        <v>654</v>
      </c>
      <c r="AS57" s="15">
        <f t="shared" si="17"/>
        <v>15</v>
      </c>
    </row>
    <row r="58" spans="1:45" ht="16.5" x14ac:dyDescent="0.2">
      <c r="AI58" s="60">
        <v>45</v>
      </c>
      <c r="AJ58" s="15">
        <f t="shared" si="12"/>
        <v>1606004</v>
      </c>
      <c r="AK58" s="15" t="str">
        <f t="shared" si="13"/>
        <v>初级神器1配件2-剑结Lvs5</v>
      </c>
      <c r="AL58" s="60" t="s">
        <v>645</v>
      </c>
      <c r="AM58" s="15">
        <f t="shared" si="14"/>
        <v>5</v>
      </c>
      <c r="AN58" s="15" t="str">
        <f t="shared" si="15"/>
        <v>初级神器1配件2</v>
      </c>
      <c r="AO58" s="15">
        <f>INDEX(芦花古楼!$BX$19:$BX$58,神器!AM58)</f>
        <v>3</v>
      </c>
      <c r="AP58" s="15" t="s">
        <v>88</v>
      </c>
      <c r="AQ58" s="15">
        <f t="shared" si="16"/>
        <v>600</v>
      </c>
      <c r="AR58" s="15" t="s">
        <v>654</v>
      </c>
      <c r="AS58" s="15">
        <f t="shared" si="17"/>
        <v>18</v>
      </c>
    </row>
    <row r="59" spans="1:45" ht="16.5" x14ac:dyDescent="0.2">
      <c r="AI59" s="60">
        <v>46</v>
      </c>
      <c r="AJ59" s="15">
        <f t="shared" si="12"/>
        <v>1606004</v>
      </c>
      <c r="AK59" s="15" t="str">
        <f t="shared" si="13"/>
        <v>初级神器1配件2-剑结Lvs6</v>
      </c>
      <c r="AL59" s="60" t="s">
        <v>645</v>
      </c>
      <c r="AM59" s="15">
        <f t="shared" si="14"/>
        <v>6</v>
      </c>
      <c r="AN59" s="15" t="str">
        <f t="shared" si="15"/>
        <v>初级神器1配件2</v>
      </c>
      <c r="AO59" s="15">
        <f>INDEX(芦花古楼!$BX$19:$BX$58,神器!AM59)</f>
        <v>5</v>
      </c>
      <c r="AP59" s="15" t="s">
        <v>88</v>
      </c>
      <c r="AQ59" s="15">
        <f t="shared" si="16"/>
        <v>700</v>
      </c>
      <c r="AR59" s="15" t="s">
        <v>654</v>
      </c>
      <c r="AS59" s="15">
        <f t="shared" si="17"/>
        <v>21</v>
      </c>
    </row>
    <row r="60" spans="1:45" ht="16.5" x14ac:dyDescent="0.2">
      <c r="AI60" s="60">
        <v>47</v>
      </c>
      <c r="AJ60" s="15">
        <f t="shared" si="12"/>
        <v>1606004</v>
      </c>
      <c r="AK60" s="15" t="str">
        <f t="shared" si="13"/>
        <v>初级神器1配件2-剑结Lvs7</v>
      </c>
      <c r="AL60" s="60" t="s">
        <v>645</v>
      </c>
      <c r="AM60" s="15">
        <f t="shared" si="14"/>
        <v>7</v>
      </c>
      <c r="AN60" s="15" t="str">
        <f t="shared" si="15"/>
        <v>初级神器1配件2</v>
      </c>
      <c r="AO60" s="15">
        <f>INDEX(芦花古楼!$BX$19:$BX$58,神器!AM60)</f>
        <v>5</v>
      </c>
      <c r="AP60" s="15" t="s">
        <v>88</v>
      </c>
      <c r="AQ60" s="15">
        <f t="shared" si="16"/>
        <v>800</v>
      </c>
      <c r="AR60" s="15" t="s">
        <v>654</v>
      </c>
      <c r="AS60" s="15">
        <f t="shared" si="17"/>
        <v>24</v>
      </c>
    </row>
    <row r="61" spans="1:45" ht="16.5" x14ac:dyDescent="0.2">
      <c r="AI61" s="60">
        <v>48</v>
      </c>
      <c r="AJ61" s="15">
        <f t="shared" si="12"/>
        <v>1606004</v>
      </c>
      <c r="AK61" s="15" t="str">
        <f t="shared" si="13"/>
        <v>初级神器1配件2-剑结Lvs8</v>
      </c>
      <c r="AL61" s="60" t="s">
        <v>645</v>
      </c>
      <c r="AM61" s="15">
        <f t="shared" si="14"/>
        <v>8</v>
      </c>
      <c r="AN61" s="15" t="str">
        <f t="shared" si="15"/>
        <v>初级神器1配件2</v>
      </c>
      <c r="AO61" s="15">
        <f>INDEX(芦花古楼!$BX$19:$BX$58,神器!AM61)</f>
        <v>5</v>
      </c>
      <c r="AP61" s="15" t="s">
        <v>88</v>
      </c>
      <c r="AQ61" s="15">
        <f t="shared" si="16"/>
        <v>900</v>
      </c>
      <c r="AR61" s="15" t="s">
        <v>654</v>
      </c>
      <c r="AS61" s="15">
        <f t="shared" si="17"/>
        <v>27</v>
      </c>
    </row>
    <row r="62" spans="1:45" ht="16.5" x14ac:dyDescent="0.2">
      <c r="AI62" s="60">
        <v>49</v>
      </c>
      <c r="AJ62" s="15">
        <f t="shared" si="12"/>
        <v>1606004</v>
      </c>
      <c r="AK62" s="15" t="str">
        <f t="shared" si="13"/>
        <v>初级神器1配件2-剑结Lvs9</v>
      </c>
      <c r="AL62" s="60" t="s">
        <v>645</v>
      </c>
      <c r="AM62" s="15">
        <f t="shared" si="14"/>
        <v>9</v>
      </c>
      <c r="AN62" s="15" t="str">
        <f t="shared" si="15"/>
        <v>初级神器1配件2</v>
      </c>
      <c r="AO62" s="15">
        <f>INDEX(芦花古楼!$BX$19:$BX$58,神器!AM62)</f>
        <v>5</v>
      </c>
      <c r="AP62" s="15" t="s">
        <v>88</v>
      </c>
      <c r="AQ62" s="15">
        <f t="shared" si="16"/>
        <v>1000</v>
      </c>
      <c r="AR62" s="15" t="s">
        <v>654</v>
      </c>
      <c r="AS62" s="15">
        <f t="shared" si="17"/>
        <v>30</v>
      </c>
    </row>
    <row r="63" spans="1:45" ht="16.5" x14ac:dyDescent="0.2">
      <c r="AI63" s="60">
        <v>50</v>
      </c>
      <c r="AJ63" s="15">
        <f t="shared" si="12"/>
        <v>1606004</v>
      </c>
      <c r="AK63" s="15" t="str">
        <f t="shared" si="13"/>
        <v>初级神器1配件2-剑结Lvs10</v>
      </c>
      <c r="AL63" s="60" t="s">
        <v>645</v>
      </c>
      <c r="AM63" s="15">
        <f t="shared" si="14"/>
        <v>10</v>
      </c>
      <c r="AN63" s="15" t="str">
        <f t="shared" si="15"/>
        <v>初级神器1配件2</v>
      </c>
      <c r="AO63" s="15">
        <f>INDEX(芦花古楼!$BX$19:$BX$58,神器!AM63)</f>
        <v>7</v>
      </c>
      <c r="AP63" s="15" t="s">
        <v>88</v>
      </c>
      <c r="AQ63" s="15">
        <f t="shared" si="16"/>
        <v>1205</v>
      </c>
      <c r="AR63" s="15" t="s">
        <v>654</v>
      </c>
      <c r="AS63" s="15">
        <f t="shared" si="17"/>
        <v>34</v>
      </c>
    </row>
    <row r="64" spans="1:45" ht="16.5" x14ac:dyDescent="0.2">
      <c r="AI64" s="60">
        <v>51</v>
      </c>
      <c r="AJ64" s="15">
        <f t="shared" si="12"/>
        <v>1606004</v>
      </c>
      <c r="AK64" s="15" t="str">
        <f t="shared" si="13"/>
        <v>初级神器1配件2-剑结Lvs11</v>
      </c>
      <c r="AL64" s="60" t="s">
        <v>645</v>
      </c>
      <c r="AM64" s="15">
        <f t="shared" si="14"/>
        <v>11</v>
      </c>
      <c r="AN64" s="15" t="str">
        <f t="shared" si="15"/>
        <v>初级神器1配件2</v>
      </c>
      <c r="AO64" s="15">
        <f>INDEX(芦花古楼!$BX$19:$BX$58,神器!AM64)</f>
        <v>7</v>
      </c>
      <c r="AP64" s="15" t="s">
        <v>88</v>
      </c>
      <c r="AQ64" s="15">
        <f t="shared" si="16"/>
        <v>1510</v>
      </c>
      <c r="AR64" s="15" t="s">
        <v>654</v>
      </c>
      <c r="AS64" s="15">
        <f t="shared" si="17"/>
        <v>37</v>
      </c>
    </row>
    <row r="65" spans="35:45" ht="16.5" x14ac:dyDescent="0.2">
      <c r="AI65" s="60">
        <v>52</v>
      </c>
      <c r="AJ65" s="15">
        <f t="shared" si="12"/>
        <v>1606004</v>
      </c>
      <c r="AK65" s="15" t="str">
        <f t="shared" si="13"/>
        <v>初级神器1配件2-剑结Lvs12</v>
      </c>
      <c r="AL65" s="60" t="s">
        <v>645</v>
      </c>
      <c r="AM65" s="15">
        <f t="shared" si="14"/>
        <v>12</v>
      </c>
      <c r="AN65" s="15" t="str">
        <f t="shared" si="15"/>
        <v>初级神器1配件2</v>
      </c>
      <c r="AO65" s="15">
        <f>INDEX(芦花古楼!$BX$19:$BX$58,神器!AM65)</f>
        <v>7</v>
      </c>
      <c r="AP65" s="15" t="s">
        <v>88</v>
      </c>
      <c r="AQ65" s="15">
        <f t="shared" si="16"/>
        <v>1760</v>
      </c>
      <c r="AR65" s="15" t="s">
        <v>654</v>
      </c>
      <c r="AS65" s="15">
        <f t="shared" si="17"/>
        <v>41</v>
      </c>
    </row>
    <row r="66" spans="35:45" ht="16.5" x14ac:dyDescent="0.2">
      <c r="AI66" s="60">
        <v>53</v>
      </c>
      <c r="AJ66" s="15">
        <f t="shared" si="12"/>
        <v>1606004</v>
      </c>
      <c r="AK66" s="15" t="str">
        <f t="shared" si="13"/>
        <v>初级神器1配件2-剑结Lvs13</v>
      </c>
      <c r="AL66" s="60" t="s">
        <v>645</v>
      </c>
      <c r="AM66" s="15">
        <f t="shared" si="14"/>
        <v>13</v>
      </c>
      <c r="AN66" s="15" t="str">
        <f t="shared" si="15"/>
        <v>初级神器1配件2</v>
      </c>
      <c r="AO66" s="15">
        <f>INDEX(芦花古楼!$BX$19:$BX$58,神器!AM66)</f>
        <v>7</v>
      </c>
      <c r="AP66" s="15" t="s">
        <v>88</v>
      </c>
      <c r="AQ66" s="15">
        <f t="shared" si="16"/>
        <v>2015</v>
      </c>
      <c r="AR66" s="15" t="s">
        <v>654</v>
      </c>
      <c r="AS66" s="15">
        <f t="shared" si="17"/>
        <v>45</v>
      </c>
    </row>
    <row r="67" spans="35:45" ht="16.5" x14ac:dyDescent="0.2">
      <c r="AI67" s="60">
        <v>54</v>
      </c>
      <c r="AJ67" s="15">
        <f t="shared" si="12"/>
        <v>1606004</v>
      </c>
      <c r="AK67" s="15" t="str">
        <f t="shared" si="13"/>
        <v>初级神器1配件2-剑结Lvs14</v>
      </c>
      <c r="AL67" s="60" t="s">
        <v>645</v>
      </c>
      <c r="AM67" s="15">
        <f t="shared" si="14"/>
        <v>14</v>
      </c>
      <c r="AN67" s="15" t="str">
        <f t="shared" si="15"/>
        <v>初级神器1配件2</v>
      </c>
      <c r="AO67" s="15">
        <f>INDEX(芦花古楼!$BX$19:$BX$58,神器!AM67)</f>
        <v>7</v>
      </c>
      <c r="AP67" s="15" t="s">
        <v>88</v>
      </c>
      <c r="AQ67" s="15">
        <f t="shared" si="16"/>
        <v>2265</v>
      </c>
      <c r="AR67" s="15" t="s">
        <v>654</v>
      </c>
      <c r="AS67" s="15">
        <f t="shared" si="17"/>
        <v>50</v>
      </c>
    </row>
    <row r="68" spans="35:45" ht="16.5" x14ac:dyDescent="0.2">
      <c r="AI68" s="60">
        <v>55</v>
      </c>
      <c r="AJ68" s="15">
        <f t="shared" si="12"/>
        <v>1606004</v>
      </c>
      <c r="AK68" s="15" t="str">
        <f t="shared" si="13"/>
        <v>初级神器1配件2-剑结Lvs15</v>
      </c>
      <c r="AL68" s="60" t="s">
        <v>645</v>
      </c>
      <c r="AM68" s="15">
        <f t="shared" si="14"/>
        <v>15</v>
      </c>
      <c r="AN68" s="15" t="str">
        <f t="shared" si="15"/>
        <v>初级神器1配件2</v>
      </c>
      <c r="AO68" s="15">
        <f>INDEX(芦花古楼!$BX$19:$BX$58,神器!AM68)</f>
        <v>10</v>
      </c>
      <c r="AP68" s="15" t="s">
        <v>88</v>
      </c>
      <c r="AQ68" s="15">
        <f t="shared" si="16"/>
        <v>2520</v>
      </c>
      <c r="AR68" s="15" t="s">
        <v>654</v>
      </c>
      <c r="AS68" s="15">
        <f t="shared" si="17"/>
        <v>54</v>
      </c>
    </row>
    <row r="69" spans="35:45" ht="16.5" x14ac:dyDescent="0.2">
      <c r="AI69" s="60">
        <v>56</v>
      </c>
      <c r="AJ69" s="15">
        <f t="shared" si="12"/>
        <v>1606004</v>
      </c>
      <c r="AK69" s="15" t="str">
        <f t="shared" si="13"/>
        <v>初级神器1配件2-剑结Lvs16</v>
      </c>
      <c r="AL69" s="60" t="s">
        <v>645</v>
      </c>
      <c r="AM69" s="15">
        <f t="shared" si="14"/>
        <v>16</v>
      </c>
      <c r="AN69" s="15" t="str">
        <f t="shared" si="15"/>
        <v>初级神器1配件2</v>
      </c>
      <c r="AO69" s="15">
        <f>INDEX(芦花古楼!$BX$19:$BX$58,神器!AM69)</f>
        <v>10</v>
      </c>
      <c r="AP69" s="15" t="s">
        <v>88</v>
      </c>
      <c r="AQ69" s="15">
        <f t="shared" si="16"/>
        <v>2770</v>
      </c>
      <c r="AR69" s="15" t="s">
        <v>654</v>
      </c>
      <c r="AS69" s="15">
        <f t="shared" si="17"/>
        <v>59</v>
      </c>
    </row>
    <row r="70" spans="35:45" ht="16.5" x14ac:dyDescent="0.2">
      <c r="AI70" s="60">
        <v>57</v>
      </c>
      <c r="AJ70" s="15">
        <f t="shared" si="12"/>
        <v>1606004</v>
      </c>
      <c r="AK70" s="15" t="str">
        <f t="shared" si="13"/>
        <v>初级神器1配件2-剑结Lvs17</v>
      </c>
      <c r="AL70" s="60" t="s">
        <v>645</v>
      </c>
      <c r="AM70" s="15">
        <f t="shared" si="14"/>
        <v>17</v>
      </c>
      <c r="AN70" s="15" t="str">
        <f t="shared" si="15"/>
        <v>初级神器1配件2</v>
      </c>
      <c r="AO70" s="15">
        <f>INDEX(芦花古楼!$BX$19:$BX$58,神器!AM70)</f>
        <v>10</v>
      </c>
      <c r="AP70" s="15" t="s">
        <v>88</v>
      </c>
      <c r="AQ70" s="15">
        <f t="shared" si="16"/>
        <v>3020</v>
      </c>
      <c r="AR70" s="15" t="s">
        <v>654</v>
      </c>
      <c r="AS70" s="15">
        <f t="shared" si="17"/>
        <v>64</v>
      </c>
    </row>
    <row r="71" spans="35:45" ht="16.5" x14ac:dyDescent="0.2">
      <c r="AI71" s="60">
        <v>58</v>
      </c>
      <c r="AJ71" s="15">
        <f t="shared" si="12"/>
        <v>1606004</v>
      </c>
      <c r="AK71" s="15" t="str">
        <f t="shared" si="13"/>
        <v>初级神器1配件2-剑结Lvs18</v>
      </c>
      <c r="AL71" s="60" t="s">
        <v>645</v>
      </c>
      <c r="AM71" s="15">
        <f t="shared" si="14"/>
        <v>18</v>
      </c>
      <c r="AN71" s="15" t="str">
        <f t="shared" si="15"/>
        <v>初级神器1配件2</v>
      </c>
      <c r="AO71" s="15">
        <f>INDEX(芦花古楼!$BX$19:$BX$58,神器!AM71)</f>
        <v>10</v>
      </c>
      <c r="AP71" s="15" t="s">
        <v>88</v>
      </c>
      <c r="AQ71" s="15">
        <f t="shared" si="16"/>
        <v>3275</v>
      </c>
      <c r="AR71" s="15" t="s">
        <v>654</v>
      </c>
      <c r="AS71" s="15">
        <f t="shared" si="17"/>
        <v>69</v>
      </c>
    </row>
    <row r="72" spans="35:45" ht="16.5" x14ac:dyDescent="0.2">
      <c r="AI72" s="60">
        <v>59</v>
      </c>
      <c r="AJ72" s="15">
        <f t="shared" si="12"/>
        <v>1606004</v>
      </c>
      <c r="AK72" s="15" t="str">
        <f t="shared" si="13"/>
        <v>初级神器1配件2-剑结Lvs19</v>
      </c>
      <c r="AL72" s="60" t="s">
        <v>645</v>
      </c>
      <c r="AM72" s="15">
        <f t="shared" si="14"/>
        <v>19</v>
      </c>
      <c r="AN72" s="15" t="str">
        <f t="shared" si="15"/>
        <v>初级神器1配件2</v>
      </c>
      <c r="AO72" s="15">
        <f>INDEX(芦花古楼!$BX$19:$BX$58,神器!AM72)</f>
        <v>10</v>
      </c>
      <c r="AP72" s="15" t="s">
        <v>88</v>
      </c>
      <c r="AQ72" s="15">
        <f t="shared" si="16"/>
        <v>3525</v>
      </c>
      <c r="AR72" s="15" t="s">
        <v>654</v>
      </c>
      <c r="AS72" s="15">
        <f t="shared" si="17"/>
        <v>74</v>
      </c>
    </row>
    <row r="73" spans="35:45" ht="16.5" x14ac:dyDescent="0.2">
      <c r="AI73" s="60">
        <v>60</v>
      </c>
      <c r="AJ73" s="15">
        <f t="shared" si="12"/>
        <v>1606004</v>
      </c>
      <c r="AK73" s="15" t="str">
        <f t="shared" si="13"/>
        <v>初级神器1配件2-剑结Lvs20</v>
      </c>
      <c r="AL73" s="60" t="s">
        <v>645</v>
      </c>
      <c r="AM73" s="15">
        <f t="shared" si="14"/>
        <v>20</v>
      </c>
      <c r="AN73" s="15" t="str">
        <f t="shared" si="15"/>
        <v>初级神器1配件2</v>
      </c>
      <c r="AO73" s="15">
        <f>INDEX(芦花古楼!$BX$19:$BX$58,神器!AM73)</f>
        <v>10</v>
      </c>
      <c r="AP73" s="15" t="s">
        <v>88</v>
      </c>
      <c r="AQ73" s="15">
        <f t="shared" si="16"/>
        <v>4030</v>
      </c>
      <c r="AR73" s="15" t="s">
        <v>654</v>
      </c>
      <c r="AS73" s="15">
        <f t="shared" si="17"/>
        <v>80</v>
      </c>
    </row>
    <row r="74" spans="35:45" ht="16.5" x14ac:dyDescent="0.2">
      <c r="AI74" s="60">
        <v>61</v>
      </c>
      <c r="AJ74" s="15">
        <f t="shared" si="12"/>
        <v>1606004</v>
      </c>
      <c r="AK74" s="15" t="str">
        <f t="shared" si="13"/>
        <v>初级神器1配件2-剑结Lvs21</v>
      </c>
      <c r="AL74" s="60" t="s">
        <v>645</v>
      </c>
      <c r="AM74" s="15">
        <f t="shared" si="14"/>
        <v>21</v>
      </c>
      <c r="AN74" s="15" t="str">
        <f t="shared" si="15"/>
        <v>初级神器1配件2</v>
      </c>
      <c r="AO74" s="15">
        <f>INDEX(芦花古楼!$BX$19:$BX$58,神器!AM74)</f>
        <v>15</v>
      </c>
      <c r="AP74" s="15" t="s">
        <v>88</v>
      </c>
      <c r="AQ74" s="15">
        <f t="shared" si="16"/>
        <v>4450</v>
      </c>
      <c r="AR74" s="15" t="s">
        <v>654</v>
      </c>
      <c r="AS74" s="15">
        <f t="shared" si="17"/>
        <v>86</v>
      </c>
    </row>
    <row r="75" spans="35:45" ht="16.5" x14ac:dyDescent="0.2">
      <c r="AI75" s="60">
        <v>62</v>
      </c>
      <c r="AJ75" s="15">
        <f t="shared" si="12"/>
        <v>1606004</v>
      </c>
      <c r="AK75" s="15" t="str">
        <f t="shared" si="13"/>
        <v>初级神器1配件2-剑结Lvs22</v>
      </c>
      <c r="AL75" s="60" t="s">
        <v>645</v>
      </c>
      <c r="AM75" s="15">
        <f t="shared" si="14"/>
        <v>22</v>
      </c>
      <c r="AN75" s="15" t="str">
        <f t="shared" si="15"/>
        <v>初级神器1配件2</v>
      </c>
      <c r="AO75" s="15">
        <f>INDEX(芦花古楼!$BX$19:$BX$58,神器!AM75)</f>
        <v>15</v>
      </c>
      <c r="AP75" s="15" t="s">
        <v>88</v>
      </c>
      <c r="AQ75" s="15">
        <f t="shared" si="16"/>
        <v>4675</v>
      </c>
      <c r="AR75" s="15" t="s">
        <v>654</v>
      </c>
      <c r="AS75" s="15">
        <f t="shared" si="17"/>
        <v>92</v>
      </c>
    </row>
    <row r="76" spans="35:45" ht="16.5" x14ac:dyDescent="0.2">
      <c r="AI76" s="60">
        <v>63</v>
      </c>
      <c r="AJ76" s="15">
        <f t="shared" si="12"/>
        <v>1606004</v>
      </c>
      <c r="AK76" s="15" t="str">
        <f t="shared" si="13"/>
        <v>初级神器1配件2-剑结Lvs23</v>
      </c>
      <c r="AL76" s="60" t="s">
        <v>645</v>
      </c>
      <c r="AM76" s="15">
        <f t="shared" si="14"/>
        <v>23</v>
      </c>
      <c r="AN76" s="15" t="str">
        <f t="shared" si="15"/>
        <v>初级神器1配件2</v>
      </c>
      <c r="AO76" s="15">
        <f>INDEX(芦花古楼!$BX$19:$BX$58,神器!AM76)</f>
        <v>15</v>
      </c>
      <c r="AP76" s="15" t="s">
        <v>88</v>
      </c>
      <c r="AQ76" s="15">
        <f t="shared" si="16"/>
        <v>4895</v>
      </c>
      <c r="AR76" s="15" t="s">
        <v>654</v>
      </c>
      <c r="AS76" s="15">
        <f t="shared" si="17"/>
        <v>99</v>
      </c>
    </row>
    <row r="77" spans="35:45" ht="16.5" x14ac:dyDescent="0.2">
      <c r="AI77" s="60">
        <v>64</v>
      </c>
      <c r="AJ77" s="15">
        <f t="shared" si="12"/>
        <v>1606004</v>
      </c>
      <c r="AK77" s="15" t="str">
        <f t="shared" si="13"/>
        <v>初级神器1配件2-剑结Lvs24</v>
      </c>
      <c r="AL77" s="60" t="s">
        <v>645</v>
      </c>
      <c r="AM77" s="15">
        <f t="shared" si="14"/>
        <v>24</v>
      </c>
      <c r="AN77" s="15" t="str">
        <f t="shared" si="15"/>
        <v>初级神器1配件2</v>
      </c>
      <c r="AO77" s="15">
        <f>INDEX(芦花古楼!$BX$19:$BX$58,神器!AM77)</f>
        <v>15</v>
      </c>
      <c r="AP77" s="15" t="s">
        <v>88</v>
      </c>
      <c r="AQ77" s="15">
        <f t="shared" si="16"/>
        <v>5120</v>
      </c>
      <c r="AR77" s="15" t="s">
        <v>654</v>
      </c>
      <c r="AS77" s="15">
        <f t="shared" si="17"/>
        <v>106</v>
      </c>
    </row>
    <row r="78" spans="35:45" ht="16.5" x14ac:dyDescent="0.2">
      <c r="AI78" s="60">
        <v>65</v>
      </c>
      <c r="AJ78" s="15">
        <f t="shared" si="12"/>
        <v>1606004</v>
      </c>
      <c r="AK78" s="15" t="str">
        <f t="shared" si="13"/>
        <v>初级神器1配件2-剑结Lvs25</v>
      </c>
      <c r="AL78" s="60" t="s">
        <v>645</v>
      </c>
      <c r="AM78" s="15">
        <f t="shared" si="14"/>
        <v>25</v>
      </c>
      <c r="AN78" s="15" t="str">
        <f t="shared" si="15"/>
        <v>初级神器1配件2</v>
      </c>
      <c r="AO78" s="15">
        <f>INDEX(芦花古楼!$BX$19:$BX$58,神器!AM78)</f>
        <v>15</v>
      </c>
      <c r="AP78" s="15" t="s">
        <v>88</v>
      </c>
      <c r="AQ78" s="15">
        <f t="shared" si="16"/>
        <v>5340</v>
      </c>
      <c r="AR78" s="15" t="s">
        <v>654</v>
      </c>
      <c r="AS78" s="15">
        <f t="shared" si="17"/>
        <v>113</v>
      </c>
    </row>
    <row r="79" spans="35:45" ht="16.5" x14ac:dyDescent="0.2">
      <c r="AI79" s="60">
        <v>66</v>
      </c>
      <c r="AJ79" s="15">
        <f t="shared" ref="AJ79:AJ142" si="18">INDEX($AC$4:$AC$33,INT((AI79-1)/40)+1)</f>
        <v>1606004</v>
      </c>
      <c r="AK79" s="15" t="str">
        <f t="shared" ref="AK79:AK142" si="19">INDEX($AF$4:$AF$33,INT((AI79-1)/40)+1)&amp;AL79&amp;AM79</f>
        <v>初级神器1配件2-剑结Lvs26</v>
      </c>
      <c r="AL79" s="60" t="s">
        <v>645</v>
      </c>
      <c r="AM79" s="15">
        <f t="shared" ref="AM79:AM142" si="20">MOD(AI79-1,40)+1</f>
        <v>26</v>
      </c>
      <c r="AN79" s="15" t="str">
        <f t="shared" ref="AN79:AN142" si="21">INDEX($AD$4:$AD$33,INT((AI79-1)/40)+1)</f>
        <v>初级神器1配件2</v>
      </c>
      <c r="AO79" s="15">
        <f>INDEX(芦花古楼!$BX$19:$BX$58,神器!AM79)</f>
        <v>25</v>
      </c>
      <c r="AP79" s="15" t="s">
        <v>88</v>
      </c>
      <c r="AQ79" s="15">
        <f t="shared" ref="AQ79:AQ142" si="22">INDEX($F$14:$L$53,AM79,INDEX($AB$4:$AB$33,INT((AI79-1)/40)+1))</f>
        <v>5565</v>
      </c>
      <c r="AR79" s="15" t="s">
        <v>654</v>
      </c>
      <c r="AS79" s="15">
        <f t="shared" ref="AS79:AS142" si="23">INDEX($P$14:$V$53,AM79,INDEX($AB$4:$AB$33,INT((AI79-1)/40)+1))</f>
        <v>121</v>
      </c>
    </row>
    <row r="80" spans="35:45" ht="16.5" x14ac:dyDescent="0.2">
      <c r="AI80" s="60">
        <v>67</v>
      </c>
      <c r="AJ80" s="15">
        <f t="shared" si="18"/>
        <v>1606004</v>
      </c>
      <c r="AK80" s="15" t="str">
        <f t="shared" si="19"/>
        <v>初级神器1配件2-剑结Lvs27</v>
      </c>
      <c r="AL80" s="60" t="s">
        <v>645</v>
      </c>
      <c r="AM80" s="15">
        <f t="shared" si="20"/>
        <v>27</v>
      </c>
      <c r="AN80" s="15" t="str">
        <f t="shared" si="21"/>
        <v>初级神器1配件2</v>
      </c>
      <c r="AO80" s="15">
        <f>INDEX(芦花古楼!$BX$19:$BX$58,神器!AM80)</f>
        <v>25</v>
      </c>
      <c r="AP80" s="15" t="s">
        <v>88</v>
      </c>
      <c r="AQ80" s="15">
        <f t="shared" si="22"/>
        <v>5785</v>
      </c>
      <c r="AR80" s="15" t="s">
        <v>654</v>
      </c>
      <c r="AS80" s="15">
        <f t="shared" si="23"/>
        <v>129</v>
      </c>
    </row>
    <row r="81" spans="35:45" ht="16.5" x14ac:dyDescent="0.2">
      <c r="AI81" s="60">
        <v>68</v>
      </c>
      <c r="AJ81" s="15">
        <f t="shared" si="18"/>
        <v>1606004</v>
      </c>
      <c r="AK81" s="15" t="str">
        <f t="shared" si="19"/>
        <v>初级神器1配件2-剑结Lvs28</v>
      </c>
      <c r="AL81" s="60" t="s">
        <v>645</v>
      </c>
      <c r="AM81" s="15">
        <f t="shared" si="20"/>
        <v>28</v>
      </c>
      <c r="AN81" s="15" t="str">
        <f t="shared" si="21"/>
        <v>初级神器1配件2</v>
      </c>
      <c r="AO81" s="15">
        <f>INDEX(芦花古楼!$BX$19:$BX$58,神器!AM81)</f>
        <v>25</v>
      </c>
      <c r="AP81" s="15" t="s">
        <v>88</v>
      </c>
      <c r="AQ81" s="15">
        <f t="shared" si="22"/>
        <v>6010</v>
      </c>
      <c r="AR81" s="15" t="s">
        <v>654</v>
      </c>
      <c r="AS81" s="15">
        <f t="shared" si="23"/>
        <v>138</v>
      </c>
    </row>
    <row r="82" spans="35:45" ht="16.5" x14ac:dyDescent="0.2">
      <c r="AI82" s="60">
        <v>69</v>
      </c>
      <c r="AJ82" s="15">
        <f t="shared" si="18"/>
        <v>1606004</v>
      </c>
      <c r="AK82" s="15" t="str">
        <f t="shared" si="19"/>
        <v>初级神器1配件2-剑结Lvs29</v>
      </c>
      <c r="AL82" s="60" t="s">
        <v>645</v>
      </c>
      <c r="AM82" s="15">
        <f t="shared" si="20"/>
        <v>29</v>
      </c>
      <c r="AN82" s="15" t="str">
        <f t="shared" si="21"/>
        <v>初级神器1配件2</v>
      </c>
      <c r="AO82" s="15">
        <f>INDEX(芦花古楼!$BX$19:$BX$58,神器!AM82)</f>
        <v>25</v>
      </c>
      <c r="AP82" s="15" t="s">
        <v>88</v>
      </c>
      <c r="AQ82" s="15">
        <f t="shared" si="22"/>
        <v>6230</v>
      </c>
      <c r="AR82" s="15" t="s">
        <v>654</v>
      </c>
      <c r="AS82" s="15">
        <f t="shared" si="23"/>
        <v>146</v>
      </c>
    </row>
    <row r="83" spans="35:45" ht="16.5" x14ac:dyDescent="0.2">
      <c r="AI83" s="60">
        <v>70</v>
      </c>
      <c r="AJ83" s="15">
        <f t="shared" si="18"/>
        <v>1606004</v>
      </c>
      <c r="AK83" s="15" t="str">
        <f t="shared" si="19"/>
        <v>初级神器1配件2-剑结Lvs30</v>
      </c>
      <c r="AL83" s="60" t="s">
        <v>645</v>
      </c>
      <c r="AM83" s="15">
        <f t="shared" si="20"/>
        <v>30</v>
      </c>
      <c r="AN83" s="15" t="str">
        <f t="shared" si="21"/>
        <v>初级神器1配件2</v>
      </c>
      <c r="AO83" s="15">
        <f>INDEX(芦花古楼!$BX$19:$BX$58,神器!AM83)</f>
        <v>25</v>
      </c>
      <c r="AP83" s="15" t="s">
        <v>88</v>
      </c>
      <c r="AQ83" s="15">
        <f t="shared" si="22"/>
        <v>6675</v>
      </c>
      <c r="AR83" s="15" t="s">
        <v>654</v>
      </c>
      <c r="AS83" s="15">
        <f t="shared" si="23"/>
        <v>156</v>
      </c>
    </row>
    <row r="84" spans="35:45" ht="16.5" x14ac:dyDescent="0.2">
      <c r="AI84" s="60">
        <v>71</v>
      </c>
      <c r="AJ84" s="15">
        <f t="shared" si="18"/>
        <v>1606004</v>
      </c>
      <c r="AK84" s="15" t="str">
        <f t="shared" si="19"/>
        <v>初级神器1配件2-剑结Lvs31</v>
      </c>
      <c r="AL84" s="60" t="s">
        <v>645</v>
      </c>
      <c r="AM84" s="15">
        <f t="shared" si="20"/>
        <v>31</v>
      </c>
      <c r="AN84" s="15" t="str">
        <f t="shared" si="21"/>
        <v>初级神器1配件2</v>
      </c>
      <c r="AO84" s="15">
        <f>INDEX(芦花古楼!$BX$19:$BX$58,神器!AM84)</f>
        <v>30</v>
      </c>
      <c r="AP84" s="15" t="s">
        <v>88</v>
      </c>
      <c r="AQ84" s="15">
        <f t="shared" si="22"/>
        <v>6510</v>
      </c>
      <c r="AR84" s="15" t="s">
        <v>654</v>
      </c>
      <c r="AS84" s="15">
        <f t="shared" si="23"/>
        <v>166</v>
      </c>
    </row>
    <row r="85" spans="35:45" ht="16.5" x14ac:dyDescent="0.2">
      <c r="AI85" s="60">
        <v>72</v>
      </c>
      <c r="AJ85" s="15">
        <f t="shared" si="18"/>
        <v>1606004</v>
      </c>
      <c r="AK85" s="15" t="str">
        <f t="shared" si="19"/>
        <v>初级神器1配件2-剑结Lvs32</v>
      </c>
      <c r="AL85" s="60" t="s">
        <v>645</v>
      </c>
      <c r="AM85" s="15">
        <f t="shared" si="20"/>
        <v>32</v>
      </c>
      <c r="AN85" s="15" t="str">
        <f t="shared" si="21"/>
        <v>初级神器1配件2</v>
      </c>
      <c r="AO85" s="15">
        <f>INDEX(芦花古楼!$BX$19:$BX$58,神器!AM85)</f>
        <v>30</v>
      </c>
      <c r="AP85" s="15" t="s">
        <v>88</v>
      </c>
      <c r="AQ85" s="15">
        <f t="shared" si="22"/>
        <v>9765</v>
      </c>
      <c r="AR85" s="15" t="s">
        <v>654</v>
      </c>
      <c r="AS85" s="15">
        <f t="shared" si="23"/>
        <v>176</v>
      </c>
    </row>
    <row r="86" spans="35:45" ht="16.5" x14ac:dyDescent="0.2">
      <c r="AI86" s="60">
        <v>73</v>
      </c>
      <c r="AJ86" s="15">
        <f t="shared" si="18"/>
        <v>1606004</v>
      </c>
      <c r="AK86" s="15" t="str">
        <f t="shared" si="19"/>
        <v>初级神器1配件2-剑结Lvs33</v>
      </c>
      <c r="AL86" s="60" t="s">
        <v>645</v>
      </c>
      <c r="AM86" s="15">
        <f t="shared" si="20"/>
        <v>33</v>
      </c>
      <c r="AN86" s="15" t="str">
        <f t="shared" si="21"/>
        <v>初级神器1配件2</v>
      </c>
      <c r="AO86" s="15">
        <f>INDEX(芦花古楼!$BX$19:$BX$58,神器!AM86)</f>
        <v>30</v>
      </c>
      <c r="AP86" s="15" t="s">
        <v>88</v>
      </c>
      <c r="AQ86" s="15">
        <f t="shared" si="22"/>
        <v>13020</v>
      </c>
      <c r="AR86" s="15" t="s">
        <v>654</v>
      </c>
      <c r="AS86" s="15">
        <f t="shared" si="23"/>
        <v>187</v>
      </c>
    </row>
    <row r="87" spans="35:45" ht="16.5" x14ac:dyDescent="0.2">
      <c r="AI87" s="60">
        <v>74</v>
      </c>
      <c r="AJ87" s="15">
        <f t="shared" si="18"/>
        <v>1606004</v>
      </c>
      <c r="AK87" s="15" t="str">
        <f t="shared" si="19"/>
        <v>初级神器1配件2-剑结Lvs34</v>
      </c>
      <c r="AL87" s="60" t="s">
        <v>645</v>
      </c>
      <c r="AM87" s="15">
        <f t="shared" si="20"/>
        <v>34</v>
      </c>
      <c r="AN87" s="15" t="str">
        <f t="shared" si="21"/>
        <v>初级神器1配件2</v>
      </c>
      <c r="AO87" s="15">
        <f>INDEX(芦花古楼!$BX$19:$BX$58,神器!AM87)</f>
        <v>30</v>
      </c>
      <c r="AP87" s="15" t="s">
        <v>88</v>
      </c>
      <c r="AQ87" s="15">
        <f t="shared" si="22"/>
        <v>16275</v>
      </c>
      <c r="AR87" s="15" t="s">
        <v>654</v>
      </c>
      <c r="AS87" s="15">
        <f t="shared" si="23"/>
        <v>198</v>
      </c>
    </row>
    <row r="88" spans="35:45" ht="16.5" x14ac:dyDescent="0.2">
      <c r="AI88" s="60">
        <v>75</v>
      </c>
      <c r="AJ88" s="15">
        <f t="shared" si="18"/>
        <v>1606004</v>
      </c>
      <c r="AK88" s="15" t="str">
        <f t="shared" si="19"/>
        <v>初级神器1配件2-剑结Lvs35</v>
      </c>
      <c r="AL88" s="60" t="s">
        <v>645</v>
      </c>
      <c r="AM88" s="15">
        <f t="shared" si="20"/>
        <v>35</v>
      </c>
      <c r="AN88" s="15" t="str">
        <f t="shared" si="21"/>
        <v>初级神器1配件2</v>
      </c>
      <c r="AO88" s="15">
        <f>INDEX(芦花古楼!$BX$19:$BX$58,神器!AM88)</f>
        <v>30</v>
      </c>
      <c r="AP88" s="15" t="s">
        <v>88</v>
      </c>
      <c r="AQ88" s="15">
        <f t="shared" si="22"/>
        <v>19530</v>
      </c>
      <c r="AR88" s="15" t="s">
        <v>654</v>
      </c>
      <c r="AS88" s="15">
        <f t="shared" si="23"/>
        <v>210</v>
      </c>
    </row>
    <row r="89" spans="35:45" ht="16.5" x14ac:dyDescent="0.2">
      <c r="AI89" s="60">
        <v>76</v>
      </c>
      <c r="AJ89" s="15">
        <f t="shared" si="18"/>
        <v>1606004</v>
      </c>
      <c r="AK89" s="15" t="str">
        <f t="shared" si="19"/>
        <v>初级神器1配件2-剑结Lvs36</v>
      </c>
      <c r="AL89" s="60" t="s">
        <v>645</v>
      </c>
      <c r="AM89" s="15">
        <f t="shared" si="20"/>
        <v>36</v>
      </c>
      <c r="AN89" s="15" t="str">
        <f t="shared" si="21"/>
        <v>初级神器1配件2</v>
      </c>
      <c r="AO89" s="15">
        <f>INDEX(芦花古楼!$BX$19:$BX$58,神器!AM89)</f>
        <v>40</v>
      </c>
      <c r="AP89" s="15" t="s">
        <v>88</v>
      </c>
      <c r="AQ89" s="15">
        <f t="shared" si="22"/>
        <v>22785</v>
      </c>
      <c r="AR89" s="15" t="s">
        <v>654</v>
      </c>
      <c r="AS89" s="15">
        <f t="shared" si="23"/>
        <v>222</v>
      </c>
    </row>
    <row r="90" spans="35:45" ht="16.5" x14ac:dyDescent="0.2">
      <c r="AI90" s="60">
        <v>77</v>
      </c>
      <c r="AJ90" s="15">
        <f t="shared" si="18"/>
        <v>1606004</v>
      </c>
      <c r="AK90" s="15" t="str">
        <f t="shared" si="19"/>
        <v>初级神器1配件2-剑结Lvs37</v>
      </c>
      <c r="AL90" s="60" t="s">
        <v>645</v>
      </c>
      <c r="AM90" s="15">
        <f t="shared" si="20"/>
        <v>37</v>
      </c>
      <c r="AN90" s="15" t="str">
        <f t="shared" si="21"/>
        <v>初级神器1配件2</v>
      </c>
      <c r="AO90" s="15">
        <f>INDEX(芦花古楼!$BX$19:$BX$58,神器!AM90)</f>
        <v>40</v>
      </c>
      <c r="AP90" s="15" t="s">
        <v>88</v>
      </c>
      <c r="AQ90" s="15">
        <f t="shared" si="22"/>
        <v>26040</v>
      </c>
      <c r="AR90" s="15" t="s">
        <v>654</v>
      </c>
      <c r="AS90" s="15">
        <f t="shared" si="23"/>
        <v>236</v>
      </c>
    </row>
    <row r="91" spans="35:45" ht="16.5" x14ac:dyDescent="0.2">
      <c r="AI91" s="60">
        <v>78</v>
      </c>
      <c r="AJ91" s="15">
        <f t="shared" si="18"/>
        <v>1606004</v>
      </c>
      <c r="AK91" s="15" t="str">
        <f t="shared" si="19"/>
        <v>初级神器1配件2-剑结Lvs38</v>
      </c>
      <c r="AL91" s="60" t="s">
        <v>645</v>
      </c>
      <c r="AM91" s="15">
        <f t="shared" si="20"/>
        <v>38</v>
      </c>
      <c r="AN91" s="15" t="str">
        <f t="shared" si="21"/>
        <v>初级神器1配件2</v>
      </c>
      <c r="AO91" s="15">
        <f>INDEX(芦花古楼!$BX$19:$BX$58,神器!AM91)</f>
        <v>40</v>
      </c>
      <c r="AP91" s="15" t="s">
        <v>88</v>
      </c>
      <c r="AQ91" s="15">
        <f t="shared" si="22"/>
        <v>29295</v>
      </c>
      <c r="AR91" s="15" t="s">
        <v>654</v>
      </c>
      <c r="AS91" s="15">
        <f t="shared" si="23"/>
        <v>249</v>
      </c>
    </row>
    <row r="92" spans="35:45" ht="16.5" x14ac:dyDescent="0.2">
      <c r="AI92" s="60">
        <v>79</v>
      </c>
      <c r="AJ92" s="15">
        <f t="shared" si="18"/>
        <v>1606004</v>
      </c>
      <c r="AK92" s="15" t="str">
        <f t="shared" si="19"/>
        <v>初级神器1配件2-剑结Lvs39</v>
      </c>
      <c r="AL92" s="60" t="s">
        <v>645</v>
      </c>
      <c r="AM92" s="15">
        <f t="shared" si="20"/>
        <v>39</v>
      </c>
      <c r="AN92" s="15" t="str">
        <f t="shared" si="21"/>
        <v>初级神器1配件2</v>
      </c>
      <c r="AO92" s="15">
        <f>INDEX(芦花古楼!$BX$19:$BX$58,神器!AM92)</f>
        <v>40</v>
      </c>
      <c r="AP92" s="15" t="s">
        <v>88</v>
      </c>
      <c r="AQ92" s="15">
        <f t="shared" si="22"/>
        <v>32550</v>
      </c>
      <c r="AR92" s="15" t="s">
        <v>654</v>
      </c>
      <c r="AS92" s="15">
        <f t="shared" si="23"/>
        <v>264</v>
      </c>
    </row>
    <row r="93" spans="35:45" ht="16.5" x14ac:dyDescent="0.2">
      <c r="AI93" s="60">
        <v>80</v>
      </c>
      <c r="AJ93" s="15">
        <f t="shared" si="18"/>
        <v>1606004</v>
      </c>
      <c r="AK93" s="15" t="str">
        <f t="shared" si="19"/>
        <v>初级神器1配件2-剑结Lvs40</v>
      </c>
      <c r="AL93" s="60" t="s">
        <v>645</v>
      </c>
      <c r="AM93" s="15">
        <f t="shared" si="20"/>
        <v>40</v>
      </c>
      <c r="AN93" s="15" t="str">
        <f t="shared" si="21"/>
        <v>初级神器1配件2</v>
      </c>
      <c r="AO93" s="15">
        <f>INDEX(芦花古楼!$BX$19:$BX$58,神器!AM93)</f>
        <v>40</v>
      </c>
      <c r="AP93" s="15" t="s">
        <v>88</v>
      </c>
      <c r="AQ93" s="15">
        <f t="shared" si="22"/>
        <v>39060</v>
      </c>
      <c r="AR93" s="15" t="s">
        <v>654</v>
      </c>
      <c r="AS93" s="15">
        <f t="shared" si="23"/>
        <v>279</v>
      </c>
    </row>
    <row r="94" spans="35:45" ht="16.5" x14ac:dyDescent="0.2">
      <c r="AI94" s="60">
        <v>81</v>
      </c>
      <c r="AJ94" s="15">
        <f t="shared" si="18"/>
        <v>1606005</v>
      </c>
      <c r="AK94" s="15" t="str">
        <f t="shared" si="19"/>
        <v>初级神器2配件1-护木Lvs1</v>
      </c>
      <c r="AL94" s="60" t="s">
        <v>645</v>
      </c>
      <c r="AM94" s="15">
        <f t="shared" si="20"/>
        <v>1</v>
      </c>
      <c r="AN94" s="15" t="str">
        <f t="shared" si="21"/>
        <v>初级神器2配件1</v>
      </c>
      <c r="AO94" s="15">
        <f>INDEX(芦花古楼!$BX$19:$BX$58,神器!AM94)</f>
        <v>1</v>
      </c>
      <c r="AP94" s="15" t="s">
        <v>88</v>
      </c>
      <c r="AQ94" s="15">
        <f t="shared" si="22"/>
        <v>130</v>
      </c>
      <c r="AR94" s="15" t="s">
        <v>654</v>
      </c>
      <c r="AS94" s="15">
        <f t="shared" si="23"/>
        <v>5</v>
      </c>
    </row>
    <row r="95" spans="35:45" ht="16.5" x14ac:dyDescent="0.2">
      <c r="AI95" s="60">
        <v>82</v>
      </c>
      <c r="AJ95" s="15">
        <f t="shared" si="18"/>
        <v>1606005</v>
      </c>
      <c r="AK95" s="15" t="str">
        <f t="shared" si="19"/>
        <v>初级神器2配件1-护木Lvs2</v>
      </c>
      <c r="AL95" s="60" t="s">
        <v>645</v>
      </c>
      <c r="AM95" s="15">
        <f t="shared" si="20"/>
        <v>2</v>
      </c>
      <c r="AN95" s="15" t="str">
        <f t="shared" si="21"/>
        <v>初级神器2配件1</v>
      </c>
      <c r="AO95" s="15">
        <f>INDEX(芦花古楼!$BX$19:$BX$58,神器!AM95)</f>
        <v>1</v>
      </c>
      <c r="AP95" s="15" t="s">
        <v>88</v>
      </c>
      <c r="AQ95" s="15">
        <f t="shared" si="22"/>
        <v>200</v>
      </c>
      <c r="AR95" s="15" t="s">
        <v>654</v>
      </c>
      <c r="AS95" s="15">
        <f t="shared" si="23"/>
        <v>6</v>
      </c>
    </row>
    <row r="96" spans="35:45" ht="16.5" x14ac:dyDescent="0.2">
      <c r="AI96" s="60">
        <v>83</v>
      </c>
      <c r="AJ96" s="15">
        <f t="shared" si="18"/>
        <v>1606005</v>
      </c>
      <c r="AK96" s="15" t="str">
        <f t="shared" si="19"/>
        <v>初级神器2配件1-护木Lvs3</v>
      </c>
      <c r="AL96" s="60" t="s">
        <v>645</v>
      </c>
      <c r="AM96" s="15">
        <f t="shared" si="20"/>
        <v>3</v>
      </c>
      <c r="AN96" s="15" t="str">
        <f t="shared" si="21"/>
        <v>初级神器2配件1</v>
      </c>
      <c r="AO96" s="15">
        <f>INDEX(芦花古楼!$BX$19:$BX$58,神器!AM96)</f>
        <v>2</v>
      </c>
      <c r="AP96" s="15" t="s">
        <v>88</v>
      </c>
      <c r="AQ96" s="15">
        <f t="shared" si="22"/>
        <v>265</v>
      </c>
      <c r="AR96" s="15" t="s">
        <v>654</v>
      </c>
      <c r="AS96" s="15">
        <f t="shared" si="23"/>
        <v>8</v>
      </c>
    </row>
    <row r="97" spans="35:45" ht="16.5" x14ac:dyDescent="0.2">
      <c r="AI97" s="60">
        <v>84</v>
      </c>
      <c r="AJ97" s="15">
        <f t="shared" si="18"/>
        <v>1606005</v>
      </c>
      <c r="AK97" s="15" t="str">
        <f t="shared" si="19"/>
        <v>初级神器2配件1-护木Lvs4</v>
      </c>
      <c r="AL97" s="60" t="s">
        <v>645</v>
      </c>
      <c r="AM97" s="15">
        <f t="shared" si="20"/>
        <v>4</v>
      </c>
      <c r="AN97" s="15" t="str">
        <f t="shared" si="21"/>
        <v>初级神器2配件1</v>
      </c>
      <c r="AO97" s="15">
        <f>INDEX(芦花古楼!$BX$19:$BX$58,神器!AM97)</f>
        <v>3</v>
      </c>
      <c r="AP97" s="15" t="s">
        <v>88</v>
      </c>
      <c r="AQ97" s="15">
        <f t="shared" si="22"/>
        <v>330</v>
      </c>
      <c r="AR97" s="15" t="s">
        <v>654</v>
      </c>
      <c r="AS97" s="15">
        <f t="shared" si="23"/>
        <v>10</v>
      </c>
    </row>
    <row r="98" spans="35:45" ht="16.5" x14ac:dyDescent="0.2">
      <c r="AI98" s="60">
        <v>85</v>
      </c>
      <c r="AJ98" s="15">
        <f t="shared" si="18"/>
        <v>1606005</v>
      </c>
      <c r="AK98" s="15" t="str">
        <f t="shared" si="19"/>
        <v>初级神器2配件1-护木Lvs5</v>
      </c>
      <c r="AL98" s="60" t="s">
        <v>645</v>
      </c>
      <c r="AM98" s="15">
        <f t="shared" si="20"/>
        <v>5</v>
      </c>
      <c r="AN98" s="15" t="str">
        <f t="shared" si="21"/>
        <v>初级神器2配件1</v>
      </c>
      <c r="AO98" s="15">
        <f>INDEX(芦花古楼!$BX$19:$BX$58,神器!AM98)</f>
        <v>3</v>
      </c>
      <c r="AP98" s="15" t="s">
        <v>88</v>
      </c>
      <c r="AQ98" s="15">
        <f t="shared" si="22"/>
        <v>400</v>
      </c>
      <c r="AR98" s="15" t="s">
        <v>654</v>
      </c>
      <c r="AS98" s="15">
        <f t="shared" si="23"/>
        <v>12</v>
      </c>
    </row>
    <row r="99" spans="35:45" ht="16.5" x14ac:dyDescent="0.2">
      <c r="AI99" s="60">
        <v>86</v>
      </c>
      <c r="AJ99" s="15">
        <f t="shared" si="18"/>
        <v>1606005</v>
      </c>
      <c r="AK99" s="15" t="str">
        <f t="shared" si="19"/>
        <v>初级神器2配件1-护木Lvs6</v>
      </c>
      <c r="AL99" s="60" t="s">
        <v>645</v>
      </c>
      <c r="AM99" s="15">
        <f t="shared" si="20"/>
        <v>6</v>
      </c>
      <c r="AN99" s="15" t="str">
        <f t="shared" si="21"/>
        <v>初级神器2配件1</v>
      </c>
      <c r="AO99" s="15">
        <f>INDEX(芦花古楼!$BX$19:$BX$58,神器!AM99)</f>
        <v>5</v>
      </c>
      <c r="AP99" s="15" t="s">
        <v>88</v>
      </c>
      <c r="AQ99" s="15">
        <f t="shared" si="22"/>
        <v>465</v>
      </c>
      <c r="AR99" s="15" t="s">
        <v>654</v>
      </c>
      <c r="AS99" s="15">
        <f t="shared" si="23"/>
        <v>14</v>
      </c>
    </row>
    <row r="100" spans="35:45" ht="16.5" x14ac:dyDescent="0.2">
      <c r="AI100" s="60">
        <v>87</v>
      </c>
      <c r="AJ100" s="15">
        <f t="shared" si="18"/>
        <v>1606005</v>
      </c>
      <c r="AK100" s="15" t="str">
        <f t="shared" si="19"/>
        <v>初级神器2配件1-护木Lvs7</v>
      </c>
      <c r="AL100" s="60" t="s">
        <v>645</v>
      </c>
      <c r="AM100" s="15">
        <f t="shared" si="20"/>
        <v>7</v>
      </c>
      <c r="AN100" s="15" t="str">
        <f t="shared" si="21"/>
        <v>初级神器2配件1</v>
      </c>
      <c r="AO100" s="15">
        <f>INDEX(芦花古楼!$BX$19:$BX$58,神器!AM100)</f>
        <v>5</v>
      </c>
      <c r="AP100" s="15" t="s">
        <v>88</v>
      </c>
      <c r="AQ100" s="15">
        <f t="shared" si="22"/>
        <v>535</v>
      </c>
      <c r="AR100" s="15" t="s">
        <v>654</v>
      </c>
      <c r="AS100" s="15">
        <f t="shared" si="23"/>
        <v>16</v>
      </c>
    </row>
    <row r="101" spans="35:45" ht="16.5" x14ac:dyDescent="0.2">
      <c r="AI101" s="60">
        <v>88</v>
      </c>
      <c r="AJ101" s="15">
        <f t="shared" si="18"/>
        <v>1606005</v>
      </c>
      <c r="AK101" s="15" t="str">
        <f t="shared" si="19"/>
        <v>初级神器2配件1-护木Lvs8</v>
      </c>
      <c r="AL101" s="60" t="s">
        <v>645</v>
      </c>
      <c r="AM101" s="15">
        <f t="shared" si="20"/>
        <v>8</v>
      </c>
      <c r="AN101" s="15" t="str">
        <f t="shared" si="21"/>
        <v>初级神器2配件1</v>
      </c>
      <c r="AO101" s="15">
        <f>INDEX(芦花古楼!$BX$19:$BX$58,神器!AM101)</f>
        <v>5</v>
      </c>
      <c r="AP101" s="15" t="s">
        <v>88</v>
      </c>
      <c r="AQ101" s="15">
        <f t="shared" si="22"/>
        <v>600</v>
      </c>
      <c r="AR101" s="15" t="s">
        <v>654</v>
      </c>
      <c r="AS101" s="15">
        <f t="shared" si="23"/>
        <v>18</v>
      </c>
    </row>
    <row r="102" spans="35:45" ht="16.5" x14ac:dyDescent="0.2">
      <c r="AI102" s="60">
        <v>89</v>
      </c>
      <c r="AJ102" s="15">
        <f t="shared" si="18"/>
        <v>1606005</v>
      </c>
      <c r="AK102" s="15" t="str">
        <f t="shared" si="19"/>
        <v>初级神器2配件1-护木Lvs9</v>
      </c>
      <c r="AL102" s="60" t="s">
        <v>645</v>
      </c>
      <c r="AM102" s="15">
        <f t="shared" si="20"/>
        <v>9</v>
      </c>
      <c r="AN102" s="15" t="str">
        <f t="shared" si="21"/>
        <v>初级神器2配件1</v>
      </c>
      <c r="AO102" s="15">
        <f>INDEX(芦花古楼!$BX$19:$BX$58,神器!AM102)</f>
        <v>5</v>
      </c>
      <c r="AP102" s="15" t="s">
        <v>88</v>
      </c>
      <c r="AQ102" s="15">
        <f t="shared" si="22"/>
        <v>665</v>
      </c>
      <c r="AR102" s="15" t="s">
        <v>654</v>
      </c>
      <c r="AS102" s="15">
        <f t="shared" si="23"/>
        <v>20</v>
      </c>
    </row>
    <row r="103" spans="35:45" ht="16.5" x14ac:dyDescent="0.2">
      <c r="AI103" s="60">
        <v>90</v>
      </c>
      <c r="AJ103" s="15">
        <f t="shared" si="18"/>
        <v>1606005</v>
      </c>
      <c r="AK103" s="15" t="str">
        <f t="shared" si="19"/>
        <v>初级神器2配件1-护木Lvs10</v>
      </c>
      <c r="AL103" s="60" t="s">
        <v>645</v>
      </c>
      <c r="AM103" s="15">
        <f t="shared" si="20"/>
        <v>10</v>
      </c>
      <c r="AN103" s="15" t="str">
        <f t="shared" si="21"/>
        <v>初级神器2配件1</v>
      </c>
      <c r="AO103" s="15">
        <f>INDEX(芦花古楼!$BX$19:$BX$58,神器!AM103)</f>
        <v>7</v>
      </c>
      <c r="AP103" s="15" t="s">
        <v>88</v>
      </c>
      <c r="AQ103" s="15">
        <f t="shared" si="22"/>
        <v>800</v>
      </c>
      <c r="AR103" s="15" t="s">
        <v>654</v>
      </c>
      <c r="AS103" s="15">
        <f t="shared" si="23"/>
        <v>22</v>
      </c>
    </row>
    <row r="104" spans="35:45" ht="16.5" x14ac:dyDescent="0.2">
      <c r="AI104" s="60">
        <v>91</v>
      </c>
      <c r="AJ104" s="15">
        <f t="shared" si="18"/>
        <v>1606005</v>
      </c>
      <c r="AK104" s="15" t="str">
        <f t="shared" si="19"/>
        <v>初级神器2配件1-护木Lvs11</v>
      </c>
      <c r="AL104" s="60" t="s">
        <v>645</v>
      </c>
      <c r="AM104" s="15">
        <f t="shared" si="20"/>
        <v>11</v>
      </c>
      <c r="AN104" s="15" t="str">
        <f t="shared" si="21"/>
        <v>初级神器2配件1</v>
      </c>
      <c r="AO104" s="15">
        <f>INDEX(芦花古楼!$BX$19:$BX$58,神器!AM104)</f>
        <v>7</v>
      </c>
      <c r="AP104" s="15" t="s">
        <v>88</v>
      </c>
      <c r="AQ104" s="15">
        <f t="shared" si="22"/>
        <v>1005</v>
      </c>
      <c r="AR104" s="15" t="s">
        <v>654</v>
      </c>
      <c r="AS104" s="15">
        <f t="shared" si="23"/>
        <v>25</v>
      </c>
    </row>
    <row r="105" spans="35:45" ht="16.5" x14ac:dyDescent="0.2">
      <c r="AI105" s="60">
        <v>92</v>
      </c>
      <c r="AJ105" s="15">
        <f t="shared" si="18"/>
        <v>1606005</v>
      </c>
      <c r="AK105" s="15" t="str">
        <f t="shared" si="19"/>
        <v>初级神器2配件1-护木Lvs12</v>
      </c>
      <c r="AL105" s="60" t="s">
        <v>645</v>
      </c>
      <c r="AM105" s="15">
        <f t="shared" si="20"/>
        <v>12</v>
      </c>
      <c r="AN105" s="15" t="str">
        <f t="shared" si="21"/>
        <v>初级神器2配件1</v>
      </c>
      <c r="AO105" s="15">
        <f>INDEX(芦花古楼!$BX$19:$BX$58,神器!AM105)</f>
        <v>7</v>
      </c>
      <c r="AP105" s="15" t="s">
        <v>88</v>
      </c>
      <c r="AQ105" s="15">
        <f t="shared" si="22"/>
        <v>1175</v>
      </c>
      <c r="AR105" s="15" t="s">
        <v>654</v>
      </c>
      <c r="AS105" s="15">
        <f t="shared" si="23"/>
        <v>27</v>
      </c>
    </row>
    <row r="106" spans="35:45" ht="16.5" x14ac:dyDescent="0.2">
      <c r="AI106" s="60">
        <v>93</v>
      </c>
      <c r="AJ106" s="15">
        <f t="shared" si="18"/>
        <v>1606005</v>
      </c>
      <c r="AK106" s="15" t="str">
        <f t="shared" si="19"/>
        <v>初级神器2配件1-护木Lvs13</v>
      </c>
      <c r="AL106" s="60" t="s">
        <v>645</v>
      </c>
      <c r="AM106" s="15">
        <f t="shared" si="20"/>
        <v>13</v>
      </c>
      <c r="AN106" s="15" t="str">
        <f t="shared" si="21"/>
        <v>初级神器2配件1</v>
      </c>
      <c r="AO106" s="15">
        <f>INDEX(芦花古楼!$BX$19:$BX$58,神器!AM106)</f>
        <v>7</v>
      </c>
      <c r="AP106" s="15" t="s">
        <v>88</v>
      </c>
      <c r="AQ106" s="15">
        <f t="shared" si="22"/>
        <v>1340</v>
      </c>
      <c r="AR106" s="15" t="s">
        <v>654</v>
      </c>
      <c r="AS106" s="15">
        <f t="shared" si="23"/>
        <v>30</v>
      </c>
    </row>
    <row r="107" spans="35:45" ht="16.5" x14ac:dyDescent="0.2">
      <c r="AI107" s="60">
        <v>94</v>
      </c>
      <c r="AJ107" s="15">
        <f t="shared" si="18"/>
        <v>1606005</v>
      </c>
      <c r="AK107" s="15" t="str">
        <f t="shared" si="19"/>
        <v>初级神器2配件1-护木Lvs14</v>
      </c>
      <c r="AL107" s="60" t="s">
        <v>645</v>
      </c>
      <c r="AM107" s="15">
        <f t="shared" si="20"/>
        <v>14</v>
      </c>
      <c r="AN107" s="15" t="str">
        <f t="shared" si="21"/>
        <v>初级神器2配件1</v>
      </c>
      <c r="AO107" s="15">
        <f>INDEX(芦花古楼!$BX$19:$BX$58,神器!AM107)</f>
        <v>7</v>
      </c>
      <c r="AP107" s="15" t="s">
        <v>88</v>
      </c>
      <c r="AQ107" s="15">
        <f t="shared" si="22"/>
        <v>1510</v>
      </c>
      <c r="AR107" s="15" t="s">
        <v>654</v>
      </c>
      <c r="AS107" s="15">
        <f t="shared" si="23"/>
        <v>33</v>
      </c>
    </row>
    <row r="108" spans="35:45" ht="16.5" x14ac:dyDescent="0.2">
      <c r="AI108" s="60">
        <v>95</v>
      </c>
      <c r="AJ108" s="15">
        <f t="shared" si="18"/>
        <v>1606005</v>
      </c>
      <c r="AK108" s="15" t="str">
        <f t="shared" si="19"/>
        <v>初级神器2配件1-护木Lvs15</v>
      </c>
      <c r="AL108" s="60" t="s">
        <v>645</v>
      </c>
      <c r="AM108" s="15">
        <f t="shared" si="20"/>
        <v>15</v>
      </c>
      <c r="AN108" s="15" t="str">
        <f t="shared" si="21"/>
        <v>初级神器2配件1</v>
      </c>
      <c r="AO108" s="15">
        <f>INDEX(芦花古楼!$BX$19:$BX$58,神器!AM108)</f>
        <v>10</v>
      </c>
      <c r="AP108" s="15" t="s">
        <v>88</v>
      </c>
      <c r="AQ108" s="15">
        <f t="shared" si="22"/>
        <v>1680</v>
      </c>
      <c r="AR108" s="15" t="s">
        <v>654</v>
      </c>
      <c r="AS108" s="15">
        <f t="shared" si="23"/>
        <v>36</v>
      </c>
    </row>
    <row r="109" spans="35:45" ht="16.5" x14ac:dyDescent="0.2">
      <c r="AI109" s="60">
        <v>96</v>
      </c>
      <c r="AJ109" s="15">
        <f t="shared" si="18"/>
        <v>1606005</v>
      </c>
      <c r="AK109" s="15" t="str">
        <f t="shared" si="19"/>
        <v>初级神器2配件1-护木Lvs16</v>
      </c>
      <c r="AL109" s="60" t="s">
        <v>645</v>
      </c>
      <c r="AM109" s="15">
        <f t="shared" si="20"/>
        <v>16</v>
      </c>
      <c r="AN109" s="15" t="str">
        <f t="shared" si="21"/>
        <v>初级神器2配件1</v>
      </c>
      <c r="AO109" s="15">
        <f>INDEX(芦花古楼!$BX$19:$BX$58,神器!AM109)</f>
        <v>10</v>
      </c>
      <c r="AP109" s="15" t="s">
        <v>88</v>
      </c>
      <c r="AQ109" s="15">
        <f t="shared" si="22"/>
        <v>1845</v>
      </c>
      <c r="AR109" s="15" t="s">
        <v>654</v>
      </c>
      <c r="AS109" s="15">
        <f t="shared" si="23"/>
        <v>39</v>
      </c>
    </row>
    <row r="110" spans="35:45" ht="16.5" x14ac:dyDescent="0.2">
      <c r="AI110" s="60">
        <v>97</v>
      </c>
      <c r="AJ110" s="15">
        <f t="shared" si="18"/>
        <v>1606005</v>
      </c>
      <c r="AK110" s="15" t="str">
        <f t="shared" si="19"/>
        <v>初级神器2配件1-护木Lvs17</v>
      </c>
      <c r="AL110" s="60" t="s">
        <v>645</v>
      </c>
      <c r="AM110" s="15">
        <f t="shared" si="20"/>
        <v>17</v>
      </c>
      <c r="AN110" s="15" t="str">
        <f t="shared" si="21"/>
        <v>初级神器2配件1</v>
      </c>
      <c r="AO110" s="15">
        <f>INDEX(芦花古楼!$BX$19:$BX$58,神器!AM110)</f>
        <v>10</v>
      </c>
      <c r="AP110" s="15" t="s">
        <v>88</v>
      </c>
      <c r="AQ110" s="15">
        <f t="shared" si="22"/>
        <v>2015</v>
      </c>
      <c r="AR110" s="15" t="s">
        <v>654</v>
      </c>
      <c r="AS110" s="15">
        <f t="shared" si="23"/>
        <v>42</v>
      </c>
    </row>
    <row r="111" spans="35:45" ht="16.5" x14ac:dyDescent="0.2">
      <c r="AI111" s="60">
        <v>98</v>
      </c>
      <c r="AJ111" s="15">
        <f t="shared" si="18"/>
        <v>1606005</v>
      </c>
      <c r="AK111" s="15" t="str">
        <f t="shared" si="19"/>
        <v>初级神器2配件1-护木Lvs18</v>
      </c>
      <c r="AL111" s="60" t="s">
        <v>645</v>
      </c>
      <c r="AM111" s="15">
        <f t="shared" si="20"/>
        <v>18</v>
      </c>
      <c r="AN111" s="15" t="str">
        <f t="shared" si="21"/>
        <v>初级神器2配件1</v>
      </c>
      <c r="AO111" s="15">
        <f>INDEX(芦花古楼!$BX$19:$BX$58,神器!AM111)</f>
        <v>10</v>
      </c>
      <c r="AP111" s="15" t="s">
        <v>88</v>
      </c>
      <c r="AQ111" s="15">
        <f t="shared" si="22"/>
        <v>2180</v>
      </c>
      <c r="AR111" s="15" t="s">
        <v>654</v>
      </c>
      <c r="AS111" s="15">
        <f t="shared" si="23"/>
        <v>46</v>
      </c>
    </row>
    <row r="112" spans="35:45" ht="16.5" x14ac:dyDescent="0.2">
      <c r="AI112" s="60">
        <v>99</v>
      </c>
      <c r="AJ112" s="15">
        <f t="shared" si="18"/>
        <v>1606005</v>
      </c>
      <c r="AK112" s="15" t="str">
        <f t="shared" si="19"/>
        <v>初级神器2配件1-护木Lvs19</v>
      </c>
      <c r="AL112" s="60" t="s">
        <v>645</v>
      </c>
      <c r="AM112" s="15">
        <f t="shared" si="20"/>
        <v>19</v>
      </c>
      <c r="AN112" s="15" t="str">
        <f t="shared" si="21"/>
        <v>初级神器2配件1</v>
      </c>
      <c r="AO112" s="15">
        <f>INDEX(芦花古楼!$BX$19:$BX$58,神器!AM112)</f>
        <v>10</v>
      </c>
      <c r="AP112" s="15" t="s">
        <v>88</v>
      </c>
      <c r="AQ112" s="15">
        <f t="shared" si="22"/>
        <v>2350</v>
      </c>
      <c r="AR112" s="15" t="s">
        <v>654</v>
      </c>
      <c r="AS112" s="15">
        <f t="shared" si="23"/>
        <v>49</v>
      </c>
    </row>
    <row r="113" spans="35:45" ht="16.5" x14ac:dyDescent="0.2">
      <c r="AI113" s="60">
        <v>100</v>
      </c>
      <c r="AJ113" s="15">
        <f t="shared" si="18"/>
        <v>1606005</v>
      </c>
      <c r="AK113" s="15" t="str">
        <f t="shared" si="19"/>
        <v>初级神器2配件1-护木Lvs20</v>
      </c>
      <c r="AL113" s="60" t="s">
        <v>645</v>
      </c>
      <c r="AM113" s="15">
        <f t="shared" si="20"/>
        <v>20</v>
      </c>
      <c r="AN113" s="15" t="str">
        <f t="shared" si="21"/>
        <v>初级神器2配件1</v>
      </c>
      <c r="AO113" s="15">
        <f>INDEX(芦花古楼!$BX$19:$BX$58,神器!AM113)</f>
        <v>10</v>
      </c>
      <c r="AP113" s="15" t="s">
        <v>88</v>
      </c>
      <c r="AQ113" s="15">
        <f t="shared" si="22"/>
        <v>2685</v>
      </c>
      <c r="AR113" s="15" t="s">
        <v>654</v>
      </c>
      <c r="AS113" s="15">
        <f t="shared" si="23"/>
        <v>53</v>
      </c>
    </row>
    <row r="114" spans="35:45" ht="16.5" x14ac:dyDescent="0.2">
      <c r="AI114" s="60">
        <v>101</v>
      </c>
      <c r="AJ114" s="15">
        <f t="shared" si="18"/>
        <v>1606005</v>
      </c>
      <c r="AK114" s="15" t="str">
        <f t="shared" si="19"/>
        <v>初级神器2配件1-护木Lvs21</v>
      </c>
      <c r="AL114" s="60" t="s">
        <v>645</v>
      </c>
      <c r="AM114" s="15">
        <f t="shared" si="20"/>
        <v>21</v>
      </c>
      <c r="AN114" s="15" t="str">
        <f t="shared" si="21"/>
        <v>初级神器2配件1</v>
      </c>
      <c r="AO114" s="15">
        <f>INDEX(芦花古楼!$BX$19:$BX$58,神器!AM114)</f>
        <v>15</v>
      </c>
      <c r="AP114" s="15" t="s">
        <v>88</v>
      </c>
      <c r="AQ114" s="15">
        <f t="shared" si="22"/>
        <v>2965</v>
      </c>
      <c r="AR114" s="15" t="s">
        <v>654</v>
      </c>
      <c r="AS114" s="15">
        <f t="shared" si="23"/>
        <v>57</v>
      </c>
    </row>
    <row r="115" spans="35:45" ht="16.5" x14ac:dyDescent="0.2">
      <c r="AI115" s="60">
        <v>102</v>
      </c>
      <c r="AJ115" s="15">
        <f t="shared" si="18"/>
        <v>1606005</v>
      </c>
      <c r="AK115" s="15" t="str">
        <f t="shared" si="19"/>
        <v>初级神器2配件1-护木Lvs22</v>
      </c>
      <c r="AL115" s="60" t="s">
        <v>645</v>
      </c>
      <c r="AM115" s="15">
        <f t="shared" si="20"/>
        <v>22</v>
      </c>
      <c r="AN115" s="15" t="str">
        <f t="shared" si="21"/>
        <v>初级神器2配件1</v>
      </c>
      <c r="AO115" s="15">
        <f>INDEX(芦花古楼!$BX$19:$BX$58,神器!AM115)</f>
        <v>15</v>
      </c>
      <c r="AP115" s="15" t="s">
        <v>88</v>
      </c>
      <c r="AQ115" s="15">
        <f t="shared" si="22"/>
        <v>3115</v>
      </c>
      <c r="AR115" s="15" t="s">
        <v>654</v>
      </c>
      <c r="AS115" s="15">
        <f t="shared" si="23"/>
        <v>61</v>
      </c>
    </row>
    <row r="116" spans="35:45" ht="16.5" x14ac:dyDescent="0.2">
      <c r="AI116" s="60">
        <v>103</v>
      </c>
      <c r="AJ116" s="15">
        <f t="shared" si="18"/>
        <v>1606005</v>
      </c>
      <c r="AK116" s="15" t="str">
        <f t="shared" si="19"/>
        <v>初级神器2配件1-护木Lvs23</v>
      </c>
      <c r="AL116" s="60" t="s">
        <v>645</v>
      </c>
      <c r="AM116" s="15">
        <f t="shared" si="20"/>
        <v>23</v>
      </c>
      <c r="AN116" s="15" t="str">
        <f t="shared" si="21"/>
        <v>初级神器2配件1</v>
      </c>
      <c r="AO116" s="15">
        <f>INDEX(芦花古楼!$BX$19:$BX$58,神器!AM116)</f>
        <v>15</v>
      </c>
      <c r="AP116" s="15" t="s">
        <v>88</v>
      </c>
      <c r="AQ116" s="15">
        <f t="shared" si="22"/>
        <v>3265</v>
      </c>
      <c r="AR116" s="15" t="s">
        <v>654</v>
      </c>
      <c r="AS116" s="15">
        <f t="shared" si="23"/>
        <v>66</v>
      </c>
    </row>
    <row r="117" spans="35:45" ht="16.5" x14ac:dyDescent="0.2">
      <c r="AI117" s="60">
        <v>104</v>
      </c>
      <c r="AJ117" s="15">
        <f t="shared" si="18"/>
        <v>1606005</v>
      </c>
      <c r="AK117" s="15" t="str">
        <f t="shared" si="19"/>
        <v>初级神器2配件1-护木Lvs24</v>
      </c>
      <c r="AL117" s="60" t="s">
        <v>645</v>
      </c>
      <c r="AM117" s="15">
        <f t="shared" si="20"/>
        <v>24</v>
      </c>
      <c r="AN117" s="15" t="str">
        <f t="shared" si="21"/>
        <v>初级神器2配件1</v>
      </c>
      <c r="AO117" s="15">
        <f>INDEX(芦花古楼!$BX$19:$BX$58,神器!AM117)</f>
        <v>15</v>
      </c>
      <c r="AP117" s="15" t="s">
        <v>88</v>
      </c>
      <c r="AQ117" s="15">
        <f t="shared" si="22"/>
        <v>3410</v>
      </c>
      <c r="AR117" s="15" t="s">
        <v>654</v>
      </c>
      <c r="AS117" s="15">
        <f t="shared" si="23"/>
        <v>71</v>
      </c>
    </row>
    <row r="118" spans="35:45" ht="16.5" x14ac:dyDescent="0.2">
      <c r="AI118" s="60">
        <v>105</v>
      </c>
      <c r="AJ118" s="15">
        <f t="shared" si="18"/>
        <v>1606005</v>
      </c>
      <c r="AK118" s="15" t="str">
        <f t="shared" si="19"/>
        <v>初级神器2配件1-护木Lvs25</v>
      </c>
      <c r="AL118" s="60" t="s">
        <v>645</v>
      </c>
      <c r="AM118" s="15">
        <f t="shared" si="20"/>
        <v>25</v>
      </c>
      <c r="AN118" s="15" t="str">
        <f t="shared" si="21"/>
        <v>初级神器2配件1</v>
      </c>
      <c r="AO118" s="15">
        <f>INDEX(芦花古楼!$BX$19:$BX$58,神器!AM118)</f>
        <v>15</v>
      </c>
      <c r="AP118" s="15" t="s">
        <v>88</v>
      </c>
      <c r="AQ118" s="15">
        <f t="shared" si="22"/>
        <v>3560</v>
      </c>
      <c r="AR118" s="15" t="s">
        <v>654</v>
      </c>
      <c r="AS118" s="15">
        <f t="shared" si="23"/>
        <v>75</v>
      </c>
    </row>
    <row r="119" spans="35:45" ht="16.5" x14ac:dyDescent="0.2">
      <c r="AI119" s="60">
        <v>106</v>
      </c>
      <c r="AJ119" s="15">
        <f t="shared" si="18"/>
        <v>1606005</v>
      </c>
      <c r="AK119" s="15" t="str">
        <f t="shared" si="19"/>
        <v>初级神器2配件1-护木Lvs26</v>
      </c>
      <c r="AL119" s="60" t="s">
        <v>645</v>
      </c>
      <c r="AM119" s="15">
        <f t="shared" si="20"/>
        <v>26</v>
      </c>
      <c r="AN119" s="15" t="str">
        <f t="shared" si="21"/>
        <v>初级神器2配件1</v>
      </c>
      <c r="AO119" s="15">
        <f>INDEX(芦花古楼!$BX$19:$BX$58,神器!AM119)</f>
        <v>25</v>
      </c>
      <c r="AP119" s="15" t="s">
        <v>88</v>
      </c>
      <c r="AQ119" s="15">
        <f t="shared" si="22"/>
        <v>3710</v>
      </c>
      <c r="AR119" s="15" t="s">
        <v>654</v>
      </c>
      <c r="AS119" s="15">
        <f t="shared" si="23"/>
        <v>81</v>
      </c>
    </row>
    <row r="120" spans="35:45" ht="16.5" x14ac:dyDescent="0.2">
      <c r="AI120" s="60">
        <v>107</v>
      </c>
      <c r="AJ120" s="15">
        <f t="shared" si="18"/>
        <v>1606005</v>
      </c>
      <c r="AK120" s="15" t="str">
        <f t="shared" si="19"/>
        <v>初级神器2配件1-护木Lvs27</v>
      </c>
      <c r="AL120" s="60" t="s">
        <v>645</v>
      </c>
      <c r="AM120" s="15">
        <f t="shared" si="20"/>
        <v>27</v>
      </c>
      <c r="AN120" s="15" t="str">
        <f t="shared" si="21"/>
        <v>初级神器2配件1</v>
      </c>
      <c r="AO120" s="15">
        <f>INDEX(芦花古楼!$BX$19:$BX$58,神器!AM120)</f>
        <v>25</v>
      </c>
      <c r="AP120" s="15" t="s">
        <v>88</v>
      </c>
      <c r="AQ120" s="15">
        <f t="shared" si="22"/>
        <v>3855</v>
      </c>
      <c r="AR120" s="15" t="s">
        <v>654</v>
      </c>
      <c r="AS120" s="15">
        <f t="shared" si="23"/>
        <v>86</v>
      </c>
    </row>
    <row r="121" spans="35:45" ht="16.5" x14ac:dyDescent="0.2">
      <c r="AI121" s="60">
        <v>108</v>
      </c>
      <c r="AJ121" s="15">
        <f t="shared" si="18"/>
        <v>1606005</v>
      </c>
      <c r="AK121" s="15" t="str">
        <f t="shared" si="19"/>
        <v>初级神器2配件1-护木Lvs28</v>
      </c>
      <c r="AL121" s="60" t="s">
        <v>645</v>
      </c>
      <c r="AM121" s="15">
        <f t="shared" si="20"/>
        <v>28</v>
      </c>
      <c r="AN121" s="15" t="str">
        <f t="shared" si="21"/>
        <v>初级神器2配件1</v>
      </c>
      <c r="AO121" s="15">
        <f>INDEX(芦花古楼!$BX$19:$BX$58,神器!AM121)</f>
        <v>25</v>
      </c>
      <c r="AP121" s="15" t="s">
        <v>88</v>
      </c>
      <c r="AQ121" s="15">
        <f t="shared" si="22"/>
        <v>4005</v>
      </c>
      <c r="AR121" s="15" t="s">
        <v>654</v>
      </c>
      <c r="AS121" s="15">
        <f t="shared" si="23"/>
        <v>92</v>
      </c>
    </row>
    <row r="122" spans="35:45" ht="16.5" x14ac:dyDescent="0.2">
      <c r="AI122" s="60">
        <v>109</v>
      </c>
      <c r="AJ122" s="15">
        <f t="shared" si="18"/>
        <v>1606005</v>
      </c>
      <c r="AK122" s="15" t="str">
        <f t="shared" si="19"/>
        <v>初级神器2配件1-护木Lvs29</v>
      </c>
      <c r="AL122" s="60" t="s">
        <v>645</v>
      </c>
      <c r="AM122" s="15">
        <f t="shared" si="20"/>
        <v>29</v>
      </c>
      <c r="AN122" s="15" t="str">
        <f t="shared" si="21"/>
        <v>初级神器2配件1</v>
      </c>
      <c r="AO122" s="15">
        <f>INDEX(芦花古楼!$BX$19:$BX$58,神器!AM122)</f>
        <v>25</v>
      </c>
      <c r="AP122" s="15" t="s">
        <v>88</v>
      </c>
      <c r="AQ122" s="15">
        <f t="shared" si="22"/>
        <v>4155</v>
      </c>
      <c r="AR122" s="15" t="s">
        <v>654</v>
      </c>
      <c r="AS122" s="15">
        <f t="shared" si="23"/>
        <v>97</v>
      </c>
    </row>
    <row r="123" spans="35:45" ht="16.5" x14ac:dyDescent="0.2">
      <c r="AI123" s="60">
        <v>110</v>
      </c>
      <c r="AJ123" s="15">
        <f t="shared" si="18"/>
        <v>1606005</v>
      </c>
      <c r="AK123" s="15" t="str">
        <f t="shared" si="19"/>
        <v>初级神器2配件1-护木Lvs30</v>
      </c>
      <c r="AL123" s="60" t="s">
        <v>645</v>
      </c>
      <c r="AM123" s="15">
        <f t="shared" si="20"/>
        <v>30</v>
      </c>
      <c r="AN123" s="15" t="str">
        <f t="shared" si="21"/>
        <v>初级神器2配件1</v>
      </c>
      <c r="AO123" s="15">
        <f>INDEX(芦花古楼!$BX$19:$BX$58,神器!AM123)</f>
        <v>25</v>
      </c>
      <c r="AP123" s="15" t="s">
        <v>88</v>
      </c>
      <c r="AQ123" s="15">
        <f t="shared" si="22"/>
        <v>4450</v>
      </c>
      <c r="AR123" s="15" t="s">
        <v>654</v>
      </c>
      <c r="AS123" s="15">
        <f t="shared" si="23"/>
        <v>104</v>
      </c>
    </row>
    <row r="124" spans="35:45" ht="16.5" x14ac:dyDescent="0.2">
      <c r="AI124" s="60">
        <v>111</v>
      </c>
      <c r="AJ124" s="15">
        <f t="shared" si="18"/>
        <v>1606005</v>
      </c>
      <c r="AK124" s="15" t="str">
        <f t="shared" si="19"/>
        <v>初级神器2配件1-护木Lvs31</v>
      </c>
      <c r="AL124" s="60" t="s">
        <v>645</v>
      </c>
      <c r="AM124" s="15">
        <f t="shared" si="20"/>
        <v>31</v>
      </c>
      <c r="AN124" s="15" t="str">
        <f t="shared" si="21"/>
        <v>初级神器2配件1</v>
      </c>
      <c r="AO124" s="15">
        <f>INDEX(芦花古楼!$BX$19:$BX$58,神器!AM124)</f>
        <v>30</v>
      </c>
      <c r="AP124" s="15" t="s">
        <v>88</v>
      </c>
      <c r="AQ124" s="15">
        <f t="shared" si="22"/>
        <v>4340</v>
      </c>
      <c r="AR124" s="15" t="s">
        <v>654</v>
      </c>
      <c r="AS124" s="15">
        <f t="shared" si="23"/>
        <v>110</v>
      </c>
    </row>
    <row r="125" spans="35:45" ht="16.5" x14ac:dyDescent="0.2">
      <c r="AI125" s="60">
        <v>112</v>
      </c>
      <c r="AJ125" s="15">
        <f t="shared" si="18"/>
        <v>1606005</v>
      </c>
      <c r="AK125" s="15" t="str">
        <f t="shared" si="19"/>
        <v>初级神器2配件1-护木Lvs32</v>
      </c>
      <c r="AL125" s="60" t="s">
        <v>645</v>
      </c>
      <c r="AM125" s="15">
        <f t="shared" si="20"/>
        <v>32</v>
      </c>
      <c r="AN125" s="15" t="str">
        <f t="shared" si="21"/>
        <v>初级神器2配件1</v>
      </c>
      <c r="AO125" s="15">
        <f>INDEX(芦花古楼!$BX$19:$BX$58,神器!AM125)</f>
        <v>30</v>
      </c>
      <c r="AP125" s="15" t="s">
        <v>88</v>
      </c>
      <c r="AQ125" s="15">
        <f t="shared" si="22"/>
        <v>6510</v>
      </c>
      <c r="AR125" s="15" t="s">
        <v>654</v>
      </c>
      <c r="AS125" s="15">
        <f t="shared" si="23"/>
        <v>117</v>
      </c>
    </row>
    <row r="126" spans="35:45" ht="16.5" x14ac:dyDescent="0.2">
      <c r="AI126" s="60">
        <v>113</v>
      </c>
      <c r="AJ126" s="15">
        <f t="shared" si="18"/>
        <v>1606005</v>
      </c>
      <c r="AK126" s="15" t="str">
        <f t="shared" si="19"/>
        <v>初级神器2配件1-护木Lvs33</v>
      </c>
      <c r="AL126" s="60" t="s">
        <v>645</v>
      </c>
      <c r="AM126" s="15">
        <f t="shared" si="20"/>
        <v>33</v>
      </c>
      <c r="AN126" s="15" t="str">
        <f t="shared" si="21"/>
        <v>初级神器2配件1</v>
      </c>
      <c r="AO126" s="15">
        <f>INDEX(芦花古楼!$BX$19:$BX$58,神器!AM126)</f>
        <v>30</v>
      </c>
      <c r="AP126" s="15" t="s">
        <v>88</v>
      </c>
      <c r="AQ126" s="15">
        <f t="shared" si="22"/>
        <v>8680</v>
      </c>
      <c r="AR126" s="15" t="s">
        <v>654</v>
      </c>
      <c r="AS126" s="15">
        <f t="shared" si="23"/>
        <v>124</v>
      </c>
    </row>
    <row r="127" spans="35:45" ht="16.5" x14ac:dyDescent="0.2">
      <c r="AI127" s="60">
        <v>114</v>
      </c>
      <c r="AJ127" s="15">
        <f t="shared" si="18"/>
        <v>1606005</v>
      </c>
      <c r="AK127" s="15" t="str">
        <f t="shared" si="19"/>
        <v>初级神器2配件1-护木Lvs34</v>
      </c>
      <c r="AL127" s="60" t="s">
        <v>645</v>
      </c>
      <c r="AM127" s="15">
        <f t="shared" si="20"/>
        <v>34</v>
      </c>
      <c r="AN127" s="15" t="str">
        <f t="shared" si="21"/>
        <v>初级神器2配件1</v>
      </c>
      <c r="AO127" s="15">
        <f>INDEX(芦花古楼!$BX$19:$BX$58,神器!AM127)</f>
        <v>30</v>
      </c>
      <c r="AP127" s="15" t="s">
        <v>88</v>
      </c>
      <c r="AQ127" s="15">
        <f t="shared" si="22"/>
        <v>10850</v>
      </c>
      <c r="AR127" s="15" t="s">
        <v>654</v>
      </c>
      <c r="AS127" s="15">
        <f t="shared" si="23"/>
        <v>132</v>
      </c>
    </row>
    <row r="128" spans="35:45" ht="16.5" x14ac:dyDescent="0.2">
      <c r="AI128" s="60">
        <v>115</v>
      </c>
      <c r="AJ128" s="15">
        <f t="shared" si="18"/>
        <v>1606005</v>
      </c>
      <c r="AK128" s="15" t="str">
        <f t="shared" si="19"/>
        <v>初级神器2配件1-护木Lvs35</v>
      </c>
      <c r="AL128" s="60" t="s">
        <v>645</v>
      </c>
      <c r="AM128" s="15">
        <f t="shared" si="20"/>
        <v>35</v>
      </c>
      <c r="AN128" s="15" t="str">
        <f t="shared" si="21"/>
        <v>初级神器2配件1</v>
      </c>
      <c r="AO128" s="15">
        <f>INDEX(芦花古楼!$BX$19:$BX$58,神器!AM128)</f>
        <v>30</v>
      </c>
      <c r="AP128" s="15" t="s">
        <v>88</v>
      </c>
      <c r="AQ128" s="15">
        <f t="shared" si="22"/>
        <v>13020</v>
      </c>
      <c r="AR128" s="15" t="s">
        <v>654</v>
      </c>
      <c r="AS128" s="15">
        <f t="shared" si="23"/>
        <v>140</v>
      </c>
    </row>
    <row r="129" spans="35:45" ht="16.5" x14ac:dyDescent="0.2">
      <c r="AI129" s="60">
        <v>116</v>
      </c>
      <c r="AJ129" s="15">
        <f t="shared" si="18"/>
        <v>1606005</v>
      </c>
      <c r="AK129" s="15" t="str">
        <f t="shared" si="19"/>
        <v>初级神器2配件1-护木Lvs36</v>
      </c>
      <c r="AL129" s="60" t="s">
        <v>645</v>
      </c>
      <c r="AM129" s="15">
        <f t="shared" si="20"/>
        <v>36</v>
      </c>
      <c r="AN129" s="15" t="str">
        <f t="shared" si="21"/>
        <v>初级神器2配件1</v>
      </c>
      <c r="AO129" s="15">
        <f>INDEX(芦花古楼!$BX$19:$BX$58,神器!AM129)</f>
        <v>40</v>
      </c>
      <c r="AP129" s="15" t="s">
        <v>88</v>
      </c>
      <c r="AQ129" s="15">
        <f t="shared" si="22"/>
        <v>15190</v>
      </c>
      <c r="AR129" s="15" t="s">
        <v>654</v>
      </c>
      <c r="AS129" s="15">
        <f t="shared" si="23"/>
        <v>148</v>
      </c>
    </row>
    <row r="130" spans="35:45" ht="16.5" x14ac:dyDescent="0.2">
      <c r="AI130" s="60">
        <v>117</v>
      </c>
      <c r="AJ130" s="15">
        <f t="shared" si="18"/>
        <v>1606005</v>
      </c>
      <c r="AK130" s="15" t="str">
        <f t="shared" si="19"/>
        <v>初级神器2配件1-护木Lvs37</v>
      </c>
      <c r="AL130" s="60" t="s">
        <v>645</v>
      </c>
      <c r="AM130" s="15">
        <f t="shared" si="20"/>
        <v>37</v>
      </c>
      <c r="AN130" s="15" t="str">
        <f t="shared" si="21"/>
        <v>初级神器2配件1</v>
      </c>
      <c r="AO130" s="15">
        <f>INDEX(芦花古楼!$BX$19:$BX$58,神器!AM130)</f>
        <v>40</v>
      </c>
      <c r="AP130" s="15" t="s">
        <v>88</v>
      </c>
      <c r="AQ130" s="15">
        <f t="shared" si="22"/>
        <v>17360</v>
      </c>
      <c r="AR130" s="15" t="s">
        <v>654</v>
      </c>
      <c r="AS130" s="15">
        <f t="shared" si="23"/>
        <v>157</v>
      </c>
    </row>
    <row r="131" spans="35:45" ht="16.5" x14ac:dyDescent="0.2">
      <c r="AI131" s="60">
        <v>118</v>
      </c>
      <c r="AJ131" s="15">
        <f t="shared" si="18"/>
        <v>1606005</v>
      </c>
      <c r="AK131" s="15" t="str">
        <f t="shared" si="19"/>
        <v>初级神器2配件1-护木Lvs38</v>
      </c>
      <c r="AL131" s="60" t="s">
        <v>645</v>
      </c>
      <c r="AM131" s="15">
        <f t="shared" si="20"/>
        <v>38</v>
      </c>
      <c r="AN131" s="15" t="str">
        <f t="shared" si="21"/>
        <v>初级神器2配件1</v>
      </c>
      <c r="AO131" s="15">
        <f>INDEX(芦花古楼!$BX$19:$BX$58,神器!AM131)</f>
        <v>40</v>
      </c>
      <c r="AP131" s="15" t="s">
        <v>88</v>
      </c>
      <c r="AQ131" s="15">
        <f t="shared" si="22"/>
        <v>19530</v>
      </c>
      <c r="AR131" s="15" t="s">
        <v>654</v>
      </c>
      <c r="AS131" s="15">
        <f t="shared" si="23"/>
        <v>166</v>
      </c>
    </row>
    <row r="132" spans="35:45" ht="16.5" x14ac:dyDescent="0.2">
      <c r="AI132" s="60">
        <v>119</v>
      </c>
      <c r="AJ132" s="15">
        <f t="shared" si="18"/>
        <v>1606005</v>
      </c>
      <c r="AK132" s="15" t="str">
        <f t="shared" si="19"/>
        <v>初级神器2配件1-护木Lvs39</v>
      </c>
      <c r="AL132" s="60" t="s">
        <v>645</v>
      </c>
      <c r="AM132" s="15">
        <f t="shared" si="20"/>
        <v>39</v>
      </c>
      <c r="AN132" s="15" t="str">
        <f t="shared" si="21"/>
        <v>初级神器2配件1</v>
      </c>
      <c r="AO132" s="15">
        <f>INDEX(芦花古楼!$BX$19:$BX$58,神器!AM132)</f>
        <v>40</v>
      </c>
      <c r="AP132" s="15" t="s">
        <v>88</v>
      </c>
      <c r="AQ132" s="15">
        <f t="shared" si="22"/>
        <v>21700</v>
      </c>
      <c r="AR132" s="15" t="s">
        <v>654</v>
      </c>
      <c r="AS132" s="15">
        <f t="shared" si="23"/>
        <v>176</v>
      </c>
    </row>
    <row r="133" spans="35:45" ht="16.5" x14ac:dyDescent="0.2">
      <c r="AI133" s="60">
        <v>120</v>
      </c>
      <c r="AJ133" s="15">
        <f t="shared" si="18"/>
        <v>1606005</v>
      </c>
      <c r="AK133" s="15" t="str">
        <f t="shared" si="19"/>
        <v>初级神器2配件1-护木Lvs40</v>
      </c>
      <c r="AL133" s="60" t="s">
        <v>645</v>
      </c>
      <c r="AM133" s="15">
        <f t="shared" si="20"/>
        <v>40</v>
      </c>
      <c r="AN133" s="15" t="str">
        <f t="shared" si="21"/>
        <v>初级神器2配件1</v>
      </c>
      <c r="AO133" s="15">
        <f>INDEX(芦花古楼!$BX$19:$BX$58,神器!AM133)</f>
        <v>40</v>
      </c>
      <c r="AP133" s="15" t="s">
        <v>88</v>
      </c>
      <c r="AQ133" s="15">
        <f t="shared" si="22"/>
        <v>26040</v>
      </c>
      <c r="AR133" s="15" t="s">
        <v>654</v>
      </c>
      <c r="AS133" s="15">
        <f t="shared" si="23"/>
        <v>186</v>
      </c>
    </row>
    <row r="134" spans="35:45" ht="16.5" x14ac:dyDescent="0.2">
      <c r="AI134" s="60">
        <v>121</v>
      </c>
      <c r="AJ134" s="15">
        <f t="shared" si="18"/>
        <v>1606006</v>
      </c>
      <c r="AK134" s="15" t="str">
        <f t="shared" si="19"/>
        <v>初级神器2配件2-爪刃Lvs1</v>
      </c>
      <c r="AL134" s="60" t="s">
        <v>645</v>
      </c>
      <c r="AM134" s="15">
        <f t="shared" si="20"/>
        <v>1</v>
      </c>
      <c r="AN134" s="15" t="str">
        <f t="shared" si="21"/>
        <v>初级神器2配件2</v>
      </c>
      <c r="AO134" s="15">
        <f>INDEX(芦花古楼!$BX$19:$BX$58,神器!AM134)</f>
        <v>1</v>
      </c>
      <c r="AP134" s="15" t="s">
        <v>88</v>
      </c>
      <c r="AQ134" s="15">
        <f t="shared" si="22"/>
        <v>200</v>
      </c>
      <c r="AR134" s="15" t="s">
        <v>654</v>
      </c>
      <c r="AS134" s="15">
        <f t="shared" si="23"/>
        <v>7</v>
      </c>
    </row>
    <row r="135" spans="35:45" ht="16.5" x14ac:dyDescent="0.2">
      <c r="AI135" s="60">
        <v>122</v>
      </c>
      <c r="AJ135" s="15">
        <f t="shared" si="18"/>
        <v>1606006</v>
      </c>
      <c r="AK135" s="15" t="str">
        <f t="shared" si="19"/>
        <v>初级神器2配件2-爪刃Lvs2</v>
      </c>
      <c r="AL135" s="60" t="s">
        <v>645</v>
      </c>
      <c r="AM135" s="15">
        <f t="shared" si="20"/>
        <v>2</v>
      </c>
      <c r="AN135" s="15" t="str">
        <f t="shared" si="21"/>
        <v>初级神器2配件2</v>
      </c>
      <c r="AO135" s="15">
        <f>INDEX(芦花古楼!$BX$19:$BX$58,神器!AM135)</f>
        <v>1</v>
      </c>
      <c r="AP135" s="15" t="s">
        <v>88</v>
      </c>
      <c r="AQ135" s="15">
        <f t="shared" si="22"/>
        <v>300</v>
      </c>
      <c r="AR135" s="15" t="s">
        <v>654</v>
      </c>
      <c r="AS135" s="15">
        <f t="shared" si="23"/>
        <v>10</v>
      </c>
    </row>
    <row r="136" spans="35:45" ht="16.5" x14ac:dyDescent="0.2">
      <c r="AI136" s="60">
        <v>123</v>
      </c>
      <c r="AJ136" s="15">
        <f t="shared" si="18"/>
        <v>1606006</v>
      </c>
      <c r="AK136" s="15" t="str">
        <f t="shared" si="19"/>
        <v>初级神器2配件2-爪刃Lvs3</v>
      </c>
      <c r="AL136" s="60" t="s">
        <v>645</v>
      </c>
      <c r="AM136" s="15">
        <f t="shared" si="20"/>
        <v>3</v>
      </c>
      <c r="AN136" s="15" t="str">
        <f t="shared" si="21"/>
        <v>初级神器2配件2</v>
      </c>
      <c r="AO136" s="15">
        <f>INDEX(芦花古楼!$BX$19:$BX$58,神器!AM136)</f>
        <v>2</v>
      </c>
      <c r="AP136" s="15" t="s">
        <v>88</v>
      </c>
      <c r="AQ136" s="15">
        <f t="shared" si="22"/>
        <v>400</v>
      </c>
      <c r="AR136" s="15" t="s">
        <v>654</v>
      </c>
      <c r="AS136" s="15">
        <f t="shared" si="23"/>
        <v>12</v>
      </c>
    </row>
    <row r="137" spans="35:45" ht="16.5" x14ac:dyDescent="0.2">
      <c r="AI137" s="60">
        <v>124</v>
      </c>
      <c r="AJ137" s="15">
        <f t="shared" si="18"/>
        <v>1606006</v>
      </c>
      <c r="AK137" s="15" t="str">
        <f t="shared" si="19"/>
        <v>初级神器2配件2-爪刃Lvs4</v>
      </c>
      <c r="AL137" s="60" t="s">
        <v>645</v>
      </c>
      <c r="AM137" s="15">
        <f t="shared" si="20"/>
        <v>4</v>
      </c>
      <c r="AN137" s="15" t="str">
        <f t="shared" si="21"/>
        <v>初级神器2配件2</v>
      </c>
      <c r="AO137" s="15">
        <f>INDEX(芦花古楼!$BX$19:$BX$58,神器!AM137)</f>
        <v>3</v>
      </c>
      <c r="AP137" s="15" t="s">
        <v>88</v>
      </c>
      <c r="AQ137" s="15">
        <f t="shared" si="22"/>
        <v>500</v>
      </c>
      <c r="AR137" s="15" t="s">
        <v>654</v>
      </c>
      <c r="AS137" s="15">
        <f t="shared" si="23"/>
        <v>15</v>
      </c>
    </row>
    <row r="138" spans="35:45" ht="16.5" x14ac:dyDescent="0.2">
      <c r="AI138" s="60">
        <v>125</v>
      </c>
      <c r="AJ138" s="15">
        <f t="shared" si="18"/>
        <v>1606006</v>
      </c>
      <c r="AK138" s="15" t="str">
        <f t="shared" si="19"/>
        <v>初级神器2配件2-爪刃Lvs5</v>
      </c>
      <c r="AL138" s="60" t="s">
        <v>645</v>
      </c>
      <c r="AM138" s="15">
        <f t="shared" si="20"/>
        <v>5</v>
      </c>
      <c r="AN138" s="15" t="str">
        <f t="shared" si="21"/>
        <v>初级神器2配件2</v>
      </c>
      <c r="AO138" s="15">
        <f>INDEX(芦花古楼!$BX$19:$BX$58,神器!AM138)</f>
        <v>3</v>
      </c>
      <c r="AP138" s="15" t="s">
        <v>88</v>
      </c>
      <c r="AQ138" s="15">
        <f t="shared" si="22"/>
        <v>600</v>
      </c>
      <c r="AR138" s="15" t="s">
        <v>654</v>
      </c>
      <c r="AS138" s="15">
        <f t="shared" si="23"/>
        <v>18</v>
      </c>
    </row>
    <row r="139" spans="35:45" ht="16.5" x14ac:dyDescent="0.2">
      <c r="AI139" s="60">
        <v>126</v>
      </c>
      <c r="AJ139" s="15">
        <f t="shared" si="18"/>
        <v>1606006</v>
      </c>
      <c r="AK139" s="15" t="str">
        <f t="shared" si="19"/>
        <v>初级神器2配件2-爪刃Lvs6</v>
      </c>
      <c r="AL139" s="60" t="s">
        <v>645</v>
      </c>
      <c r="AM139" s="15">
        <f t="shared" si="20"/>
        <v>6</v>
      </c>
      <c r="AN139" s="15" t="str">
        <f t="shared" si="21"/>
        <v>初级神器2配件2</v>
      </c>
      <c r="AO139" s="15">
        <f>INDEX(芦花古楼!$BX$19:$BX$58,神器!AM139)</f>
        <v>5</v>
      </c>
      <c r="AP139" s="15" t="s">
        <v>88</v>
      </c>
      <c r="AQ139" s="15">
        <f t="shared" si="22"/>
        <v>700</v>
      </c>
      <c r="AR139" s="15" t="s">
        <v>654</v>
      </c>
      <c r="AS139" s="15">
        <f t="shared" si="23"/>
        <v>21</v>
      </c>
    </row>
    <row r="140" spans="35:45" ht="16.5" x14ac:dyDescent="0.2">
      <c r="AI140" s="60">
        <v>127</v>
      </c>
      <c r="AJ140" s="15">
        <f t="shared" si="18"/>
        <v>1606006</v>
      </c>
      <c r="AK140" s="15" t="str">
        <f t="shared" si="19"/>
        <v>初级神器2配件2-爪刃Lvs7</v>
      </c>
      <c r="AL140" s="60" t="s">
        <v>645</v>
      </c>
      <c r="AM140" s="15">
        <f t="shared" si="20"/>
        <v>7</v>
      </c>
      <c r="AN140" s="15" t="str">
        <f t="shared" si="21"/>
        <v>初级神器2配件2</v>
      </c>
      <c r="AO140" s="15">
        <f>INDEX(芦花古楼!$BX$19:$BX$58,神器!AM140)</f>
        <v>5</v>
      </c>
      <c r="AP140" s="15" t="s">
        <v>88</v>
      </c>
      <c r="AQ140" s="15">
        <f t="shared" si="22"/>
        <v>800</v>
      </c>
      <c r="AR140" s="15" t="s">
        <v>654</v>
      </c>
      <c r="AS140" s="15">
        <f t="shared" si="23"/>
        <v>24</v>
      </c>
    </row>
    <row r="141" spans="35:45" ht="16.5" x14ac:dyDescent="0.2">
      <c r="AI141" s="60">
        <v>128</v>
      </c>
      <c r="AJ141" s="15">
        <f t="shared" si="18"/>
        <v>1606006</v>
      </c>
      <c r="AK141" s="15" t="str">
        <f t="shared" si="19"/>
        <v>初级神器2配件2-爪刃Lvs8</v>
      </c>
      <c r="AL141" s="60" t="s">
        <v>645</v>
      </c>
      <c r="AM141" s="15">
        <f t="shared" si="20"/>
        <v>8</v>
      </c>
      <c r="AN141" s="15" t="str">
        <f t="shared" si="21"/>
        <v>初级神器2配件2</v>
      </c>
      <c r="AO141" s="15">
        <f>INDEX(芦花古楼!$BX$19:$BX$58,神器!AM141)</f>
        <v>5</v>
      </c>
      <c r="AP141" s="15" t="s">
        <v>88</v>
      </c>
      <c r="AQ141" s="15">
        <f t="shared" si="22"/>
        <v>900</v>
      </c>
      <c r="AR141" s="15" t="s">
        <v>654</v>
      </c>
      <c r="AS141" s="15">
        <f t="shared" si="23"/>
        <v>27</v>
      </c>
    </row>
    <row r="142" spans="35:45" ht="16.5" x14ac:dyDescent="0.2">
      <c r="AI142" s="60">
        <v>129</v>
      </c>
      <c r="AJ142" s="15">
        <f t="shared" si="18"/>
        <v>1606006</v>
      </c>
      <c r="AK142" s="15" t="str">
        <f t="shared" si="19"/>
        <v>初级神器2配件2-爪刃Lvs9</v>
      </c>
      <c r="AL142" s="60" t="s">
        <v>645</v>
      </c>
      <c r="AM142" s="15">
        <f t="shared" si="20"/>
        <v>9</v>
      </c>
      <c r="AN142" s="15" t="str">
        <f t="shared" si="21"/>
        <v>初级神器2配件2</v>
      </c>
      <c r="AO142" s="15">
        <f>INDEX(芦花古楼!$BX$19:$BX$58,神器!AM142)</f>
        <v>5</v>
      </c>
      <c r="AP142" s="15" t="s">
        <v>88</v>
      </c>
      <c r="AQ142" s="15">
        <f t="shared" si="22"/>
        <v>1000</v>
      </c>
      <c r="AR142" s="15" t="s">
        <v>654</v>
      </c>
      <c r="AS142" s="15">
        <f t="shared" si="23"/>
        <v>30</v>
      </c>
    </row>
    <row r="143" spans="35:45" ht="16.5" x14ac:dyDescent="0.2">
      <c r="AI143" s="60">
        <v>130</v>
      </c>
      <c r="AJ143" s="15">
        <f t="shared" ref="AJ143:AJ206" si="24">INDEX($AC$4:$AC$33,INT((AI143-1)/40)+1)</f>
        <v>1606006</v>
      </c>
      <c r="AK143" s="15" t="str">
        <f t="shared" ref="AK143:AK206" si="25">INDEX($AF$4:$AF$33,INT((AI143-1)/40)+1)&amp;AL143&amp;AM143</f>
        <v>初级神器2配件2-爪刃Lvs10</v>
      </c>
      <c r="AL143" s="60" t="s">
        <v>645</v>
      </c>
      <c r="AM143" s="15">
        <f t="shared" ref="AM143:AM206" si="26">MOD(AI143-1,40)+1</f>
        <v>10</v>
      </c>
      <c r="AN143" s="15" t="str">
        <f t="shared" ref="AN143:AN206" si="27">INDEX($AD$4:$AD$33,INT((AI143-1)/40)+1)</f>
        <v>初级神器2配件2</v>
      </c>
      <c r="AO143" s="15">
        <f>INDEX(芦花古楼!$BX$19:$BX$58,神器!AM143)</f>
        <v>7</v>
      </c>
      <c r="AP143" s="15" t="s">
        <v>88</v>
      </c>
      <c r="AQ143" s="15">
        <f t="shared" ref="AQ143:AQ206" si="28">INDEX($F$14:$L$53,AM143,INDEX($AB$4:$AB$33,INT((AI143-1)/40)+1))</f>
        <v>1205</v>
      </c>
      <c r="AR143" s="15" t="s">
        <v>654</v>
      </c>
      <c r="AS143" s="15">
        <f t="shared" ref="AS143:AS206" si="29">INDEX($P$14:$V$53,AM143,INDEX($AB$4:$AB$33,INT((AI143-1)/40)+1))</f>
        <v>34</v>
      </c>
    </row>
    <row r="144" spans="35:45" ht="16.5" x14ac:dyDescent="0.2">
      <c r="AI144" s="60">
        <v>131</v>
      </c>
      <c r="AJ144" s="15">
        <f t="shared" si="24"/>
        <v>1606006</v>
      </c>
      <c r="AK144" s="15" t="str">
        <f t="shared" si="25"/>
        <v>初级神器2配件2-爪刃Lvs11</v>
      </c>
      <c r="AL144" s="60" t="s">
        <v>645</v>
      </c>
      <c r="AM144" s="15">
        <f t="shared" si="26"/>
        <v>11</v>
      </c>
      <c r="AN144" s="15" t="str">
        <f t="shared" si="27"/>
        <v>初级神器2配件2</v>
      </c>
      <c r="AO144" s="15">
        <f>INDEX(芦花古楼!$BX$19:$BX$58,神器!AM144)</f>
        <v>7</v>
      </c>
      <c r="AP144" s="15" t="s">
        <v>88</v>
      </c>
      <c r="AQ144" s="15">
        <f t="shared" si="28"/>
        <v>1510</v>
      </c>
      <c r="AR144" s="15" t="s">
        <v>654</v>
      </c>
      <c r="AS144" s="15">
        <f t="shared" si="29"/>
        <v>37</v>
      </c>
    </row>
    <row r="145" spans="35:45" ht="16.5" x14ac:dyDescent="0.2">
      <c r="AI145" s="60">
        <v>132</v>
      </c>
      <c r="AJ145" s="15">
        <f t="shared" si="24"/>
        <v>1606006</v>
      </c>
      <c r="AK145" s="15" t="str">
        <f t="shared" si="25"/>
        <v>初级神器2配件2-爪刃Lvs12</v>
      </c>
      <c r="AL145" s="60" t="s">
        <v>645</v>
      </c>
      <c r="AM145" s="15">
        <f t="shared" si="26"/>
        <v>12</v>
      </c>
      <c r="AN145" s="15" t="str">
        <f t="shared" si="27"/>
        <v>初级神器2配件2</v>
      </c>
      <c r="AO145" s="15">
        <f>INDEX(芦花古楼!$BX$19:$BX$58,神器!AM145)</f>
        <v>7</v>
      </c>
      <c r="AP145" s="15" t="s">
        <v>88</v>
      </c>
      <c r="AQ145" s="15">
        <f t="shared" si="28"/>
        <v>1760</v>
      </c>
      <c r="AR145" s="15" t="s">
        <v>654</v>
      </c>
      <c r="AS145" s="15">
        <f t="shared" si="29"/>
        <v>41</v>
      </c>
    </row>
    <row r="146" spans="35:45" ht="16.5" x14ac:dyDescent="0.2">
      <c r="AI146" s="60">
        <v>133</v>
      </c>
      <c r="AJ146" s="15">
        <f t="shared" si="24"/>
        <v>1606006</v>
      </c>
      <c r="AK146" s="15" t="str">
        <f t="shared" si="25"/>
        <v>初级神器2配件2-爪刃Lvs13</v>
      </c>
      <c r="AL146" s="60" t="s">
        <v>645</v>
      </c>
      <c r="AM146" s="15">
        <f t="shared" si="26"/>
        <v>13</v>
      </c>
      <c r="AN146" s="15" t="str">
        <f t="shared" si="27"/>
        <v>初级神器2配件2</v>
      </c>
      <c r="AO146" s="15">
        <f>INDEX(芦花古楼!$BX$19:$BX$58,神器!AM146)</f>
        <v>7</v>
      </c>
      <c r="AP146" s="15" t="s">
        <v>88</v>
      </c>
      <c r="AQ146" s="15">
        <f t="shared" si="28"/>
        <v>2015</v>
      </c>
      <c r="AR146" s="15" t="s">
        <v>654</v>
      </c>
      <c r="AS146" s="15">
        <f t="shared" si="29"/>
        <v>45</v>
      </c>
    </row>
    <row r="147" spans="35:45" ht="16.5" x14ac:dyDescent="0.2">
      <c r="AI147" s="60">
        <v>134</v>
      </c>
      <c r="AJ147" s="15">
        <f t="shared" si="24"/>
        <v>1606006</v>
      </c>
      <c r="AK147" s="15" t="str">
        <f t="shared" si="25"/>
        <v>初级神器2配件2-爪刃Lvs14</v>
      </c>
      <c r="AL147" s="60" t="s">
        <v>645</v>
      </c>
      <c r="AM147" s="15">
        <f t="shared" si="26"/>
        <v>14</v>
      </c>
      <c r="AN147" s="15" t="str">
        <f t="shared" si="27"/>
        <v>初级神器2配件2</v>
      </c>
      <c r="AO147" s="15">
        <f>INDEX(芦花古楼!$BX$19:$BX$58,神器!AM147)</f>
        <v>7</v>
      </c>
      <c r="AP147" s="15" t="s">
        <v>88</v>
      </c>
      <c r="AQ147" s="15">
        <f t="shared" si="28"/>
        <v>2265</v>
      </c>
      <c r="AR147" s="15" t="s">
        <v>654</v>
      </c>
      <c r="AS147" s="15">
        <f t="shared" si="29"/>
        <v>50</v>
      </c>
    </row>
    <row r="148" spans="35:45" ht="16.5" x14ac:dyDescent="0.2">
      <c r="AI148" s="60">
        <v>135</v>
      </c>
      <c r="AJ148" s="15">
        <f t="shared" si="24"/>
        <v>1606006</v>
      </c>
      <c r="AK148" s="15" t="str">
        <f t="shared" si="25"/>
        <v>初级神器2配件2-爪刃Lvs15</v>
      </c>
      <c r="AL148" s="60" t="s">
        <v>645</v>
      </c>
      <c r="AM148" s="15">
        <f t="shared" si="26"/>
        <v>15</v>
      </c>
      <c r="AN148" s="15" t="str">
        <f t="shared" si="27"/>
        <v>初级神器2配件2</v>
      </c>
      <c r="AO148" s="15">
        <f>INDEX(芦花古楼!$BX$19:$BX$58,神器!AM148)</f>
        <v>10</v>
      </c>
      <c r="AP148" s="15" t="s">
        <v>88</v>
      </c>
      <c r="AQ148" s="15">
        <f t="shared" si="28"/>
        <v>2520</v>
      </c>
      <c r="AR148" s="15" t="s">
        <v>654</v>
      </c>
      <c r="AS148" s="15">
        <f t="shared" si="29"/>
        <v>54</v>
      </c>
    </row>
    <row r="149" spans="35:45" ht="16.5" x14ac:dyDescent="0.2">
      <c r="AI149" s="60">
        <v>136</v>
      </c>
      <c r="AJ149" s="15">
        <f t="shared" si="24"/>
        <v>1606006</v>
      </c>
      <c r="AK149" s="15" t="str">
        <f t="shared" si="25"/>
        <v>初级神器2配件2-爪刃Lvs16</v>
      </c>
      <c r="AL149" s="60" t="s">
        <v>645</v>
      </c>
      <c r="AM149" s="15">
        <f t="shared" si="26"/>
        <v>16</v>
      </c>
      <c r="AN149" s="15" t="str">
        <f t="shared" si="27"/>
        <v>初级神器2配件2</v>
      </c>
      <c r="AO149" s="15">
        <f>INDEX(芦花古楼!$BX$19:$BX$58,神器!AM149)</f>
        <v>10</v>
      </c>
      <c r="AP149" s="15" t="s">
        <v>88</v>
      </c>
      <c r="AQ149" s="15">
        <f t="shared" si="28"/>
        <v>2770</v>
      </c>
      <c r="AR149" s="15" t="s">
        <v>654</v>
      </c>
      <c r="AS149" s="15">
        <f t="shared" si="29"/>
        <v>59</v>
      </c>
    </row>
    <row r="150" spans="35:45" ht="16.5" x14ac:dyDescent="0.2">
      <c r="AI150" s="60">
        <v>137</v>
      </c>
      <c r="AJ150" s="15">
        <f t="shared" si="24"/>
        <v>1606006</v>
      </c>
      <c r="AK150" s="15" t="str">
        <f t="shared" si="25"/>
        <v>初级神器2配件2-爪刃Lvs17</v>
      </c>
      <c r="AL150" s="60" t="s">
        <v>645</v>
      </c>
      <c r="AM150" s="15">
        <f t="shared" si="26"/>
        <v>17</v>
      </c>
      <c r="AN150" s="15" t="str">
        <f t="shared" si="27"/>
        <v>初级神器2配件2</v>
      </c>
      <c r="AO150" s="15">
        <f>INDEX(芦花古楼!$BX$19:$BX$58,神器!AM150)</f>
        <v>10</v>
      </c>
      <c r="AP150" s="15" t="s">
        <v>88</v>
      </c>
      <c r="AQ150" s="15">
        <f t="shared" si="28"/>
        <v>3020</v>
      </c>
      <c r="AR150" s="15" t="s">
        <v>654</v>
      </c>
      <c r="AS150" s="15">
        <f t="shared" si="29"/>
        <v>64</v>
      </c>
    </row>
    <row r="151" spans="35:45" ht="16.5" x14ac:dyDescent="0.2">
      <c r="AI151" s="60">
        <v>138</v>
      </c>
      <c r="AJ151" s="15">
        <f t="shared" si="24"/>
        <v>1606006</v>
      </c>
      <c r="AK151" s="15" t="str">
        <f t="shared" si="25"/>
        <v>初级神器2配件2-爪刃Lvs18</v>
      </c>
      <c r="AL151" s="60" t="s">
        <v>645</v>
      </c>
      <c r="AM151" s="15">
        <f t="shared" si="26"/>
        <v>18</v>
      </c>
      <c r="AN151" s="15" t="str">
        <f t="shared" si="27"/>
        <v>初级神器2配件2</v>
      </c>
      <c r="AO151" s="15">
        <f>INDEX(芦花古楼!$BX$19:$BX$58,神器!AM151)</f>
        <v>10</v>
      </c>
      <c r="AP151" s="15" t="s">
        <v>88</v>
      </c>
      <c r="AQ151" s="15">
        <f t="shared" si="28"/>
        <v>3275</v>
      </c>
      <c r="AR151" s="15" t="s">
        <v>654</v>
      </c>
      <c r="AS151" s="15">
        <f t="shared" si="29"/>
        <v>69</v>
      </c>
    </row>
    <row r="152" spans="35:45" ht="16.5" x14ac:dyDescent="0.2">
      <c r="AI152" s="60">
        <v>139</v>
      </c>
      <c r="AJ152" s="15">
        <f t="shared" si="24"/>
        <v>1606006</v>
      </c>
      <c r="AK152" s="15" t="str">
        <f t="shared" si="25"/>
        <v>初级神器2配件2-爪刃Lvs19</v>
      </c>
      <c r="AL152" s="60" t="s">
        <v>645</v>
      </c>
      <c r="AM152" s="15">
        <f t="shared" si="26"/>
        <v>19</v>
      </c>
      <c r="AN152" s="15" t="str">
        <f t="shared" si="27"/>
        <v>初级神器2配件2</v>
      </c>
      <c r="AO152" s="15">
        <f>INDEX(芦花古楼!$BX$19:$BX$58,神器!AM152)</f>
        <v>10</v>
      </c>
      <c r="AP152" s="15" t="s">
        <v>88</v>
      </c>
      <c r="AQ152" s="15">
        <f t="shared" si="28"/>
        <v>3525</v>
      </c>
      <c r="AR152" s="15" t="s">
        <v>654</v>
      </c>
      <c r="AS152" s="15">
        <f t="shared" si="29"/>
        <v>74</v>
      </c>
    </row>
    <row r="153" spans="35:45" ht="16.5" x14ac:dyDescent="0.2">
      <c r="AI153" s="60">
        <v>140</v>
      </c>
      <c r="AJ153" s="15">
        <f t="shared" si="24"/>
        <v>1606006</v>
      </c>
      <c r="AK153" s="15" t="str">
        <f t="shared" si="25"/>
        <v>初级神器2配件2-爪刃Lvs20</v>
      </c>
      <c r="AL153" s="60" t="s">
        <v>645</v>
      </c>
      <c r="AM153" s="15">
        <f t="shared" si="26"/>
        <v>20</v>
      </c>
      <c r="AN153" s="15" t="str">
        <f t="shared" si="27"/>
        <v>初级神器2配件2</v>
      </c>
      <c r="AO153" s="15">
        <f>INDEX(芦花古楼!$BX$19:$BX$58,神器!AM153)</f>
        <v>10</v>
      </c>
      <c r="AP153" s="15" t="s">
        <v>88</v>
      </c>
      <c r="AQ153" s="15">
        <f t="shared" si="28"/>
        <v>4030</v>
      </c>
      <c r="AR153" s="15" t="s">
        <v>654</v>
      </c>
      <c r="AS153" s="15">
        <f t="shared" si="29"/>
        <v>80</v>
      </c>
    </row>
    <row r="154" spans="35:45" ht="16.5" x14ac:dyDescent="0.2">
      <c r="AI154" s="60">
        <v>141</v>
      </c>
      <c r="AJ154" s="15">
        <f t="shared" si="24"/>
        <v>1606006</v>
      </c>
      <c r="AK154" s="15" t="str">
        <f t="shared" si="25"/>
        <v>初级神器2配件2-爪刃Lvs21</v>
      </c>
      <c r="AL154" s="60" t="s">
        <v>645</v>
      </c>
      <c r="AM154" s="15">
        <f t="shared" si="26"/>
        <v>21</v>
      </c>
      <c r="AN154" s="15" t="str">
        <f t="shared" si="27"/>
        <v>初级神器2配件2</v>
      </c>
      <c r="AO154" s="15">
        <f>INDEX(芦花古楼!$BX$19:$BX$58,神器!AM154)</f>
        <v>15</v>
      </c>
      <c r="AP154" s="15" t="s">
        <v>88</v>
      </c>
      <c r="AQ154" s="15">
        <f t="shared" si="28"/>
        <v>4450</v>
      </c>
      <c r="AR154" s="15" t="s">
        <v>654</v>
      </c>
      <c r="AS154" s="15">
        <f t="shared" si="29"/>
        <v>86</v>
      </c>
    </row>
    <row r="155" spans="35:45" ht="16.5" x14ac:dyDescent="0.2">
      <c r="AI155" s="60">
        <v>142</v>
      </c>
      <c r="AJ155" s="15">
        <f t="shared" si="24"/>
        <v>1606006</v>
      </c>
      <c r="AK155" s="15" t="str">
        <f t="shared" si="25"/>
        <v>初级神器2配件2-爪刃Lvs22</v>
      </c>
      <c r="AL155" s="60" t="s">
        <v>645</v>
      </c>
      <c r="AM155" s="15">
        <f t="shared" si="26"/>
        <v>22</v>
      </c>
      <c r="AN155" s="15" t="str">
        <f t="shared" si="27"/>
        <v>初级神器2配件2</v>
      </c>
      <c r="AO155" s="15">
        <f>INDEX(芦花古楼!$BX$19:$BX$58,神器!AM155)</f>
        <v>15</v>
      </c>
      <c r="AP155" s="15" t="s">
        <v>88</v>
      </c>
      <c r="AQ155" s="15">
        <f t="shared" si="28"/>
        <v>4675</v>
      </c>
      <c r="AR155" s="15" t="s">
        <v>654</v>
      </c>
      <c r="AS155" s="15">
        <f t="shared" si="29"/>
        <v>92</v>
      </c>
    </row>
    <row r="156" spans="35:45" ht="16.5" x14ac:dyDescent="0.2">
      <c r="AI156" s="60">
        <v>143</v>
      </c>
      <c r="AJ156" s="15">
        <f t="shared" si="24"/>
        <v>1606006</v>
      </c>
      <c r="AK156" s="15" t="str">
        <f t="shared" si="25"/>
        <v>初级神器2配件2-爪刃Lvs23</v>
      </c>
      <c r="AL156" s="60" t="s">
        <v>645</v>
      </c>
      <c r="AM156" s="15">
        <f t="shared" si="26"/>
        <v>23</v>
      </c>
      <c r="AN156" s="15" t="str">
        <f t="shared" si="27"/>
        <v>初级神器2配件2</v>
      </c>
      <c r="AO156" s="15">
        <f>INDEX(芦花古楼!$BX$19:$BX$58,神器!AM156)</f>
        <v>15</v>
      </c>
      <c r="AP156" s="15" t="s">
        <v>88</v>
      </c>
      <c r="AQ156" s="15">
        <f t="shared" si="28"/>
        <v>4895</v>
      </c>
      <c r="AR156" s="15" t="s">
        <v>654</v>
      </c>
      <c r="AS156" s="15">
        <f t="shared" si="29"/>
        <v>99</v>
      </c>
    </row>
    <row r="157" spans="35:45" ht="16.5" x14ac:dyDescent="0.2">
      <c r="AI157" s="60">
        <v>144</v>
      </c>
      <c r="AJ157" s="15">
        <f t="shared" si="24"/>
        <v>1606006</v>
      </c>
      <c r="AK157" s="15" t="str">
        <f t="shared" si="25"/>
        <v>初级神器2配件2-爪刃Lvs24</v>
      </c>
      <c r="AL157" s="60" t="s">
        <v>645</v>
      </c>
      <c r="AM157" s="15">
        <f t="shared" si="26"/>
        <v>24</v>
      </c>
      <c r="AN157" s="15" t="str">
        <f t="shared" si="27"/>
        <v>初级神器2配件2</v>
      </c>
      <c r="AO157" s="15">
        <f>INDEX(芦花古楼!$BX$19:$BX$58,神器!AM157)</f>
        <v>15</v>
      </c>
      <c r="AP157" s="15" t="s">
        <v>88</v>
      </c>
      <c r="AQ157" s="15">
        <f t="shared" si="28"/>
        <v>5120</v>
      </c>
      <c r="AR157" s="15" t="s">
        <v>654</v>
      </c>
      <c r="AS157" s="15">
        <f t="shared" si="29"/>
        <v>106</v>
      </c>
    </row>
    <row r="158" spans="35:45" ht="16.5" x14ac:dyDescent="0.2">
      <c r="AI158" s="60">
        <v>145</v>
      </c>
      <c r="AJ158" s="15">
        <f t="shared" si="24"/>
        <v>1606006</v>
      </c>
      <c r="AK158" s="15" t="str">
        <f t="shared" si="25"/>
        <v>初级神器2配件2-爪刃Lvs25</v>
      </c>
      <c r="AL158" s="60" t="s">
        <v>645</v>
      </c>
      <c r="AM158" s="15">
        <f t="shared" si="26"/>
        <v>25</v>
      </c>
      <c r="AN158" s="15" t="str">
        <f t="shared" si="27"/>
        <v>初级神器2配件2</v>
      </c>
      <c r="AO158" s="15">
        <f>INDEX(芦花古楼!$BX$19:$BX$58,神器!AM158)</f>
        <v>15</v>
      </c>
      <c r="AP158" s="15" t="s">
        <v>88</v>
      </c>
      <c r="AQ158" s="15">
        <f t="shared" si="28"/>
        <v>5340</v>
      </c>
      <c r="AR158" s="15" t="s">
        <v>654</v>
      </c>
      <c r="AS158" s="15">
        <f t="shared" si="29"/>
        <v>113</v>
      </c>
    </row>
    <row r="159" spans="35:45" ht="16.5" x14ac:dyDescent="0.2">
      <c r="AI159" s="60">
        <v>146</v>
      </c>
      <c r="AJ159" s="15">
        <f t="shared" si="24"/>
        <v>1606006</v>
      </c>
      <c r="AK159" s="15" t="str">
        <f t="shared" si="25"/>
        <v>初级神器2配件2-爪刃Lvs26</v>
      </c>
      <c r="AL159" s="60" t="s">
        <v>645</v>
      </c>
      <c r="AM159" s="15">
        <f t="shared" si="26"/>
        <v>26</v>
      </c>
      <c r="AN159" s="15" t="str">
        <f t="shared" si="27"/>
        <v>初级神器2配件2</v>
      </c>
      <c r="AO159" s="15">
        <f>INDEX(芦花古楼!$BX$19:$BX$58,神器!AM159)</f>
        <v>25</v>
      </c>
      <c r="AP159" s="15" t="s">
        <v>88</v>
      </c>
      <c r="AQ159" s="15">
        <f t="shared" si="28"/>
        <v>5565</v>
      </c>
      <c r="AR159" s="15" t="s">
        <v>654</v>
      </c>
      <c r="AS159" s="15">
        <f t="shared" si="29"/>
        <v>121</v>
      </c>
    </row>
    <row r="160" spans="35:45" ht="16.5" x14ac:dyDescent="0.2">
      <c r="AI160" s="60">
        <v>147</v>
      </c>
      <c r="AJ160" s="15">
        <f t="shared" si="24"/>
        <v>1606006</v>
      </c>
      <c r="AK160" s="15" t="str">
        <f t="shared" si="25"/>
        <v>初级神器2配件2-爪刃Lvs27</v>
      </c>
      <c r="AL160" s="60" t="s">
        <v>645</v>
      </c>
      <c r="AM160" s="15">
        <f t="shared" si="26"/>
        <v>27</v>
      </c>
      <c r="AN160" s="15" t="str">
        <f t="shared" si="27"/>
        <v>初级神器2配件2</v>
      </c>
      <c r="AO160" s="15">
        <f>INDEX(芦花古楼!$BX$19:$BX$58,神器!AM160)</f>
        <v>25</v>
      </c>
      <c r="AP160" s="15" t="s">
        <v>88</v>
      </c>
      <c r="AQ160" s="15">
        <f t="shared" si="28"/>
        <v>5785</v>
      </c>
      <c r="AR160" s="15" t="s">
        <v>654</v>
      </c>
      <c r="AS160" s="15">
        <f t="shared" si="29"/>
        <v>129</v>
      </c>
    </row>
    <row r="161" spans="35:45" ht="16.5" x14ac:dyDescent="0.2">
      <c r="AI161" s="60">
        <v>148</v>
      </c>
      <c r="AJ161" s="15">
        <f t="shared" si="24"/>
        <v>1606006</v>
      </c>
      <c r="AK161" s="15" t="str">
        <f t="shared" si="25"/>
        <v>初级神器2配件2-爪刃Lvs28</v>
      </c>
      <c r="AL161" s="60" t="s">
        <v>645</v>
      </c>
      <c r="AM161" s="15">
        <f t="shared" si="26"/>
        <v>28</v>
      </c>
      <c r="AN161" s="15" t="str">
        <f t="shared" si="27"/>
        <v>初级神器2配件2</v>
      </c>
      <c r="AO161" s="15">
        <f>INDEX(芦花古楼!$BX$19:$BX$58,神器!AM161)</f>
        <v>25</v>
      </c>
      <c r="AP161" s="15" t="s">
        <v>88</v>
      </c>
      <c r="AQ161" s="15">
        <f t="shared" si="28"/>
        <v>6010</v>
      </c>
      <c r="AR161" s="15" t="s">
        <v>654</v>
      </c>
      <c r="AS161" s="15">
        <f t="shared" si="29"/>
        <v>138</v>
      </c>
    </row>
    <row r="162" spans="35:45" ht="16.5" x14ac:dyDescent="0.2">
      <c r="AI162" s="60">
        <v>149</v>
      </c>
      <c r="AJ162" s="15">
        <f t="shared" si="24"/>
        <v>1606006</v>
      </c>
      <c r="AK162" s="15" t="str">
        <f t="shared" si="25"/>
        <v>初级神器2配件2-爪刃Lvs29</v>
      </c>
      <c r="AL162" s="60" t="s">
        <v>645</v>
      </c>
      <c r="AM162" s="15">
        <f t="shared" si="26"/>
        <v>29</v>
      </c>
      <c r="AN162" s="15" t="str">
        <f t="shared" si="27"/>
        <v>初级神器2配件2</v>
      </c>
      <c r="AO162" s="15">
        <f>INDEX(芦花古楼!$BX$19:$BX$58,神器!AM162)</f>
        <v>25</v>
      </c>
      <c r="AP162" s="15" t="s">
        <v>88</v>
      </c>
      <c r="AQ162" s="15">
        <f t="shared" si="28"/>
        <v>6230</v>
      </c>
      <c r="AR162" s="15" t="s">
        <v>654</v>
      </c>
      <c r="AS162" s="15">
        <f t="shared" si="29"/>
        <v>146</v>
      </c>
    </row>
    <row r="163" spans="35:45" ht="16.5" x14ac:dyDescent="0.2">
      <c r="AI163" s="60">
        <v>150</v>
      </c>
      <c r="AJ163" s="15">
        <f t="shared" si="24"/>
        <v>1606006</v>
      </c>
      <c r="AK163" s="15" t="str">
        <f t="shared" si="25"/>
        <v>初级神器2配件2-爪刃Lvs30</v>
      </c>
      <c r="AL163" s="60" t="s">
        <v>645</v>
      </c>
      <c r="AM163" s="15">
        <f t="shared" si="26"/>
        <v>30</v>
      </c>
      <c r="AN163" s="15" t="str">
        <f t="shared" si="27"/>
        <v>初级神器2配件2</v>
      </c>
      <c r="AO163" s="15">
        <f>INDEX(芦花古楼!$BX$19:$BX$58,神器!AM163)</f>
        <v>25</v>
      </c>
      <c r="AP163" s="15" t="s">
        <v>88</v>
      </c>
      <c r="AQ163" s="15">
        <f t="shared" si="28"/>
        <v>6675</v>
      </c>
      <c r="AR163" s="15" t="s">
        <v>654</v>
      </c>
      <c r="AS163" s="15">
        <f t="shared" si="29"/>
        <v>156</v>
      </c>
    </row>
    <row r="164" spans="35:45" ht="16.5" x14ac:dyDescent="0.2">
      <c r="AI164" s="60">
        <v>151</v>
      </c>
      <c r="AJ164" s="15">
        <f t="shared" si="24"/>
        <v>1606006</v>
      </c>
      <c r="AK164" s="15" t="str">
        <f t="shared" si="25"/>
        <v>初级神器2配件2-爪刃Lvs31</v>
      </c>
      <c r="AL164" s="60" t="s">
        <v>645</v>
      </c>
      <c r="AM164" s="15">
        <f t="shared" si="26"/>
        <v>31</v>
      </c>
      <c r="AN164" s="15" t="str">
        <f t="shared" si="27"/>
        <v>初级神器2配件2</v>
      </c>
      <c r="AO164" s="15">
        <f>INDEX(芦花古楼!$BX$19:$BX$58,神器!AM164)</f>
        <v>30</v>
      </c>
      <c r="AP164" s="15" t="s">
        <v>88</v>
      </c>
      <c r="AQ164" s="15">
        <f t="shared" si="28"/>
        <v>6510</v>
      </c>
      <c r="AR164" s="15" t="s">
        <v>654</v>
      </c>
      <c r="AS164" s="15">
        <f t="shared" si="29"/>
        <v>166</v>
      </c>
    </row>
    <row r="165" spans="35:45" ht="16.5" x14ac:dyDescent="0.2">
      <c r="AI165" s="60">
        <v>152</v>
      </c>
      <c r="AJ165" s="15">
        <f t="shared" si="24"/>
        <v>1606006</v>
      </c>
      <c r="AK165" s="15" t="str">
        <f t="shared" si="25"/>
        <v>初级神器2配件2-爪刃Lvs32</v>
      </c>
      <c r="AL165" s="60" t="s">
        <v>645</v>
      </c>
      <c r="AM165" s="15">
        <f t="shared" si="26"/>
        <v>32</v>
      </c>
      <c r="AN165" s="15" t="str">
        <f t="shared" si="27"/>
        <v>初级神器2配件2</v>
      </c>
      <c r="AO165" s="15">
        <f>INDEX(芦花古楼!$BX$19:$BX$58,神器!AM165)</f>
        <v>30</v>
      </c>
      <c r="AP165" s="15" t="s">
        <v>88</v>
      </c>
      <c r="AQ165" s="15">
        <f t="shared" si="28"/>
        <v>9765</v>
      </c>
      <c r="AR165" s="15" t="s">
        <v>654</v>
      </c>
      <c r="AS165" s="15">
        <f t="shared" si="29"/>
        <v>176</v>
      </c>
    </row>
    <row r="166" spans="35:45" ht="16.5" x14ac:dyDescent="0.2">
      <c r="AI166" s="60">
        <v>153</v>
      </c>
      <c r="AJ166" s="15">
        <f t="shared" si="24"/>
        <v>1606006</v>
      </c>
      <c r="AK166" s="15" t="str">
        <f t="shared" si="25"/>
        <v>初级神器2配件2-爪刃Lvs33</v>
      </c>
      <c r="AL166" s="60" t="s">
        <v>645</v>
      </c>
      <c r="AM166" s="15">
        <f t="shared" si="26"/>
        <v>33</v>
      </c>
      <c r="AN166" s="15" t="str">
        <f t="shared" si="27"/>
        <v>初级神器2配件2</v>
      </c>
      <c r="AO166" s="15">
        <f>INDEX(芦花古楼!$BX$19:$BX$58,神器!AM166)</f>
        <v>30</v>
      </c>
      <c r="AP166" s="15" t="s">
        <v>88</v>
      </c>
      <c r="AQ166" s="15">
        <f t="shared" si="28"/>
        <v>13020</v>
      </c>
      <c r="AR166" s="15" t="s">
        <v>654</v>
      </c>
      <c r="AS166" s="15">
        <f t="shared" si="29"/>
        <v>187</v>
      </c>
    </row>
    <row r="167" spans="35:45" ht="16.5" x14ac:dyDescent="0.2">
      <c r="AI167" s="60">
        <v>154</v>
      </c>
      <c r="AJ167" s="15">
        <f t="shared" si="24"/>
        <v>1606006</v>
      </c>
      <c r="AK167" s="15" t="str">
        <f t="shared" si="25"/>
        <v>初级神器2配件2-爪刃Lvs34</v>
      </c>
      <c r="AL167" s="60" t="s">
        <v>645</v>
      </c>
      <c r="AM167" s="15">
        <f t="shared" si="26"/>
        <v>34</v>
      </c>
      <c r="AN167" s="15" t="str">
        <f t="shared" si="27"/>
        <v>初级神器2配件2</v>
      </c>
      <c r="AO167" s="15">
        <f>INDEX(芦花古楼!$BX$19:$BX$58,神器!AM167)</f>
        <v>30</v>
      </c>
      <c r="AP167" s="15" t="s">
        <v>88</v>
      </c>
      <c r="AQ167" s="15">
        <f t="shared" si="28"/>
        <v>16275</v>
      </c>
      <c r="AR167" s="15" t="s">
        <v>654</v>
      </c>
      <c r="AS167" s="15">
        <f t="shared" si="29"/>
        <v>198</v>
      </c>
    </row>
    <row r="168" spans="35:45" ht="16.5" x14ac:dyDescent="0.2">
      <c r="AI168" s="60">
        <v>155</v>
      </c>
      <c r="AJ168" s="15">
        <f t="shared" si="24"/>
        <v>1606006</v>
      </c>
      <c r="AK168" s="15" t="str">
        <f t="shared" si="25"/>
        <v>初级神器2配件2-爪刃Lvs35</v>
      </c>
      <c r="AL168" s="60" t="s">
        <v>645</v>
      </c>
      <c r="AM168" s="15">
        <f t="shared" si="26"/>
        <v>35</v>
      </c>
      <c r="AN168" s="15" t="str">
        <f t="shared" si="27"/>
        <v>初级神器2配件2</v>
      </c>
      <c r="AO168" s="15">
        <f>INDEX(芦花古楼!$BX$19:$BX$58,神器!AM168)</f>
        <v>30</v>
      </c>
      <c r="AP168" s="15" t="s">
        <v>88</v>
      </c>
      <c r="AQ168" s="15">
        <f t="shared" si="28"/>
        <v>19530</v>
      </c>
      <c r="AR168" s="15" t="s">
        <v>654</v>
      </c>
      <c r="AS168" s="15">
        <f t="shared" si="29"/>
        <v>210</v>
      </c>
    </row>
    <row r="169" spans="35:45" ht="16.5" x14ac:dyDescent="0.2">
      <c r="AI169" s="60">
        <v>156</v>
      </c>
      <c r="AJ169" s="15">
        <f t="shared" si="24"/>
        <v>1606006</v>
      </c>
      <c r="AK169" s="15" t="str">
        <f t="shared" si="25"/>
        <v>初级神器2配件2-爪刃Lvs36</v>
      </c>
      <c r="AL169" s="60" t="s">
        <v>645</v>
      </c>
      <c r="AM169" s="15">
        <f t="shared" si="26"/>
        <v>36</v>
      </c>
      <c r="AN169" s="15" t="str">
        <f t="shared" si="27"/>
        <v>初级神器2配件2</v>
      </c>
      <c r="AO169" s="15">
        <f>INDEX(芦花古楼!$BX$19:$BX$58,神器!AM169)</f>
        <v>40</v>
      </c>
      <c r="AP169" s="15" t="s">
        <v>88</v>
      </c>
      <c r="AQ169" s="15">
        <f t="shared" si="28"/>
        <v>22785</v>
      </c>
      <c r="AR169" s="15" t="s">
        <v>654</v>
      </c>
      <c r="AS169" s="15">
        <f t="shared" si="29"/>
        <v>222</v>
      </c>
    </row>
    <row r="170" spans="35:45" ht="16.5" x14ac:dyDescent="0.2">
      <c r="AI170" s="60">
        <v>157</v>
      </c>
      <c r="AJ170" s="15">
        <f t="shared" si="24"/>
        <v>1606006</v>
      </c>
      <c r="AK170" s="15" t="str">
        <f t="shared" si="25"/>
        <v>初级神器2配件2-爪刃Lvs37</v>
      </c>
      <c r="AL170" s="60" t="s">
        <v>645</v>
      </c>
      <c r="AM170" s="15">
        <f t="shared" si="26"/>
        <v>37</v>
      </c>
      <c r="AN170" s="15" t="str">
        <f t="shared" si="27"/>
        <v>初级神器2配件2</v>
      </c>
      <c r="AO170" s="15">
        <f>INDEX(芦花古楼!$BX$19:$BX$58,神器!AM170)</f>
        <v>40</v>
      </c>
      <c r="AP170" s="15" t="s">
        <v>88</v>
      </c>
      <c r="AQ170" s="15">
        <f t="shared" si="28"/>
        <v>26040</v>
      </c>
      <c r="AR170" s="15" t="s">
        <v>654</v>
      </c>
      <c r="AS170" s="15">
        <f t="shared" si="29"/>
        <v>236</v>
      </c>
    </row>
    <row r="171" spans="35:45" ht="16.5" x14ac:dyDescent="0.2">
      <c r="AI171" s="60">
        <v>158</v>
      </c>
      <c r="AJ171" s="15">
        <f t="shared" si="24"/>
        <v>1606006</v>
      </c>
      <c r="AK171" s="15" t="str">
        <f t="shared" si="25"/>
        <v>初级神器2配件2-爪刃Lvs38</v>
      </c>
      <c r="AL171" s="60" t="s">
        <v>645</v>
      </c>
      <c r="AM171" s="15">
        <f t="shared" si="26"/>
        <v>38</v>
      </c>
      <c r="AN171" s="15" t="str">
        <f t="shared" si="27"/>
        <v>初级神器2配件2</v>
      </c>
      <c r="AO171" s="15">
        <f>INDEX(芦花古楼!$BX$19:$BX$58,神器!AM171)</f>
        <v>40</v>
      </c>
      <c r="AP171" s="15" t="s">
        <v>88</v>
      </c>
      <c r="AQ171" s="15">
        <f t="shared" si="28"/>
        <v>29295</v>
      </c>
      <c r="AR171" s="15" t="s">
        <v>654</v>
      </c>
      <c r="AS171" s="15">
        <f t="shared" si="29"/>
        <v>249</v>
      </c>
    </row>
    <row r="172" spans="35:45" ht="16.5" x14ac:dyDescent="0.2">
      <c r="AI172" s="60">
        <v>159</v>
      </c>
      <c r="AJ172" s="15">
        <f t="shared" si="24"/>
        <v>1606006</v>
      </c>
      <c r="AK172" s="15" t="str">
        <f t="shared" si="25"/>
        <v>初级神器2配件2-爪刃Lvs39</v>
      </c>
      <c r="AL172" s="60" t="s">
        <v>645</v>
      </c>
      <c r="AM172" s="15">
        <f t="shared" si="26"/>
        <v>39</v>
      </c>
      <c r="AN172" s="15" t="str">
        <f t="shared" si="27"/>
        <v>初级神器2配件2</v>
      </c>
      <c r="AO172" s="15">
        <f>INDEX(芦花古楼!$BX$19:$BX$58,神器!AM172)</f>
        <v>40</v>
      </c>
      <c r="AP172" s="15" t="s">
        <v>88</v>
      </c>
      <c r="AQ172" s="15">
        <f t="shared" si="28"/>
        <v>32550</v>
      </c>
      <c r="AR172" s="15" t="s">
        <v>654</v>
      </c>
      <c r="AS172" s="15">
        <f t="shared" si="29"/>
        <v>264</v>
      </c>
    </row>
    <row r="173" spans="35:45" ht="16.5" x14ac:dyDescent="0.2">
      <c r="AI173" s="60">
        <v>160</v>
      </c>
      <c r="AJ173" s="15">
        <f t="shared" si="24"/>
        <v>1606006</v>
      </c>
      <c r="AK173" s="15" t="str">
        <f t="shared" si="25"/>
        <v>初级神器2配件2-爪刃Lvs40</v>
      </c>
      <c r="AL173" s="60" t="s">
        <v>645</v>
      </c>
      <c r="AM173" s="15">
        <f t="shared" si="26"/>
        <v>40</v>
      </c>
      <c r="AN173" s="15" t="str">
        <f t="shared" si="27"/>
        <v>初级神器2配件2</v>
      </c>
      <c r="AO173" s="15">
        <f>INDEX(芦花古楼!$BX$19:$BX$58,神器!AM173)</f>
        <v>40</v>
      </c>
      <c r="AP173" s="15" t="s">
        <v>88</v>
      </c>
      <c r="AQ173" s="15">
        <f t="shared" si="28"/>
        <v>39060</v>
      </c>
      <c r="AR173" s="15" t="s">
        <v>654</v>
      </c>
      <c r="AS173" s="15">
        <f t="shared" si="29"/>
        <v>279</v>
      </c>
    </row>
    <row r="174" spans="35:45" ht="16.5" x14ac:dyDescent="0.2">
      <c r="AI174" s="60">
        <v>161</v>
      </c>
      <c r="AJ174" s="15">
        <f t="shared" si="24"/>
        <v>1606007</v>
      </c>
      <c r="AK174" s="15" t="str">
        <f t="shared" si="25"/>
        <v>中级神器1配件1-绦带Lvs1</v>
      </c>
      <c r="AL174" s="60" t="s">
        <v>645</v>
      </c>
      <c r="AM174" s="15">
        <f t="shared" si="26"/>
        <v>1</v>
      </c>
      <c r="AN174" s="15" t="str">
        <f t="shared" si="27"/>
        <v>中级神器1配件1</v>
      </c>
      <c r="AO174" s="15">
        <f>INDEX(芦花古楼!$BX$19:$BX$58,神器!AM174)</f>
        <v>1</v>
      </c>
      <c r="AP174" s="15" t="s">
        <v>88</v>
      </c>
      <c r="AQ174" s="15">
        <f t="shared" si="28"/>
        <v>130</v>
      </c>
      <c r="AR174" s="15" t="s">
        <v>654</v>
      </c>
      <c r="AS174" s="15">
        <f t="shared" si="29"/>
        <v>5</v>
      </c>
    </row>
    <row r="175" spans="35:45" ht="16.5" x14ac:dyDescent="0.2">
      <c r="AI175" s="60">
        <v>162</v>
      </c>
      <c r="AJ175" s="15">
        <f t="shared" si="24"/>
        <v>1606007</v>
      </c>
      <c r="AK175" s="15" t="str">
        <f t="shared" si="25"/>
        <v>中级神器1配件1-绦带Lvs2</v>
      </c>
      <c r="AL175" s="60" t="s">
        <v>645</v>
      </c>
      <c r="AM175" s="15">
        <f t="shared" si="26"/>
        <v>2</v>
      </c>
      <c r="AN175" s="15" t="str">
        <f t="shared" si="27"/>
        <v>中级神器1配件1</v>
      </c>
      <c r="AO175" s="15">
        <f>INDEX(芦花古楼!$BX$19:$BX$58,神器!AM175)</f>
        <v>1</v>
      </c>
      <c r="AP175" s="15" t="s">
        <v>88</v>
      </c>
      <c r="AQ175" s="15">
        <f t="shared" si="28"/>
        <v>200</v>
      </c>
      <c r="AR175" s="15" t="s">
        <v>654</v>
      </c>
      <c r="AS175" s="15">
        <f t="shared" si="29"/>
        <v>6</v>
      </c>
    </row>
    <row r="176" spans="35:45" ht="16.5" x14ac:dyDescent="0.2">
      <c r="AI176" s="60">
        <v>163</v>
      </c>
      <c r="AJ176" s="15">
        <f t="shared" si="24"/>
        <v>1606007</v>
      </c>
      <c r="AK176" s="15" t="str">
        <f t="shared" si="25"/>
        <v>中级神器1配件1-绦带Lvs3</v>
      </c>
      <c r="AL176" s="60" t="s">
        <v>645</v>
      </c>
      <c r="AM176" s="15">
        <f t="shared" si="26"/>
        <v>3</v>
      </c>
      <c r="AN176" s="15" t="str">
        <f t="shared" si="27"/>
        <v>中级神器1配件1</v>
      </c>
      <c r="AO176" s="15">
        <f>INDEX(芦花古楼!$BX$19:$BX$58,神器!AM176)</f>
        <v>2</v>
      </c>
      <c r="AP176" s="15" t="s">
        <v>88</v>
      </c>
      <c r="AQ176" s="15">
        <f t="shared" si="28"/>
        <v>265</v>
      </c>
      <c r="AR176" s="15" t="s">
        <v>654</v>
      </c>
      <c r="AS176" s="15">
        <f t="shared" si="29"/>
        <v>8</v>
      </c>
    </row>
    <row r="177" spans="35:45" ht="16.5" x14ac:dyDescent="0.2">
      <c r="AI177" s="60">
        <v>164</v>
      </c>
      <c r="AJ177" s="15">
        <f t="shared" si="24"/>
        <v>1606007</v>
      </c>
      <c r="AK177" s="15" t="str">
        <f t="shared" si="25"/>
        <v>中级神器1配件1-绦带Lvs4</v>
      </c>
      <c r="AL177" s="60" t="s">
        <v>645</v>
      </c>
      <c r="AM177" s="15">
        <f t="shared" si="26"/>
        <v>4</v>
      </c>
      <c r="AN177" s="15" t="str">
        <f t="shared" si="27"/>
        <v>中级神器1配件1</v>
      </c>
      <c r="AO177" s="15">
        <f>INDEX(芦花古楼!$BX$19:$BX$58,神器!AM177)</f>
        <v>3</v>
      </c>
      <c r="AP177" s="15" t="s">
        <v>88</v>
      </c>
      <c r="AQ177" s="15">
        <f t="shared" si="28"/>
        <v>330</v>
      </c>
      <c r="AR177" s="15" t="s">
        <v>654</v>
      </c>
      <c r="AS177" s="15">
        <f t="shared" si="29"/>
        <v>10</v>
      </c>
    </row>
    <row r="178" spans="35:45" ht="16.5" x14ac:dyDescent="0.2">
      <c r="AI178" s="60">
        <v>165</v>
      </c>
      <c r="AJ178" s="15">
        <f t="shared" si="24"/>
        <v>1606007</v>
      </c>
      <c r="AK178" s="15" t="str">
        <f t="shared" si="25"/>
        <v>中级神器1配件1-绦带Lvs5</v>
      </c>
      <c r="AL178" s="60" t="s">
        <v>645</v>
      </c>
      <c r="AM178" s="15">
        <f t="shared" si="26"/>
        <v>5</v>
      </c>
      <c r="AN178" s="15" t="str">
        <f t="shared" si="27"/>
        <v>中级神器1配件1</v>
      </c>
      <c r="AO178" s="15">
        <f>INDEX(芦花古楼!$BX$19:$BX$58,神器!AM178)</f>
        <v>3</v>
      </c>
      <c r="AP178" s="15" t="s">
        <v>88</v>
      </c>
      <c r="AQ178" s="15">
        <f t="shared" si="28"/>
        <v>400</v>
      </c>
      <c r="AR178" s="15" t="s">
        <v>654</v>
      </c>
      <c r="AS178" s="15">
        <f t="shared" si="29"/>
        <v>12</v>
      </c>
    </row>
    <row r="179" spans="35:45" ht="16.5" x14ac:dyDescent="0.2">
      <c r="AI179" s="60">
        <v>166</v>
      </c>
      <c r="AJ179" s="15">
        <f t="shared" si="24"/>
        <v>1606007</v>
      </c>
      <c r="AK179" s="15" t="str">
        <f t="shared" si="25"/>
        <v>中级神器1配件1-绦带Lvs6</v>
      </c>
      <c r="AL179" s="60" t="s">
        <v>645</v>
      </c>
      <c r="AM179" s="15">
        <f t="shared" si="26"/>
        <v>6</v>
      </c>
      <c r="AN179" s="15" t="str">
        <f t="shared" si="27"/>
        <v>中级神器1配件1</v>
      </c>
      <c r="AO179" s="15">
        <f>INDEX(芦花古楼!$BX$19:$BX$58,神器!AM179)</f>
        <v>5</v>
      </c>
      <c r="AP179" s="15" t="s">
        <v>88</v>
      </c>
      <c r="AQ179" s="15">
        <f t="shared" si="28"/>
        <v>465</v>
      </c>
      <c r="AR179" s="15" t="s">
        <v>654</v>
      </c>
      <c r="AS179" s="15">
        <f t="shared" si="29"/>
        <v>14</v>
      </c>
    </row>
    <row r="180" spans="35:45" ht="16.5" x14ac:dyDescent="0.2">
      <c r="AI180" s="60">
        <v>167</v>
      </c>
      <c r="AJ180" s="15">
        <f t="shared" si="24"/>
        <v>1606007</v>
      </c>
      <c r="AK180" s="15" t="str">
        <f t="shared" si="25"/>
        <v>中级神器1配件1-绦带Lvs7</v>
      </c>
      <c r="AL180" s="60" t="s">
        <v>645</v>
      </c>
      <c r="AM180" s="15">
        <f t="shared" si="26"/>
        <v>7</v>
      </c>
      <c r="AN180" s="15" t="str">
        <f t="shared" si="27"/>
        <v>中级神器1配件1</v>
      </c>
      <c r="AO180" s="15">
        <f>INDEX(芦花古楼!$BX$19:$BX$58,神器!AM180)</f>
        <v>5</v>
      </c>
      <c r="AP180" s="15" t="s">
        <v>88</v>
      </c>
      <c r="AQ180" s="15">
        <f t="shared" si="28"/>
        <v>535</v>
      </c>
      <c r="AR180" s="15" t="s">
        <v>654</v>
      </c>
      <c r="AS180" s="15">
        <f t="shared" si="29"/>
        <v>16</v>
      </c>
    </row>
    <row r="181" spans="35:45" ht="16.5" x14ac:dyDescent="0.2">
      <c r="AI181" s="60">
        <v>168</v>
      </c>
      <c r="AJ181" s="15">
        <f t="shared" si="24"/>
        <v>1606007</v>
      </c>
      <c r="AK181" s="15" t="str">
        <f t="shared" si="25"/>
        <v>中级神器1配件1-绦带Lvs8</v>
      </c>
      <c r="AL181" s="60" t="s">
        <v>645</v>
      </c>
      <c r="AM181" s="15">
        <f t="shared" si="26"/>
        <v>8</v>
      </c>
      <c r="AN181" s="15" t="str">
        <f t="shared" si="27"/>
        <v>中级神器1配件1</v>
      </c>
      <c r="AO181" s="15">
        <f>INDEX(芦花古楼!$BX$19:$BX$58,神器!AM181)</f>
        <v>5</v>
      </c>
      <c r="AP181" s="15" t="s">
        <v>88</v>
      </c>
      <c r="AQ181" s="15">
        <f t="shared" si="28"/>
        <v>600</v>
      </c>
      <c r="AR181" s="15" t="s">
        <v>654</v>
      </c>
      <c r="AS181" s="15">
        <f t="shared" si="29"/>
        <v>18</v>
      </c>
    </row>
    <row r="182" spans="35:45" ht="16.5" x14ac:dyDescent="0.2">
      <c r="AI182" s="60">
        <v>169</v>
      </c>
      <c r="AJ182" s="15">
        <f t="shared" si="24"/>
        <v>1606007</v>
      </c>
      <c r="AK182" s="15" t="str">
        <f t="shared" si="25"/>
        <v>中级神器1配件1-绦带Lvs9</v>
      </c>
      <c r="AL182" s="60" t="s">
        <v>645</v>
      </c>
      <c r="AM182" s="15">
        <f t="shared" si="26"/>
        <v>9</v>
      </c>
      <c r="AN182" s="15" t="str">
        <f t="shared" si="27"/>
        <v>中级神器1配件1</v>
      </c>
      <c r="AO182" s="15">
        <f>INDEX(芦花古楼!$BX$19:$BX$58,神器!AM182)</f>
        <v>5</v>
      </c>
      <c r="AP182" s="15" t="s">
        <v>88</v>
      </c>
      <c r="AQ182" s="15">
        <f t="shared" si="28"/>
        <v>665</v>
      </c>
      <c r="AR182" s="15" t="s">
        <v>654</v>
      </c>
      <c r="AS182" s="15">
        <f t="shared" si="29"/>
        <v>20</v>
      </c>
    </row>
    <row r="183" spans="35:45" ht="16.5" x14ac:dyDescent="0.2">
      <c r="AI183" s="60">
        <v>170</v>
      </c>
      <c r="AJ183" s="15">
        <f t="shared" si="24"/>
        <v>1606007</v>
      </c>
      <c r="AK183" s="15" t="str">
        <f t="shared" si="25"/>
        <v>中级神器1配件1-绦带Lvs10</v>
      </c>
      <c r="AL183" s="60" t="s">
        <v>645</v>
      </c>
      <c r="AM183" s="15">
        <f t="shared" si="26"/>
        <v>10</v>
      </c>
      <c r="AN183" s="15" t="str">
        <f t="shared" si="27"/>
        <v>中级神器1配件1</v>
      </c>
      <c r="AO183" s="15">
        <f>INDEX(芦花古楼!$BX$19:$BX$58,神器!AM183)</f>
        <v>7</v>
      </c>
      <c r="AP183" s="15" t="s">
        <v>88</v>
      </c>
      <c r="AQ183" s="15">
        <f t="shared" si="28"/>
        <v>800</v>
      </c>
      <c r="AR183" s="15" t="s">
        <v>654</v>
      </c>
      <c r="AS183" s="15">
        <f t="shared" si="29"/>
        <v>22</v>
      </c>
    </row>
    <row r="184" spans="35:45" ht="16.5" x14ac:dyDescent="0.2">
      <c r="AI184" s="60">
        <v>171</v>
      </c>
      <c r="AJ184" s="15">
        <f t="shared" si="24"/>
        <v>1606007</v>
      </c>
      <c r="AK184" s="15" t="str">
        <f t="shared" si="25"/>
        <v>中级神器1配件1-绦带Lvs11</v>
      </c>
      <c r="AL184" s="60" t="s">
        <v>645</v>
      </c>
      <c r="AM184" s="15">
        <f t="shared" si="26"/>
        <v>11</v>
      </c>
      <c r="AN184" s="15" t="str">
        <f t="shared" si="27"/>
        <v>中级神器1配件1</v>
      </c>
      <c r="AO184" s="15">
        <f>INDEX(芦花古楼!$BX$19:$BX$58,神器!AM184)</f>
        <v>7</v>
      </c>
      <c r="AP184" s="15" t="s">
        <v>88</v>
      </c>
      <c r="AQ184" s="15">
        <f t="shared" si="28"/>
        <v>1005</v>
      </c>
      <c r="AR184" s="15" t="s">
        <v>654</v>
      </c>
      <c r="AS184" s="15">
        <f t="shared" si="29"/>
        <v>25</v>
      </c>
    </row>
    <row r="185" spans="35:45" ht="16.5" x14ac:dyDescent="0.2">
      <c r="AI185" s="60">
        <v>172</v>
      </c>
      <c r="AJ185" s="15">
        <f t="shared" si="24"/>
        <v>1606007</v>
      </c>
      <c r="AK185" s="15" t="str">
        <f t="shared" si="25"/>
        <v>中级神器1配件1-绦带Lvs12</v>
      </c>
      <c r="AL185" s="60" t="s">
        <v>645</v>
      </c>
      <c r="AM185" s="15">
        <f t="shared" si="26"/>
        <v>12</v>
      </c>
      <c r="AN185" s="15" t="str">
        <f t="shared" si="27"/>
        <v>中级神器1配件1</v>
      </c>
      <c r="AO185" s="15">
        <f>INDEX(芦花古楼!$BX$19:$BX$58,神器!AM185)</f>
        <v>7</v>
      </c>
      <c r="AP185" s="15" t="s">
        <v>88</v>
      </c>
      <c r="AQ185" s="15">
        <f t="shared" si="28"/>
        <v>1175</v>
      </c>
      <c r="AR185" s="15" t="s">
        <v>654</v>
      </c>
      <c r="AS185" s="15">
        <f t="shared" si="29"/>
        <v>27</v>
      </c>
    </row>
    <row r="186" spans="35:45" ht="16.5" x14ac:dyDescent="0.2">
      <c r="AI186" s="60">
        <v>173</v>
      </c>
      <c r="AJ186" s="15">
        <f t="shared" si="24"/>
        <v>1606007</v>
      </c>
      <c r="AK186" s="15" t="str">
        <f t="shared" si="25"/>
        <v>中级神器1配件1-绦带Lvs13</v>
      </c>
      <c r="AL186" s="60" t="s">
        <v>645</v>
      </c>
      <c r="AM186" s="15">
        <f t="shared" si="26"/>
        <v>13</v>
      </c>
      <c r="AN186" s="15" t="str">
        <f t="shared" si="27"/>
        <v>中级神器1配件1</v>
      </c>
      <c r="AO186" s="15">
        <f>INDEX(芦花古楼!$BX$19:$BX$58,神器!AM186)</f>
        <v>7</v>
      </c>
      <c r="AP186" s="15" t="s">
        <v>88</v>
      </c>
      <c r="AQ186" s="15">
        <f t="shared" si="28"/>
        <v>1340</v>
      </c>
      <c r="AR186" s="15" t="s">
        <v>654</v>
      </c>
      <c r="AS186" s="15">
        <f t="shared" si="29"/>
        <v>30</v>
      </c>
    </row>
    <row r="187" spans="35:45" ht="16.5" x14ac:dyDescent="0.2">
      <c r="AI187" s="60">
        <v>174</v>
      </c>
      <c r="AJ187" s="15">
        <f t="shared" si="24"/>
        <v>1606007</v>
      </c>
      <c r="AK187" s="15" t="str">
        <f t="shared" si="25"/>
        <v>中级神器1配件1-绦带Lvs14</v>
      </c>
      <c r="AL187" s="60" t="s">
        <v>645</v>
      </c>
      <c r="AM187" s="15">
        <f t="shared" si="26"/>
        <v>14</v>
      </c>
      <c r="AN187" s="15" t="str">
        <f t="shared" si="27"/>
        <v>中级神器1配件1</v>
      </c>
      <c r="AO187" s="15">
        <f>INDEX(芦花古楼!$BX$19:$BX$58,神器!AM187)</f>
        <v>7</v>
      </c>
      <c r="AP187" s="15" t="s">
        <v>88</v>
      </c>
      <c r="AQ187" s="15">
        <f t="shared" si="28"/>
        <v>1510</v>
      </c>
      <c r="AR187" s="15" t="s">
        <v>654</v>
      </c>
      <c r="AS187" s="15">
        <f t="shared" si="29"/>
        <v>33</v>
      </c>
    </row>
    <row r="188" spans="35:45" ht="16.5" x14ac:dyDescent="0.2">
      <c r="AI188" s="60">
        <v>175</v>
      </c>
      <c r="AJ188" s="15">
        <f t="shared" si="24"/>
        <v>1606007</v>
      </c>
      <c r="AK188" s="15" t="str">
        <f t="shared" si="25"/>
        <v>中级神器1配件1-绦带Lvs15</v>
      </c>
      <c r="AL188" s="60" t="s">
        <v>645</v>
      </c>
      <c r="AM188" s="15">
        <f t="shared" si="26"/>
        <v>15</v>
      </c>
      <c r="AN188" s="15" t="str">
        <f t="shared" si="27"/>
        <v>中级神器1配件1</v>
      </c>
      <c r="AO188" s="15">
        <f>INDEX(芦花古楼!$BX$19:$BX$58,神器!AM188)</f>
        <v>10</v>
      </c>
      <c r="AP188" s="15" t="s">
        <v>88</v>
      </c>
      <c r="AQ188" s="15">
        <f t="shared" si="28"/>
        <v>1680</v>
      </c>
      <c r="AR188" s="15" t="s">
        <v>654</v>
      </c>
      <c r="AS188" s="15">
        <f t="shared" si="29"/>
        <v>36</v>
      </c>
    </row>
    <row r="189" spans="35:45" ht="16.5" x14ac:dyDescent="0.2">
      <c r="AI189" s="60">
        <v>176</v>
      </c>
      <c r="AJ189" s="15">
        <f t="shared" si="24"/>
        <v>1606007</v>
      </c>
      <c r="AK189" s="15" t="str">
        <f t="shared" si="25"/>
        <v>中级神器1配件1-绦带Lvs16</v>
      </c>
      <c r="AL189" s="60" t="s">
        <v>645</v>
      </c>
      <c r="AM189" s="15">
        <f t="shared" si="26"/>
        <v>16</v>
      </c>
      <c r="AN189" s="15" t="str">
        <f t="shared" si="27"/>
        <v>中级神器1配件1</v>
      </c>
      <c r="AO189" s="15">
        <f>INDEX(芦花古楼!$BX$19:$BX$58,神器!AM189)</f>
        <v>10</v>
      </c>
      <c r="AP189" s="15" t="s">
        <v>88</v>
      </c>
      <c r="AQ189" s="15">
        <f t="shared" si="28"/>
        <v>1845</v>
      </c>
      <c r="AR189" s="15" t="s">
        <v>654</v>
      </c>
      <c r="AS189" s="15">
        <f t="shared" si="29"/>
        <v>39</v>
      </c>
    </row>
    <row r="190" spans="35:45" ht="16.5" x14ac:dyDescent="0.2">
      <c r="AI190" s="60">
        <v>177</v>
      </c>
      <c r="AJ190" s="15">
        <f t="shared" si="24"/>
        <v>1606007</v>
      </c>
      <c r="AK190" s="15" t="str">
        <f t="shared" si="25"/>
        <v>中级神器1配件1-绦带Lvs17</v>
      </c>
      <c r="AL190" s="60" t="s">
        <v>645</v>
      </c>
      <c r="AM190" s="15">
        <f t="shared" si="26"/>
        <v>17</v>
      </c>
      <c r="AN190" s="15" t="str">
        <f t="shared" si="27"/>
        <v>中级神器1配件1</v>
      </c>
      <c r="AO190" s="15">
        <f>INDEX(芦花古楼!$BX$19:$BX$58,神器!AM190)</f>
        <v>10</v>
      </c>
      <c r="AP190" s="15" t="s">
        <v>88</v>
      </c>
      <c r="AQ190" s="15">
        <f t="shared" si="28"/>
        <v>2015</v>
      </c>
      <c r="AR190" s="15" t="s">
        <v>654</v>
      </c>
      <c r="AS190" s="15">
        <f t="shared" si="29"/>
        <v>42</v>
      </c>
    </row>
    <row r="191" spans="35:45" ht="16.5" x14ac:dyDescent="0.2">
      <c r="AI191" s="60">
        <v>178</v>
      </c>
      <c r="AJ191" s="15">
        <f t="shared" si="24"/>
        <v>1606007</v>
      </c>
      <c r="AK191" s="15" t="str">
        <f t="shared" si="25"/>
        <v>中级神器1配件1-绦带Lvs18</v>
      </c>
      <c r="AL191" s="60" t="s">
        <v>645</v>
      </c>
      <c r="AM191" s="15">
        <f t="shared" si="26"/>
        <v>18</v>
      </c>
      <c r="AN191" s="15" t="str">
        <f t="shared" si="27"/>
        <v>中级神器1配件1</v>
      </c>
      <c r="AO191" s="15">
        <f>INDEX(芦花古楼!$BX$19:$BX$58,神器!AM191)</f>
        <v>10</v>
      </c>
      <c r="AP191" s="15" t="s">
        <v>88</v>
      </c>
      <c r="AQ191" s="15">
        <f t="shared" si="28"/>
        <v>2180</v>
      </c>
      <c r="AR191" s="15" t="s">
        <v>654</v>
      </c>
      <c r="AS191" s="15">
        <f t="shared" si="29"/>
        <v>46</v>
      </c>
    </row>
    <row r="192" spans="35:45" ht="16.5" x14ac:dyDescent="0.2">
      <c r="AI192" s="60">
        <v>179</v>
      </c>
      <c r="AJ192" s="15">
        <f t="shared" si="24"/>
        <v>1606007</v>
      </c>
      <c r="AK192" s="15" t="str">
        <f t="shared" si="25"/>
        <v>中级神器1配件1-绦带Lvs19</v>
      </c>
      <c r="AL192" s="60" t="s">
        <v>645</v>
      </c>
      <c r="AM192" s="15">
        <f t="shared" si="26"/>
        <v>19</v>
      </c>
      <c r="AN192" s="15" t="str">
        <f t="shared" si="27"/>
        <v>中级神器1配件1</v>
      </c>
      <c r="AO192" s="15">
        <f>INDEX(芦花古楼!$BX$19:$BX$58,神器!AM192)</f>
        <v>10</v>
      </c>
      <c r="AP192" s="15" t="s">
        <v>88</v>
      </c>
      <c r="AQ192" s="15">
        <f t="shared" si="28"/>
        <v>2350</v>
      </c>
      <c r="AR192" s="15" t="s">
        <v>654</v>
      </c>
      <c r="AS192" s="15">
        <f t="shared" si="29"/>
        <v>49</v>
      </c>
    </row>
    <row r="193" spans="35:45" ht="16.5" x14ac:dyDescent="0.2">
      <c r="AI193" s="60">
        <v>180</v>
      </c>
      <c r="AJ193" s="15">
        <f t="shared" si="24"/>
        <v>1606007</v>
      </c>
      <c r="AK193" s="15" t="str">
        <f t="shared" si="25"/>
        <v>中级神器1配件1-绦带Lvs20</v>
      </c>
      <c r="AL193" s="60" t="s">
        <v>645</v>
      </c>
      <c r="AM193" s="15">
        <f t="shared" si="26"/>
        <v>20</v>
      </c>
      <c r="AN193" s="15" t="str">
        <f t="shared" si="27"/>
        <v>中级神器1配件1</v>
      </c>
      <c r="AO193" s="15">
        <f>INDEX(芦花古楼!$BX$19:$BX$58,神器!AM193)</f>
        <v>10</v>
      </c>
      <c r="AP193" s="15" t="s">
        <v>88</v>
      </c>
      <c r="AQ193" s="15">
        <f t="shared" si="28"/>
        <v>2685</v>
      </c>
      <c r="AR193" s="15" t="s">
        <v>654</v>
      </c>
      <c r="AS193" s="15">
        <f t="shared" si="29"/>
        <v>53</v>
      </c>
    </row>
    <row r="194" spans="35:45" ht="16.5" x14ac:dyDescent="0.2">
      <c r="AI194" s="60">
        <v>181</v>
      </c>
      <c r="AJ194" s="15">
        <f t="shared" si="24"/>
        <v>1606007</v>
      </c>
      <c r="AK194" s="15" t="str">
        <f t="shared" si="25"/>
        <v>中级神器1配件1-绦带Lvs21</v>
      </c>
      <c r="AL194" s="60" t="s">
        <v>645</v>
      </c>
      <c r="AM194" s="15">
        <f t="shared" si="26"/>
        <v>21</v>
      </c>
      <c r="AN194" s="15" t="str">
        <f t="shared" si="27"/>
        <v>中级神器1配件1</v>
      </c>
      <c r="AO194" s="15">
        <f>INDEX(芦花古楼!$BX$19:$BX$58,神器!AM194)</f>
        <v>15</v>
      </c>
      <c r="AP194" s="15" t="s">
        <v>88</v>
      </c>
      <c r="AQ194" s="15">
        <f t="shared" si="28"/>
        <v>2965</v>
      </c>
      <c r="AR194" s="15" t="s">
        <v>654</v>
      </c>
      <c r="AS194" s="15">
        <f t="shared" si="29"/>
        <v>57</v>
      </c>
    </row>
    <row r="195" spans="35:45" ht="16.5" x14ac:dyDescent="0.2">
      <c r="AI195" s="60">
        <v>182</v>
      </c>
      <c r="AJ195" s="15">
        <f t="shared" si="24"/>
        <v>1606007</v>
      </c>
      <c r="AK195" s="15" t="str">
        <f t="shared" si="25"/>
        <v>中级神器1配件1-绦带Lvs22</v>
      </c>
      <c r="AL195" s="60" t="s">
        <v>645</v>
      </c>
      <c r="AM195" s="15">
        <f t="shared" si="26"/>
        <v>22</v>
      </c>
      <c r="AN195" s="15" t="str">
        <f t="shared" si="27"/>
        <v>中级神器1配件1</v>
      </c>
      <c r="AO195" s="15">
        <f>INDEX(芦花古楼!$BX$19:$BX$58,神器!AM195)</f>
        <v>15</v>
      </c>
      <c r="AP195" s="15" t="s">
        <v>88</v>
      </c>
      <c r="AQ195" s="15">
        <f t="shared" si="28"/>
        <v>3115</v>
      </c>
      <c r="AR195" s="15" t="s">
        <v>654</v>
      </c>
      <c r="AS195" s="15">
        <f t="shared" si="29"/>
        <v>61</v>
      </c>
    </row>
    <row r="196" spans="35:45" ht="16.5" x14ac:dyDescent="0.2">
      <c r="AI196" s="60">
        <v>183</v>
      </c>
      <c r="AJ196" s="15">
        <f t="shared" si="24"/>
        <v>1606007</v>
      </c>
      <c r="AK196" s="15" t="str">
        <f t="shared" si="25"/>
        <v>中级神器1配件1-绦带Lvs23</v>
      </c>
      <c r="AL196" s="60" t="s">
        <v>645</v>
      </c>
      <c r="AM196" s="15">
        <f t="shared" si="26"/>
        <v>23</v>
      </c>
      <c r="AN196" s="15" t="str">
        <f t="shared" si="27"/>
        <v>中级神器1配件1</v>
      </c>
      <c r="AO196" s="15">
        <f>INDEX(芦花古楼!$BX$19:$BX$58,神器!AM196)</f>
        <v>15</v>
      </c>
      <c r="AP196" s="15" t="s">
        <v>88</v>
      </c>
      <c r="AQ196" s="15">
        <f t="shared" si="28"/>
        <v>3265</v>
      </c>
      <c r="AR196" s="15" t="s">
        <v>654</v>
      </c>
      <c r="AS196" s="15">
        <f t="shared" si="29"/>
        <v>66</v>
      </c>
    </row>
    <row r="197" spans="35:45" ht="16.5" x14ac:dyDescent="0.2">
      <c r="AI197" s="60">
        <v>184</v>
      </c>
      <c r="AJ197" s="15">
        <f t="shared" si="24"/>
        <v>1606007</v>
      </c>
      <c r="AK197" s="15" t="str">
        <f t="shared" si="25"/>
        <v>中级神器1配件1-绦带Lvs24</v>
      </c>
      <c r="AL197" s="60" t="s">
        <v>645</v>
      </c>
      <c r="AM197" s="15">
        <f t="shared" si="26"/>
        <v>24</v>
      </c>
      <c r="AN197" s="15" t="str">
        <f t="shared" si="27"/>
        <v>中级神器1配件1</v>
      </c>
      <c r="AO197" s="15">
        <f>INDEX(芦花古楼!$BX$19:$BX$58,神器!AM197)</f>
        <v>15</v>
      </c>
      <c r="AP197" s="15" t="s">
        <v>88</v>
      </c>
      <c r="AQ197" s="15">
        <f t="shared" si="28"/>
        <v>3410</v>
      </c>
      <c r="AR197" s="15" t="s">
        <v>654</v>
      </c>
      <c r="AS197" s="15">
        <f t="shared" si="29"/>
        <v>71</v>
      </c>
    </row>
    <row r="198" spans="35:45" ht="16.5" x14ac:dyDescent="0.2">
      <c r="AI198" s="60">
        <v>185</v>
      </c>
      <c r="AJ198" s="15">
        <f t="shared" si="24"/>
        <v>1606007</v>
      </c>
      <c r="AK198" s="15" t="str">
        <f t="shared" si="25"/>
        <v>中级神器1配件1-绦带Lvs25</v>
      </c>
      <c r="AL198" s="60" t="s">
        <v>645</v>
      </c>
      <c r="AM198" s="15">
        <f t="shared" si="26"/>
        <v>25</v>
      </c>
      <c r="AN198" s="15" t="str">
        <f t="shared" si="27"/>
        <v>中级神器1配件1</v>
      </c>
      <c r="AO198" s="15">
        <f>INDEX(芦花古楼!$BX$19:$BX$58,神器!AM198)</f>
        <v>15</v>
      </c>
      <c r="AP198" s="15" t="s">
        <v>88</v>
      </c>
      <c r="AQ198" s="15">
        <f t="shared" si="28"/>
        <v>3560</v>
      </c>
      <c r="AR198" s="15" t="s">
        <v>654</v>
      </c>
      <c r="AS198" s="15">
        <f t="shared" si="29"/>
        <v>75</v>
      </c>
    </row>
    <row r="199" spans="35:45" ht="16.5" x14ac:dyDescent="0.2">
      <c r="AI199" s="60">
        <v>186</v>
      </c>
      <c r="AJ199" s="15">
        <f t="shared" si="24"/>
        <v>1606007</v>
      </c>
      <c r="AK199" s="15" t="str">
        <f t="shared" si="25"/>
        <v>中级神器1配件1-绦带Lvs26</v>
      </c>
      <c r="AL199" s="60" t="s">
        <v>645</v>
      </c>
      <c r="AM199" s="15">
        <f t="shared" si="26"/>
        <v>26</v>
      </c>
      <c r="AN199" s="15" t="str">
        <f t="shared" si="27"/>
        <v>中级神器1配件1</v>
      </c>
      <c r="AO199" s="15">
        <f>INDEX(芦花古楼!$BX$19:$BX$58,神器!AM199)</f>
        <v>25</v>
      </c>
      <c r="AP199" s="15" t="s">
        <v>88</v>
      </c>
      <c r="AQ199" s="15">
        <f t="shared" si="28"/>
        <v>3710</v>
      </c>
      <c r="AR199" s="15" t="s">
        <v>654</v>
      </c>
      <c r="AS199" s="15">
        <f t="shared" si="29"/>
        <v>81</v>
      </c>
    </row>
    <row r="200" spans="35:45" ht="16.5" x14ac:dyDescent="0.2">
      <c r="AI200" s="60">
        <v>187</v>
      </c>
      <c r="AJ200" s="15">
        <f t="shared" si="24"/>
        <v>1606007</v>
      </c>
      <c r="AK200" s="15" t="str">
        <f t="shared" si="25"/>
        <v>中级神器1配件1-绦带Lvs27</v>
      </c>
      <c r="AL200" s="60" t="s">
        <v>645</v>
      </c>
      <c r="AM200" s="15">
        <f t="shared" si="26"/>
        <v>27</v>
      </c>
      <c r="AN200" s="15" t="str">
        <f t="shared" si="27"/>
        <v>中级神器1配件1</v>
      </c>
      <c r="AO200" s="15">
        <f>INDEX(芦花古楼!$BX$19:$BX$58,神器!AM200)</f>
        <v>25</v>
      </c>
      <c r="AP200" s="15" t="s">
        <v>88</v>
      </c>
      <c r="AQ200" s="15">
        <f t="shared" si="28"/>
        <v>3855</v>
      </c>
      <c r="AR200" s="15" t="s">
        <v>654</v>
      </c>
      <c r="AS200" s="15">
        <f t="shared" si="29"/>
        <v>86</v>
      </c>
    </row>
    <row r="201" spans="35:45" ht="16.5" x14ac:dyDescent="0.2">
      <c r="AI201" s="60">
        <v>188</v>
      </c>
      <c r="AJ201" s="15">
        <f t="shared" si="24"/>
        <v>1606007</v>
      </c>
      <c r="AK201" s="15" t="str">
        <f t="shared" si="25"/>
        <v>中级神器1配件1-绦带Lvs28</v>
      </c>
      <c r="AL201" s="60" t="s">
        <v>645</v>
      </c>
      <c r="AM201" s="15">
        <f t="shared" si="26"/>
        <v>28</v>
      </c>
      <c r="AN201" s="15" t="str">
        <f t="shared" si="27"/>
        <v>中级神器1配件1</v>
      </c>
      <c r="AO201" s="15">
        <f>INDEX(芦花古楼!$BX$19:$BX$58,神器!AM201)</f>
        <v>25</v>
      </c>
      <c r="AP201" s="15" t="s">
        <v>88</v>
      </c>
      <c r="AQ201" s="15">
        <f t="shared" si="28"/>
        <v>4005</v>
      </c>
      <c r="AR201" s="15" t="s">
        <v>654</v>
      </c>
      <c r="AS201" s="15">
        <f t="shared" si="29"/>
        <v>92</v>
      </c>
    </row>
    <row r="202" spans="35:45" ht="16.5" x14ac:dyDescent="0.2">
      <c r="AI202" s="60">
        <v>189</v>
      </c>
      <c r="AJ202" s="15">
        <f t="shared" si="24"/>
        <v>1606007</v>
      </c>
      <c r="AK202" s="15" t="str">
        <f t="shared" si="25"/>
        <v>中级神器1配件1-绦带Lvs29</v>
      </c>
      <c r="AL202" s="60" t="s">
        <v>645</v>
      </c>
      <c r="AM202" s="15">
        <f t="shared" si="26"/>
        <v>29</v>
      </c>
      <c r="AN202" s="15" t="str">
        <f t="shared" si="27"/>
        <v>中级神器1配件1</v>
      </c>
      <c r="AO202" s="15">
        <f>INDEX(芦花古楼!$BX$19:$BX$58,神器!AM202)</f>
        <v>25</v>
      </c>
      <c r="AP202" s="15" t="s">
        <v>88</v>
      </c>
      <c r="AQ202" s="15">
        <f t="shared" si="28"/>
        <v>4155</v>
      </c>
      <c r="AR202" s="15" t="s">
        <v>654</v>
      </c>
      <c r="AS202" s="15">
        <f t="shared" si="29"/>
        <v>97</v>
      </c>
    </row>
    <row r="203" spans="35:45" ht="16.5" x14ac:dyDescent="0.2">
      <c r="AI203" s="60">
        <v>190</v>
      </c>
      <c r="AJ203" s="15">
        <f t="shared" si="24"/>
        <v>1606007</v>
      </c>
      <c r="AK203" s="15" t="str">
        <f t="shared" si="25"/>
        <v>中级神器1配件1-绦带Lvs30</v>
      </c>
      <c r="AL203" s="60" t="s">
        <v>645</v>
      </c>
      <c r="AM203" s="15">
        <f t="shared" si="26"/>
        <v>30</v>
      </c>
      <c r="AN203" s="15" t="str">
        <f t="shared" si="27"/>
        <v>中级神器1配件1</v>
      </c>
      <c r="AO203" s="15">
        <f>INDEX(芦花古楼!$BX$19:$BX$58,神器!AM203)</f>
        <v>25</v>
      </c>
      <c r="AP203" s="15" t="s">
        <v>88</v>
      </c>
      <c r="AQ203" s="15">
        <f t="shared" si="28"/>
        <v>4450</v>
      </c>
      <c r="AR203" s="15" t="s">
        <v>654</v>
      </c>
      <c r="AS203" s="15">
        <f t="shared" si="29"/>
        <v>104</v>
      </c>
    </row>
    <row r="204" spans="35:45" ht="16.5" x14ac:dyDescent="0.2">
      <c r="AI204" s="60">
        <v>191</v>
      </c>
      <c r="AJ204" s="15">
        <f t="shared" si="24"/>
        <v>1606007</v>
      </c>
      <c r="AK204" s="15" t="str">
        <f t="shared" si="25"/>
        <v>中级神器1配件1-绦带Lvs31</v>
      </c>
      <c r="AL204" s="60" t="s">
        <v>645</v>
      </c>
      <c r="AM204" s="15">
        <f t="shared" si="26"/>
        <v>31</v>
      </c>
      <c r="AN204" s="15" t="str">
        <f t="shared" si="27"/>
        <v>中级神器1配件1</v>
      </c>
      <c r="AO204" s="15">
        <f>INDEX(芦花古楼!$BX$19:$BX$58,神器!AM204)</f>
        <v>30</v>
      </c>
      <c r="AP204" s="15" t="s">
        <v>88</v>
      </c>
      <c r="AQ204" s="15">
        <f t="shared" si="28"/>
        <v>4340</v>
      </c>
      <c r="AR204" s="15" t="s">
        <v>654</v>
      </c>
      <c r="AS204" s="15">
        <f t="shared" si="29"/>
        <v>110</v>
      </c>
    </row>
    <row r="205" spans="35:45" ht="16.5" x14ac:dyDescent="0.2">
      <c r="AI205" s="60">
        <v>192</v>
      </c>
      <c r="AJ205" s="15">
        <f t="shared" si="24"/>
        <v>1606007</v>
      </c>
      <c r="AK205" s="15" t="str">
        <f t="shared" si="25"/>
        <v>中级神器1配件1-绦带Lvs32</v>
      </c>
      <c r="AL205" s="60" t="s">
        <v>645</v>
      </c>
      <c r="AM205" s="15">
        <f t="shared" si="26"/>
        <v>32</v>
      </c>
      <c r="AN205" s="15" t="str">
        <f t="shared" si="27"/>
        <v>中级神器1配件1</v>
      </c>
      <c r="AO205" s="15">
        <f>INDEX(芦花古楼!$BX$19:$BX$58,神器!AM205)</f>
        <v>30</v>
      </c>
      <c r="AP205" s="15" t="s">
        <v>88</v>
      </c>
      <c r="AQ205" s="15">
        <f t="shared" si="28"/>
        <v>6510</v>
      </c>
      <c r="AR205" s="15" t="s">
        <v>654</v>
      </c>
      <c r="AS205" s="15">
        <f t="shared" si="29"/>
        <v>117</v>
      </c>
    </row>
    <row r="206" spans="35:45" ht="16.5" x14ac:dyDescent="0.2">
      <c r="AI206" s="60">
        <v>193</v>
      </c>
      <c r="AJ206" s="15">
        <f t="shared" si="24"/>
        <v>1606007</v>
      </c>
      <c r="AK206" s="15" t="str">
        <f t="shared" si="25"/>
        <v>中级神器1配件1-绦带Lvs33</v>
      </c>
      <c r="AL206" s="60" t="s">
        <v>645</v>
      </c>
      <c r="AM206" s="15">
        <f t="shared" si="26"/>
        <v>33</v>
      </c>
      <c r="AN206" s="15" t="str">
        <f t="shared" si="27"/>
        <v>中级神器1配件1</v>
      </c>
      <c r="AO206" s="15">
        <f>INDEX(芦花古楼!$BX$19:$BX$58,神器!AM206)</f>
        <v>30</v>
      </c>
      <c r="AP206" s="15" t="s">
        <v>88</v>
      </c>
      <c r="AQ206" s="15">
        <f t="shared" si="28"/>
        <v>8680</v>
      </c>
      <c r="AR206" s="15" t="s">
        <v>654</v>
      </c>
      <c r="AS206" s="15">
        <f t="shared" si="29"/>
        <v>124</v>
      </c>
    </row>
    <row r="207" spans="35:45" ht="16.5" x14ac:dyDescent="0.2">
      <c r="AI207" s="60">
        <v>194</v>
      </c>
      <c r="AJ207" s="15">
        <f t="shared" ref="AJ207:AJ270" si="30">INDEX($AC$4:$AC$33,INT((AI207-1)/40)+1)</f>
        <v>1606007</v>
      </c>
      <c r="AK207" s="15" t="str">
        <f t="shared" ref="AK207:AK270" si="31">INDEX($AF$4:$AF$33,INT((AI207-1)/40)+1)&amp;AL207&amp;AM207</f>
        <v>中级神器1配件1-绦带Lvs34</v>
      </c>
      <c r="AL207" s="60" t="s">
        <v>645</v>
      </c>
      <c r="AM207" s="15">
        <f t="shared" ref="AM207:AM270" si="32">MOD(AI207-1,40)+1</f>
        <v>34</v>
      </c>
      <c r="AN207" s="15" t="str">
        <f t="shared" ref="AN207:AN270" si="33">INDEX($AD$4:$AD$33,INT((AI207-1)/40)+1)</f>
        <v>中级神器1配件1</v>
      </c>
      <c r="AO207" s="15">
        <f>INDEX(芦花古楼!$BX$19:$BX$58,神器!AM207)</f>
        <v>30</v>
      </c>
      <c r="AP207" s="15" t="s">
        <v>88</v>
      </c>
      <c r="AQ207" s="15">
        <f t="shared" ref="AQ207:AQ270" si="34">INDEX($F$14:$L$53,AM207,INDEX($AB$4:$AB$33,INT((AI207-1)/40)+1))</f>
        <v>10850</v>
      </c>
      <c r="AR207" s="15" t="s">
        <v>654</v>
      </c>
      <c r="AS207" s="15">
        <f t="shared" ref="AS207:AS270" si="35">INDEX($P$14:$V$53,AM207,INDEX($AB$4:$AB$33,INT((AI207-1)/40)+1))</f>
        <v>132</v>
      </c>
    </row>
    <row r="208" spans="35:45" ht="16.5" x14ac:dyDescent="0.2">
      <c r="AI208" s="60">
        <v>195</v>
      </c>
      <c r="AJ208" s="15">
        <f t="shared" si="30"/>
        <v>1606007</v>
      </c>
      <c r="AK208" s="15" t="str">
        <f t="shared" si="31"/>
        <v>中级神器1配件1-绦带Lvs35</v>
      </c>
      <c r="AL208" s="60" t="s">
        <v>645</v>
      </c>
      <c r="AM208" s="15">
        <f t="shared" si="32"/>
        <v>35</v>
      </c>
      <c r="AN208" s="15" t="str">
        <f t="shared" si="33"/>
        <v>中级神器1配件1</v>
      </c>
      <c r="AO208" s="15">
        <f>INDEX(芦花古楼!$BX$19:$BX$58,神器!AM208)</f>
        <v>30</v>
      </c>
      <c r="AP208" s="15" t="s">
        <v>88</v>
      </c>
      <c r="AQ208" s="15">
        <f t="shared" si="34"/>
        <v>13020</v>
      </c>
      <c r="AR208" s="15" t="s">
        <v>654</v>
      </c>
      <c r="AS208" s="15">
        <f t="shared" si="35"/>
        <v>140</v>
      </c>
    </row>
    <row r="209" spans="35:45" ht="16.5" x14ac:dyDescent="0.2">
      <c r="AI209" s="60">
        <v>196</v>
      </c>
      <c r="AJ209" s="15">
        <f t="shared" si="30"/>
        <v>1606007</v>
      </c>
      <c r="AK209" s="15" t="str">
        <f t="shared" si="31"/>
        <v>中级神器1配件1-绦带Lvs36</v>
      </c>
      <c r="AL209" s="60" t="s">
        <v>645</v>
      </c>
      <c r="AM209" s="15">
        <f t="shared" si="32"/>
        <v>36</v>
      </c>
      <c r="AN209" s="15" t="str">
        <f t="shared" si="33"/>
        <v>中级神器1配件1</v>
      </c>
      <c r="AO209" s="15">
        <f>INDEX(芦花古楼!$BX$19:$BX$58,神器!AM209)</f>
        <v>40</v>
      </c>
      <c r="AP209" s="15" t="s">
        <v>88</v>
      </c>
      <c r="AQ209" s="15">
        <f t="shared" si="34"/>
        <v>15190</v>
      </c>
      <c r="AR209" s="15" t="s">
        <v>654</v>
      </c>
      <c r="AS209" s="15">
        <f t="shared" si="35"/>
        <v>148</v>
      </c>
    </row>
    <row r="210" spans="35:45" ht="16.5" x14ac:dyDescent="0.2">
      <c r="AI210" s="60">
        <v>197</v>
      </c>
      <c r="AJ210" s="15">
        <f t="shared" si="30"/>
        <v>1606007</v>
      </c>
      <c r="AK210" s="15" t="str">
        <f t="shared" si="31"/>
        <v>中级神器1配件1-绦带Lvs37</v>
      </c>
      <c r="AL210" s="60" t="s">
        <v>645</v>
      </c>
      <c r="AM210" s="15">
        <f t="shared" si="32"/>
        <v>37</v>
      </c>
      <c r="AN210" s="15" t="str">
        <f t="shared" si="33"/>
        <v>中级神器1配件1</v>
      </c>
      <c r="AO210" s="15">
        <f>INDEX(芦花古楼!$BX$19:$BX$58,神器!AM210)</f>
        <v>40</v>
      </c>
      <c r="AP210" s="15" t="s">
        <v>88</v>
      </c>
      <c r="AQ210" s="15">
        <f t="shared" si="34"/>
        <v>17360</v>
      </c>
      <c r="AR210" s="15" t="s">
        <v>654</v>
      </c>
      <c r="AS210" s="15">
        <f t="shared" si="35"/>
        <v>157</v>
      </c>
    </row>
    <row r="211" spans="35:45" ht="16.5" x14ac:dyDescent="0.2">
      <c r="AI211" s="60">
        <v>198</v>
      </c>
      <c r="AJ211" s="15">
        <f t="shared" si="30"/>
        <v>1606007</v>
      </c>
      <c r="AK211" s="15" t="str">
        <f t="shared" si="31"/>
        <v>中级神器1配件1-绦带Lvs38</v>
      </c>
      <c r="AL211" s="60" t="s">
        <v>645</v>
      </c>
      <c r="AM211" s="15">
        <f t="shared" si="32"/>
        <v>38</v>
      </c>
      <c r="AN211" s="15" t="str">
        <f t="shared" si="33"/>
        <v>中级神器1配件1</v>
      </c>
      <c r="AO211" s="15">
        <f>INDEX(芦花古楼!$BX$19:$BX$58,神器!AM211)</f>
        <v>40</v>
      </c>
      <c r="AP211" s="15" t="s">
        <v>88</v>
      </c>
      <c r="AQ211" s="15">
        <f t="shared" si="34"/>
        <v>19530</v>
      </c>
      <c r="AR211" s="15" t="s">
        <v>654</v>
      </c>
      <c r="AS211" s="15">
        <f t="shared" si="35"/>
        <v>166</v>
      </c>
    </row>
    <row r="212" spans="35:45" ht="16.5" x14ac:dyDescent="0.2">
      <c r="AI212" s="60">
        <v>199</v>
      </c>
      <c r="AJ212" s="15">
        <f t="shared" si="30"/>
        <v>1606007</v>
      </c>
      <c r="AK212" s="15" t="str">
        <f t="shared" si="31"/>
        <v>中级神器1配件1-绦带Lvs39</v>
      </c>
      <c r="AL212" s="60" t="s">
        <v>645</v>
      </c>
      <c r="AM212" s="15">
        <f t="shared" si="32"/>
        <v>39</v>
      </c>
      <c r="AN212" s="15" t="str">
        <f t="shared" si="33"/>
        <v>中级神器1配件1</v>
      </c>
      <c r="AO212" s="15">
        <f>INDEX(芦花古楼!$BX$19:$BX$58,神器!AM212)</f>
        <v>40</v>
      </c>
      <c r="AP212" s="15" t="s">
        <v>88</v>
      </c>
      <c r="AQ212" s="15">
        <f t="shared" si="34"/>
        <v>21700</v>
      </c>
      <c r="AR212" s="15" t="s">
        <v>654</v>
      </c>
      <c r="AS212" s="15">
        <f t="shared" si="35"/>
        <v>176</v>
      </c>
    </row>
    <row r="213" spans="35:45" ht="16.5" x14ac:dyDescent="0.2">
      <c r="AI213" s="60">
        <v>200</v>
      </c>
      <c r="AJ213" s="15">
        <f t="shared" si="30"/>
        <v>1606007</v>
      </c>
      <c r="AK213" s="15" t="str">
        <f t="shared" si="31"/>
        <v>中级神器1配件1-绦带Lvs40</v>
      </c>
      <c r="AL213" s="60" t="s">
        <v>645</v>
      </c>
      <c r="AM213" s="15">
        <f t="shared" si="32"/>
        <v>40</v>
      </c>
      <c r="AN213" s="15" t="str">
        <f t="shared" si="33"/>
        <v>中级神器1配件1</v>
      </c>
      <c r="AO213" s="15">
        <f>INDEX(芦花古楼!$BX$19:$BX$58,神器!AM213)</f>
        <v>40</v>
      </c>
      <c r="AP213" s="15" t="s">
        <v>88</v>
      </c>
      <c r="AQ213" s="15">
        <f t="shared" si="34"/>
        <v>26040</v>
      </c>
      <c r="AR213" s="15" t="s">
        <v>654</v>
      </c>
      <c r="AS213" s="15">
        <f t="shared" si="35"/>
        <v>186</v>
      </c>
    </row>
    <row r="214" spans="35:45" ht="16.5" x14ac:dyDescent="0.2">
      <c r="AI214" s="60">
        <v>201</v>
      </c>
      <c r="AJ214" s="15">
        <f t="shared" si="30"/>
        <v>1606008</v>
      </c>
      <c r="AK214" s="15" t="str">
        <f t="shared" si="31"/>
        <v>中级神器1配件2-文饰Lvs1</v>
      </c>
      <c r="AL214" s="60" t="s">
        <v>645</v>
      </c>
      <c r="AM214" s="15">
        <f t="shared" si="32"/>
        <v>1</v>
      </c>
      <c r="AN214" s="15" t="str">
        <f t="shared" si="33"/>
        <v>中级神器1配件2</v>
      </c>
      <c r="AO214" s="15">
        <f>INDEX(芦花古楼!$BX$19:$BX$58,神器!AM214)</f>
        <v>1</v>
      </c>
      <c r="AP214" s="15" t="s">
        <v>88</v>
      </c>
      <c r="AQ214" s="15">
        <f t="shared" si="34"/>
        <v>200</v>
      </c>
      <c r="AR214" s="15" t="s">
        <v>654</v>
      </c>
      <c r="AS214" s="15">
        <f t="shared" si="35"/>
        <v>7</v>
      </c>
    </row>
    <row r="215" spans="35:45" ht="16.5" x14ac:dyDescent="0.2">
      <c r="AI215" s="60">
        <v>202</v>
      </c>
      <c r="AJ215" s="15">
        <f t="shared" si="30"/>
        <v>1606008</v>
      </c>
      <c r="AK215" s="15" t="str">
        <f t="shared" si="31"/>
        <v>中级神器1配件2-文饰Lvs2</v>
      </c>
      <c r="AL215" s="60" t="s">
        <v>645</v>
      </c>
      <c r="AM215" s="15">
        <f t="shared" si="32"/>
        <v>2</v>
      </c>
      <c r="AN215" s="15" t="str">
        <f t="shared" si="33"/>
        <v>中级神器1配件2</v>
      </c>
      <c r="AO215" s="15">
        <f>INDEX(芦花古楼!$BX$19:$BX$58,神器!AM215)</f>
        <v>1</v>
      </c>
      <c r="AP215" s="15" t="s">
        <v>88</v>
      </c>
      <c r="AQ215" s="15">
        <f t="shared" si="34"/>
        <v>300</v>
      </c>
      <c r="AR215" s="15" t="s">
        <v>654</v>
      </c>
      <c r="AS215" s="15">
        <f t="shared" si="35"/>
        <v>10</v>
      </c>
    </row>
    <row r="216" spans="35:45" ht="16.5" x14ac:dyDescent="0.2">
      <c r="AI216" s="60">
        <v>203</v>
      </c>
      <c r="AJ216" s="15">
        <f t="shared" si="30"/>
        <v>1606008</v>
      </c>
      <c r="AK216" s="15" t="str">
        <f t="shared" si="31"/>
        <v>中级神器1配件2-文饰Lvs3</v>
      </c>
      <c r="AL216" s="60" t="s">
        <v>645</v>
      </c>
      <c r="AM216" s="15">
        <f t="shared" si="32"/>
        <v>3</v>
      </c>
      <c r="AN216" s="15" t="str">
        <f t="shared" si="33"/>
        <v>中级神器1配件2</v>
      </c>
      <c r="AO216" s="15">
        <f>INDEX(芦花古楼!$BX$19:$BX$58,神器!AM216)</f>
        <v>2</v>
      </c>
      <c r="AP216" s="15" t="s">
        <v>88</v>
      </c>
      <c r="AQ216" s="15">
        <f t="shared" si="34"/>
        <v>400</v>
      </c>
      <c r="AR216" s="15" t="s">
        <v>654</v>
      </c>
      <c r="AS216" s="15">
        <f t="shared" si="35"/>
        <v>12</v>
      </c>
    </row>
    <row r="217" spans="35:45" ht="16.5" x14ac:dyDescent="0.2">
      <c r="AI217" s="60">
        <v>204</v>
      </c>
      <c r="AJ217" s="15">
        <f t="shared" si="30"/>
        <v>1606008</v>
      </c>
      <c r="AK217" s="15" t="str">
        <f t="shared" si="31"/>
        <v>中级神器1配件2-文饰Lvs4</v>
      </c>
      <c r="AL217" s="60" t="s">
        <v>645</v>
      </c>
      <c r="AM217" s="15">
        <f t="shared" si="32"/>
        <v>4</v>
      </c>
      <c r="AN217" s="15" t="str">
        <f t="shared" si="33"/>
        <v>中级神器1配件2</v>
      </c>
      <c r="AO217" s="15">
        <f>INDEX(芦花古楼!$BX$19:$BX$58,神器!AM217)</f>
        <v>3</v>
      </c>
      <c r="AP217" s="15" t="s">
        <v>88</v>
      </c>
      <c r="AQ217" s="15">
        <f t="shared" si="34"/>
        <v>500</v>
      </c>
      <c r="AR217" s="15" t="s">
        <v>654</v>
      </c>
      <c r="AS217" s="15">
        <f t="shared" si="35"/>
        <v>15</v>
      </c>
    </row>
    <row r="218" spans="35:45" ht="16.5" x14ac:dyDescent="0.2">
      <c r="AI218" s="60">
        <v>205</v>
      </c>
      <c r="AJ218" s="15">
        <f t="shared" si="30"/>
        <v>1606008</v>
      </c>
      <c r="AK218" s="15" t="str">
        <f t="shared" si="31"/>
        <v>中级神器1配件2-文饰Lvs5</v>
      </c>
      <c r="AL218" s="60" t="s">
        <v>645</v>
      </c>
      <c r="AM218" s="15">
        <f t="shared" si="32"/>
        <v>5</v>
      </c>
      <c r="AN218" s="15" t="str">
        <f t="shared" si="33"/>
        <v>中级神器1配件2</v>
      </c>
      <c r="AO218" s="15">
        <f>INDEX(芦花古楼!$BX$19:$BX$58,神器!AM218)</f>
        <v>3</v>
      </c>
      <c r="AP218" s="15" t="s">
        <v>88</v>
      </c>
      <c r="AQ218" s="15">
        <f t="shared" si="34"/>
        <v>600</v>
      </c>
      <c r="AR218" s="15" t="s">
        <v>654</v>
      </c>
      <c r="AS218" s="15">
        <f t="shared" si="35"/>
        <v>18</v>
      </c>
    </row>
    <row r="219" spans="35:45" ht="16.5" x14ac:dyDescent="0.2">
      <c r="AI219" s="60">
        <v>206</v>
      </c>
      <c r="AJ219" s="15">
        <f t="shared" si="30"/>
        <v>1606008</v>
      </c>
      <c r="AK219" s="15" t="str">
        <f t="shared" si="31"/>
        <v>中级神器1配件2-文饰Lvs6</v>
      </c>
      <c r="AL219" s="60" t="s">
        <v>645</v>
      </c>
      <c r="AM219" s="15">
        <f t="shared" si="32"/>
        <v>6</v>
      </c>
      <c r="AN219" s="15" t="str">
        <f t="shared" si="33"/>
        <v>中级神器1配件2</v>
      </c>
      <c r="AO219" s="15">
        <f>INDEX(芦花古楼!$BX$19:$BX$58,神器!AM219)</f>
        <v>5</v>
      </c>
      <c r="AP219" s="15" t="s">
        <v>88</v>
      </c>
      <c r="AQ219" s="15">
        <f t="shared" si="34"/>
        <v>700</v>
      </c>
      <c r="AR219" s="15" t="s">
        <v>654</v>
      </c>
      <c r="AS219" s="15">
        <f t="shared" si="35"/>
        <v>21</v>
      </c>
    </row>
    <row r="220" spans="35:45" ht="16.5" x14ac:dyDescent="0.2">
      <c r="AI220" s="60">
        <v>207</v>
      </c>
      <c r="AJ220" s="15">
        <f t="shared" si="30"/>
        <v>1606008</v>
      </c>
      <c r="AK220" s="15" t="str">
        <f t="shared" si="31"/>
        <v>中级神器1配件2-文饰Lvs7</v>
      </c>
      <c r="AL220" s="60" t="s">
        <v>645</v>
      </c>
      <c r="AM220" s="15">
        <f t="shared" si="32"/>
        <v>7</v>
      </c>
      <c r="AN220" s="15" t="str">
        <f t="shared" si="33"/>
        <v>中级神器1配件2</v>
      </c>
      <c r="AO220" s="15">
        <f>INDEX(芦花古楼!$BX$19:$BX$58,神器!AM220)</f>
        <v>5</v>
      </c>
      <c r="AP220" s="15" t="s">
        <v>88</v>
      </c>
      <c r="AQ220" s="15">
        <f t="shared" si="34"/>
        <v>800</v>
      </c>
      <c r="AR220" s="15" t="s">
        <v>654</v>
      </c>
      <c r="AS220" s="15">
        <f t="shared" si="35"/>
        <v>24</v>
      </c>
    </row>
    <row r="221" spans="35:45" ht="16.5" x14ac:dyDescent="0.2">
      <c r="AI221" s="60">
        <v>208</v>
      </c>
      <c r="AJ221" s="15">
        <f t="shared" si="30"/>
        <v>1606008</v>
      </c>
      <c r="AK221" s="15" t="str">
        <f t="shared" si="31"/>
        <v>中级神器1配件2-文饰Lvs8</v>
      </c>
      <c r="AL221" s="60" t="s">
        <v>645</v>
      </c>
      <c r="AM221" s="15">
        <f t="shared" si="32"/>
        <v>8</v>
      </c>
      <c r="AN221" s="15" t="str">
        <f t="shared" si="33"/>
        <v>中级神器1配件2</v>
      </c>
      <c r="AO221" s="15">
        <f>INDEX(芦花古楼!$BX$19:$BX$58,神器!AM221)</f>
        <v>5</v>
      </c>
      <c r="AP221" s="15" t="s">
        <v>88</v>
      </c>
      <c r="AQ221" s="15">
        <f t="shared" si="34"/>
        <v>900</v>
      </c>
      <c r="AR221" s="15" t="s">
        <v>654</v>
      </c>
      <c r="AS221" s="15">
        <f t="shared" si="35"/>
        <v>27</v>
      </c>
    </row>
    <row r="222" spans="35:45" ht="16.5" x14ac:dyDescent="0.2">
      <c r="AI222" s="60">
        <v>209</v>
      </c>
      <c r="AJ222" s="15">
        <f t="shared" si="30"/>
        <v>1606008</v>
      </c>
      <c r="AK222" s="15" t="str">
        <f t="shared" si="31"/>
        <v>中级神器1配件2-文饰Lvs9</v>
      </c>
      <c r="AL222" s="60" t="s">
        <v>645</v>
      </c>
      <c r="AM222" s="15">
        <f t="shared" si="32"/>
        <v>9</v>
      </c>
      <c r="AN222" s="15" t="str">
        <f t="shared" si="33"/>
        <v>中级神器1配件2</v>
      </c>
      <c r="AO222" s="15">
        <f>INDEX(芦花古楼!$BX$19:$BX$58,神器!AM222)</f>
        <v>5</v>
      </c>
      <c r="AP222" s="15" t="s">
        <v>88</v>
      </c>
      <c r="AQ222" s="15">
        <f t="shared" si="34"/>
        <v>1000</v>
      </c>
      <c r="AR222" s="15" t="s">
        <v>654</v>
      </c>
      <c r="AS222" s="15">
        <f t="shared" si="35"/>
        <v>30</v>
      </c>
    </row>
    <row r="223" spans="35:45" ht="16.5" x14ac:dyDescent="0.2">
      <c r="AI223" s="60">
        <v>210</v>
      </c>
      <c r="AJ223" s="15">
        <f t="shared" si="30"/>
        <v>1606008</v>
      </c>
      <c r="AK223" s="15" t="str">
        <f t="shared" si="31"/>
        <v>中级神器1配件2-文饰Lvs10</v>
      </c>
      <c r="AL223" s="60" t="s">
        <v>645</v>
      </c>
      <c r="AM223" s="15">
        <f t="shared" si="32"/>
        <v>10</v>
      </c>
      <c r="AN223" s="15" t="str">
        <f t="shared" si="33"/>
        <v>中级神器1配件2</v>
      </c>
      <c r="AO223" s="15">
        <f>INDEX(芦花古楼!$BX$19:$BX$58,神器!AM223)</f>
        <v>7</v>
      </c>
      <c r="AP223" s="15" t="s">
        <v>88</v>
      </c>
      <c r="AQ223" s="15">
        <f t="shared" si="34"/>
        <v>1205</v>
      </c>
      <c r="AR223" s="15" t="s">
        <v>654</v>
      </c>
      <c r="AS223" s="15">
        <f t="shared" si="35"/>
        <v>34</v>
      </c>
    </row>
    <row r="224" spans="35:45" ht="16.5" x14ac:dyDescent="0.2">
      <c r="AI224" s="60">
        <v>211</v>
      </c>
      <c r="AJ224" s="15">
        <f t="shared" si="30"/>
        <v>1606008</v>
      </c>
      <c r="AK224" s="15" t="str">
        <f t="shared" si="31"/>
        <v>中级神器1配件2-文饰Lvs11</v>
      </c>
      <c r="AL224" s="60" t="s">
        <v>645</v>
      </c>
      <c r="AM224" s="15">
        <f t="shared" si="32"/>
        <v>11</v>
      </c>
      <c r="AN224" s="15" t="str">
        <f t="shared" si="33"/>
        <v>中级神器1配件2</v>
      </c>
      <c r="AO224" s="15">
        <f>INDEX(芦花古楼!$BX$19:$BX$58,神器!AM224)</f>
        <v>7</v>
      </c>
      <c r="AP224" s="15" t="s">
        <v>88</v>
      </c>
      <c r="AQ224" s="15">
        <f t="shared" si="34"/>
        <v>1510</v>
      </c>
      <c r="AR224" s="15" t="s">
        <v>654</v>
      </c>
      <c r="AS224" s="15">
        <f t="shared" si="35"/>
        <v>37</v>
      </c>
    </row>
    <row r="225" spans="35:45" ht="16.5" x14ac:dyDescent="0.2">
      <c r="AI225" s="60">
        <v>212</v>
      </c>
      <c r="AJ225" s="15">
        <f t="shared" si="30"/>
        <v>1606008</v>
      </c>
      <c r="AK225" s="15" t="str">
        <f t="shared" si="31"/>
        <v>中级神器1配件2-文饰Lvs12</v>
      </c>
      <c r="AL225" s="60" t="s">
        <v>645</v>
      </c>
      <c r="AM225" s="15">
        <f t="shared" si="32"/>
        <v>12</v>
      </c>
      <c r="AN225" s="15" t="str">
        <f t="shared" si="33"/>
        <v>中级神器1配件2</v>
      </c>
      <c r="AO225" s="15">
        <f>INDEX(芦花古楼!$BX$19:$BX$58,神器!AM225)</f>
        <v>7</v>
      </c>
      <c r="AP225" s="15" t="s">
        <v>88</v>
      </c>
      <c r="AQ225" s="15">
        <f t="shared" si="34"/>
        <v>1760</v>
      </c>
      <c r="AR225" s="15" t="s">
        <v>654</v>
      </c>
      <c r="AS225" s="15">
        <f t="shared" si="35"/>
        <v>41</v>
      </c>
    </row>
    <row r="226" spans="35:45" ht="16.5" x14ac:dyDescent="0.2">
      <c r="AI226" s="60">
        <v>213</v>
      </c>
      <c r="AJ226" s="15">
        <f t="shared" si="30"/>
        <v>1606008</v>
      </c>
      <c r="AK226" s="15" t="str">
        <f t="shared" si="31"/>
        <v>中级神器1配件2-文饰Lvs13</v>
      </c>
      <c r="AL226" s="60" t="s">
        <v>645</v>
      </c>
      <c r="AM226" s="15">
        <f t="shared" si="32"/>
        <v>13</v>
      </c>
      <c r="AN226" s="15" t="str">
        <f t="shared" si="33"/>
        <v>中级神器1配件2</v>
      </c>
      <c r="AO226" s="15">
        <f>INDEX(芦花古楼!$BX$19:$BX$58,神器!AM226)</f>
        <v>7</v>
      </c>
      <c r="AP226" s="15" t="s">
        <v>88</v>
      </c>
      <c r="AQ226" s="15">
        <f t="shared" si="34"/>
        <v>2015</v>
      </c>
      <c r="AR226" s="15" t="s">
        <v>654</v>
      </c>
      <c r="AS226" s="15">
        <f t="shared" si="35"/>
        <v>45</v>
      </c>
    </row>
    <row r="227" spans="35:45" ht="16.5" x14ac:dyDescent="0.2">
      <c r="AI227" s="60">
        <v>214</v>
      </c>
      <c r="AJ227" s="15">
        <f t="shared" si="30"/>
        <v>1606008</v>
      </c>
      <c r="AK227" s="15" t="str">
        <f t="shared" si="31"/>
        <v>中级神器1配件2-文饰Lvs14</v>
      </c>
      <c r="AL227" s="60" t="s">
        <v>645</v>
      </c>
      <c r="AM227" s="15">
        <f t="shared" si="32"/>
        <v>14</v>
      </c>
      <c r="AN227" s="15" t="str">
        <f t="shared" si="33"/>
        <v>中级神器1配件2</v>
      </c>
      <c r="AO227" s="15">
        <f>INDEX(芦花古楼!$BX$19:$BX$58,神器!AM227)</f>
        <v>7</v>
      </c>
      <c r="AP227" s="15" t="s">
        <v>88</v>
      </c>
      <c r="AQ227" s="15">
        <f t="shared" si="34"/>
        <v>2265</v>
      </c>
      <c r="AR227" s="15" t="s">
        <v>654</v>
      </c>
      <c r="AS227" s="15">
        <f t="shared" si="35"/>
        <v>50</v>
      </c>
    </row>
    <row r="228" spans="35:45" ht="16.5" x14ac:dyDescent="0.2">
      <c r="AI228" s="60">
        <v>215</v>
      </c>
      <c r="AJ228" s="15">
        <f t="shared" si="30"/>
        <v>1606008</v>
      </c>
      <c r="AK228" s="15" t="str">
        <f t="shared" si="31"/>
        <v>中级神器1配件2-文饰Lvs15</v>
      </c>
      <c r="AL228" s="60" t="s">
        <v>645</v>
      </c>
      <c r="AM228" s="15">
        <f t="shared" si="32"/>
        <v>15</v>
      </c>
      <c r="AN228" s="15" t="str">
        <f t="shared" si="33"/>
        <v>中级神器1配件2</v>
      </c>
      <c r="AO228" s="15">
        <f>INDEX(芦花古楼!$BX$19:$BX$58,神器!AM228)</f>
        <v>10</v>
      </c>
      <c r="AP228" s="15" t="s">
        <v>88</v>
      </c>
      <c r="AQ228" s="15">
        <f t="shared" si="34"/>
        <v>2520</v>
      </c>
      <c r="AR228" s="15" t="s">
        <v>654</v>
      </c>
      <c r="AS228" s="15">
        <f t="shared" si="35"/>
        <v>54</v>
      </c>
    </row>
    <row r="229" spans="35:45" ht="16.5" x14ac:dyDescent="0.2">
      <c r="AI229" s="60">
        <v>216</v>
      </c>
      <c r="AJ229" s="15">
        <f t="shared" si="30"/>
        <v>1606008</v>
      </c>
      <c r="AK229" s="15" t="str">
        <f t="shared" si="31"/>
        <v>中级神器1配件2-文饰Lvs16</v>
      </c>
      <c r="AL229" s="60" t="s">
        <v>645</v>
      </c>
      <c r="AM229" s="15">
        <f t="shared" si="32"/>
        <v>16</v>
      </c>
      <c r="AN229" s="15" t="str">
        <f t="shared" si="33"/>
        <v>中级神器1配件2</v>
      </c>
      <c r="AO229" s="15">
        <f>INDEX(芦花古楼!$BX$19:$BX$58,神器!AM229)</f>
        <v>10</v>
      </c>
      <c r="AP229" s="15" t="s">
        <v>88</v>
      </c>
      <c r="AQ229" s="15">
        <f t="shared" si="34"/>
        <v>2770</v>
      </c>
      <c r="AR229" s="15" t="s">
        <v>654</v>
      </c>
      <c r="AS229" s="15">
        <f t="shared" si="35"/>
        <v>59</v>
      </c>
    </row>
    <row r="230" spans="35:45" ht="16.5" x14ac:dyDescent="0.2">
      <c r="AI230" s="60">
        <v>217</v>
      </c>
      <c r="AJ230" s="15">
        <f t="shared" si="30"/>
        <v>1606008</v>
      </c>
      <c r="AK230" s="15" t="str">
        <f t="shared" si="31"/>
        <v>中级神器1配件2-文饰Lvs17</v>
      </c>
      <c r="AL230" s="60" t="s">
        <v>645</v>
      </c>
      <c r="AM230" s="15">
        <f t="shared" si="32"/>
        <v>17</v>
      </c>
      <c r="AN230" s="15" t="str">
        <f t="shared" si="33"/>
        <v>中级神器1配件2</v>
      </c>
      <c r="AO230" s="15">
        <f>INDEX(芦花古楼!$BX$19:$BX$58,神器!AM230)</f>
        <v>10</v>
      </c>
      <c r="AP230" s="15" t="s">
        <v>88</v>
      </c>
      <c r="AQ230" s="15">
        <f t="shared" si="34"/>
        <v>3020</v>
      </c>
      <c r="AR230" s="15" t="s">
        <v>654</v>
      </c>
      <c r="AS230" s="15">
        <f t="shared" si="35"/>
        <v>64</v>
      </c>
    </row>
    <row r="231" spans="35:45" ht="16.5" x14ac:dyDescent="0.2">
      <c r="AI231" s="60">
        <v>218</v>
      </c>
      <c r="AJ231" s="15">
        <f t="shared" si="30"/>
        <v>1606008</v>
      </c>
      <c r="AK231" s="15" t="str">
        <f t="shared" si="31"/>
        <v>中级神器1配件2-文饰Lvs18</v>
      </c>
      <c r="AL231" s="60" t="s">
        <v>645</v>
      </c>
      <c r="AM231" s="15">
        <f t="shared" si="32"/>
        <v>18</v>
      </c>
      <c r="AN231" s="15" t="str">
        <f t="shared" si="33"/>
        <v>中级神器1配件2</v>
      </c>
      <c r="AO231" s="15">
        <f>INDEX(芦花古楼!$BX$19:$BX$58,神器!AM231)</f>
        <v>10</v>
      </c>
      <c r="AP231" s="15" t="s">
        <v>88</v>
      </c>
      <c r="AQ231" s="15">
        <f t="shared" si="34"/>
        <v>3275</v>
      </c>
      <c r="AR231" s="15" t="s">
        <v>654</v>
      </c>
      <c r="AS231" s="15">
        <f t="shared" si="35"/>
        <v>69</v>
      </c>
    </row>
    <row r="232" spans="35:45" ht="16.5" x14ac:dyDescent="0.2">
      <c r="AI232" s="60">
        <v>219</v>
      </c>
      <c r="AJ232" s="15">
        <f t="shared" si="30"/>
        <v>1606008</v>
      </c>
      <c r="AK232" s="15" t="str">
        <f t="shared" si="31"/>
        <v>中级神器1配件2-文饰Lvs19</v>
      </c>
      <c r="AL232" s="60" t="s">
        <v>645</v>
      </c>
      <c r="AM232" s="15">
        <f t="shared" si="32"/>
        <v>19</v>
      </c>
      <c r="AN232" s="15" t="str">
        <f t="shared" si="33"/>
        <v>中级神器1配件2</v>
      </c>
      <c r="AO232" s="15">
        <f>INDEX(芦花古楼!$BX$19:$BX$58,神器!AM232)</f>
        <v>10</v>
      </c>
      <c r="AP232" s="15" t="s">
        <v>88</v>
      </c>
      <c r="AQ232" s="15">
        <f t="shared" si="34"/>
        <v>3525</v>
      </c>
      <c r="AR232" s="15" t="s">
        <v>654</v>
      </c>
      <c r="AS232" s="15">
        <f t="shared" si="35"/>
        <v>74</v>
      </c>
    </row>
    <row r="233" spans="35:45" ht="16.5" x14ac:dyDescent="0.2">
      <c r="AI233" s="60">
        <v>220</v>
      </c>
      <c r="AJ233" s="15">
        <f t="shared" si="30"/>
        <v>1606008</v>
      </c>
      <c r="AK233" s="15" t="str">
        <f t="shared" si="31"/>
        <v>中级神器1配件2-文饰Lvs20</v>
      </c>
      <c r="AL233" s="60" t="s">
        <v>645</v>
      </c>
      <c r="AM233" s="15">
        <f t="shared" si="32"/>
        <v>20</v>
      </c>
      <c r="AN233" s="15" t="str">
        <f t="shared" si="33"/>
        <v>中级神器1配件2</v>
      </c>
      <c r="AO233" s="15">
        <f>INDEX(芦花古楼!$BX$19:$BX$58,神器!AM233)</f>
        <v>10</v>
      </c>
      <c r="AP233" s="15" t="s">
        <v>88</v>
      </c>
      <c r="AQ233" s="15">
        <f t="shared" si="34"/>
        <v>4030</v>
      </c>
      <c r="AR233" s="15" t="s">
        <v>654</v>
      </c>
      <c r="AS233" s="15">
        <f t="shared" si="35"/>
        <v>80</v>
      </c>
    </row>
    <row r="234" spans="35:45" ht="16.5" x14ac:dyDescent="0.2">
      <c r="AI234" s="60">
        <v>221</v>
      </c>
      <c r="AJ234" s="15">
        <f t="shared" si="30"/>
        <v>1606008</v>
      </c>
      <c r="AK234" s="15" t="str">
        <f t="shared" si="31"/>
        <v>中级神器1配件2-文饰Lvs21</v>
      </c>
      <c r="AL234" s="60" t="s">
        <v>645</v>
      </c>
      <c r="AM234" s="15">
        <f t="shared" si="32"/>
        <v>21</v>
      </c>
      <c r="AN234" s="15" t="str">
        <f t="shared" si="33"/>
        <v>中级神器1配件2</v>
      </c>
      <c r="AO234" s="15">
        <f>INDEX(芦花古楼!$BX$19:$BX$58,神器!AM234)</f>
        <v>15</v>
      </c>
      <c r="AP234" s="15" t="s">
        <v>88</v>
      </c>
      <c r="AQ234" s="15">
        <f t="shared" si="34"/>
        <v>4450</v>
      </c>
      <c r="AR234" s="15" t="s">
        <v>654</v>
      </c>
      <c r="AS234" s="15">
        <f t="shared" si="35"/>
        <v>86</v>
      </c>
    </row>
    <row r="235" spans="35:45" ht="16.5" x14ac:dyDescent="0.2">
      <c r="AI235" s="60">
        <v>222</v>
      </c>
      <c r="AJ235" s="15">
        <f t="shared" si="30"/>
        <v>1606008</v>
      </c>
      <c r="AK235" s="15" t="str">
        <f t="shared" si="31"/>
        <v>中级神器1配件2-文饰Lvs22</v>
      </c>
      <c r="AL235" s="60" t="s">
        <v>645</v>
      </c>
      <c r="AM235" s="15">
        <f t="shared" si="32"/>
        <v>22</v>
      </c>
      <c r="AN235" s="15" t="str">
        <f t="shared" si="33"/>
        <v>中级神器1配件2</v>
      </c>
      <c r="AO235" s="15">
        <f>INDEX(芦花古楼!$BX$19:$BX$58,神器!AM235)</f>
        <v>15</v>
      </c>
      <c r="AP235" s="15" t="s">
        <v>88</v>
      </c>
      <c r="AQ235" s="15">
        <f t="shared" si="34"/>
        <v>4675</v>
      </c>
      <c r="AR235" s="15" t="s">
        <v>654</v>
      </c>
      <c r="AS235" s="15">
        <f t="shared" si="35"/>
        <v>92</v>
      </c>
    </row>
    <row r="236" spans="35:45" ht="16.5" x14ac:dyDescent="0.2">
      <c r="AI236" s="60">
        <v>223</v>
      </c>
      <c r="AJ236" s="15">
        <f t="shared" si="30"/>
        <v>1606008</v>
      </c>
      <c r="AK236" s="15" t="str">
        <f t="shared" si="31"/>
        <v>中级神器1配件2-文饰Lvs23</v>
      </c>
      <c r="AL236" s="60" t="s">
        <v>645</v>
      </c>
      <c r="AM236" s="15">
        <f t="shared" si="32"/>
        <v>23</v>
      </c>
      <c r="AN236" s="15" t="str">
        <f t="shared" si="33"/>
        <v>中级神器1配件2</v>
      </c>
      <c r="AO236" s="15">
        <f>INDEX(芦花古楼!$BX$19:$BX$58,神器!AM236)</f>
        <v>15</v>
      </c>
      <c r="AP236" s="15" t="s">
        <v>88</v>
      </c>
      <c r="AQ236" s="15">
        <f t="shared" si="34"/>
        <v>4895</v>
      </c>
      <c r="AR236" s="15" t="s">
        <v>654</v>
      </c>
      <c r="AS236" s="15">
        <f t="shared" si="35"/>
        <v>99</v>
      </c>
    </row>
    <row r="237" spans="35:45" ht="16.5" x14ac:dyDescent="0.2">
      <c r="AI237" s="60">
        <v>224</v>
      </c>
      <c r="AJ237" s="15">
        <f t="shared" si="30"/>
        <v>1606008</v>
      </c>
      <c r="AK237" s="15" t="str">
        <f t="shared" si="31"/>
        <v>中级神器1配件2-文饰Lvs24</v>
      </c>
      <c r="AL237" s="60" t="s">
        <v>645</v>
      </c>
      <c r="AM237" s="15">
        <f t="shared" si="32"/>
        <v>24</v>
      </c>
      <c r="AN237" s="15" t="str">
        <f t="shared" si="33"/>
        <v>中级神器1配件2</v>
      </c>
      <c r="AO237" s="15">
        <f>INDEX(芦花古楼!$BX$19:$BX$58,神器!AM237)</f>
        <v>15</v>
      </c>
      <c r="AP237" s="15" t="s">
        <v>88</v>
      </c>
      <c r="AQ237" s="15">
        <f t="shared" si="34"/>
        <v>5120</v>
      </c>
      <c r="AR237" s="15" t="s">
        <v>654</v>
      </c>
      <c r="AS237" s="15">
        <f t="shared" si="35"/>
        <v>106</v>
      </c>
    </row>
    <row r="238" spans="35:45" ht="16.5" x14ac:dyDescent="0.2">
      <c r="AI238" s="60">
        <v>225</v>
      </c>
      <c r="AJ238" s="15">
        <f t="shared" si="30"/>
        <v>1606008</v>
      </c>
      <c r="AK238" s="15" t="str">
        <f t="shared" si="31"/>
        <v>中级神器1配件2-文饰Lvs25</v>
      </c>
      <c r="AL238" s="60" t="s">
        <v>645</v>
      </c>
      <c r="AM238" s="15">
        <f t="shared" si="32"/>
        <v>25</v>
      </c>
      <c r="AN238" s="15" t="str">
        <f t="shared" si="33"/>
        <v>中级神器1配件2</v>
      </c>
      <c r="AO238" s="15">
        <f>INDEX(芦花古楼!$BX$19:$BX$58,神器!AM238)</f>
        <v>15</v>
      </c>
      <c r="AP238" s="15" t="s">
        <v>88</v>
      </c>
      <c r="AQ238" s="15">
        <f t="shared" si="34"/>
        <v>5340</v>
      </c>
      <c r="AR238" s="15" t="s">
        <v>654</v>
      </c>
      <c r="AS238" s="15">
        <f t="shared" si="35"/>
        <v>113</v>
      </c>
    </row>
    <row r="239" spans="35:45" ht="16.5" x14ac:dyDescent="0.2">
      <c r="AI239" s="60">
        <v>226</v>
      </c>
      <c r="AJ239" s="15">
        <f t="shared" si="30"/>
        <v>1606008</v>
      </c>
      <c r="AK239" s="15" t="str">
        <f t="shared" si="31"/>
        <v>中级神器1配件2-文饰Lvs26</v>
      </c>
      <c r="AL239" s="60" t="s">
        <v>645</v>
      </c>
      <c r="AM239" s="15">
        <f t="shared" si="32"/>
        <v>26</v>
      </c>
      <c r="AN239" s="15" t="str">
        <f t="shared" si="33"/>
        <v>中级神器1配件2</v>
      </c>
      <c r="AO239" s="15">
        <f>INDEX(芦花古楼!$BX$19:$BX$58,神器!AM239)</f>
        <v>25</v>
      </c>
      <c r="AP239" s="15" t="s">
        <v>88</v>
      </c>
      <c r="AQ239" s="15">
        <f t="shared" si="34"/>
        <v>5565</v>
      </c>
      <c r="AR239" s="15" t="s">
        <v>654</v>
      </c>
      <c r="AS239" s="15">
        <f t="shared" si="35"/>
        <v>121</v>
      </c>
    </row>
    <row r="240" spans="35:45" ht="16.5" x14ac:dyDescent="0.2">
      <c r="AI240" s="60">
        <v>227</v>
      </c>
      <c r="AJ240" s="15">
        <f t="shared" si="30"/>
        <v>1606008</v>
      </c>
      <c r="AK240" s="15" t="str">
        <f t="shared" si="31"/>
        <v>中级神器1配件2-文饰Lvs27</v>
      </c>
      <c r="AL240" s="60" t="s">
        <v>645</v>
      </c>
      <c r="AM240" s="15">
        <f t="shared" si="32"/>
        <v>27</v>
      </c>
      <c r="AN240" s="15" t="str">
        <f t="shared" si="33"/>
        <v>中级神器1配件2</v>
      </c>
      <c r="AO240" s="15">
        <f>INDEX(芦花古楼!$BX$19:$BX$58,神器!AM240)</f>
        <v>25</v>
      </c>
      <c r="AP240" s="15" t="s">
        <v>88</v>
      </c>
      <c r="AQ240" s="15">
        <f t="shared" si="34"/>
        <v>5785</v>
      </c>
      <c r="AR240" s="15" t="s">
        <v>654</v>
      </c>
      <c r="AS240" s="15">
        <f t="shared" si="35"/>
        <v>129</v>
      </c>
    </row>
    <row r="241" spans="35:45" ht="16.5" x14ac:dyDescent="0.2">
      <c r="AI241" s="60">
        <v>228</v>
      </c>
      <c r="AJ241" s="15">
        <f t="shared" si="30"/>
        <v>1606008</v>
      </c>
      <c r="AK241" s="15" t="str">
        <f t="shared" si="31"/>
        <v>中级神器1配件2-文饰Lvs28</v>
      </c>
      <c r="AL241" s="60" t="s">
        <v>645</v>
      </c>
      <c r="AM241" s="15">
        <f t="shared" si="32"/>
        <v>28</v>
      </c>
      <c r="AN241" s="15" t="str">
        <f t="shared" si="33"/>
        <v>中级神器1配件2</v>
      </c>
      <c r="AO241" s="15">
        <f>INDEX(芦花古楼!$BX$19:$BX$58,神器!AM241)</f>
        <v>25</v>
      </c>
      <c r="AP241" s="15" t="s">
        <v>88</v>
      </c>
      <c r="AQ241" s="15">
        <f t="shared" si="34"/>
        <v>6010</v>
      </c>
      <c r="AR241" s="15" t="s">
        <v>654</v>
      </c>
      <c r="AS241" s="15">
        <f t="shared" si="35"/>
        <v>138</v>
      </c>
    </row>
    <row r="242" spans="35:45" ht="16.5" x14ac:dyDescent="0.2">
      <c r="AI242" s="60">
        <v>229</v>
      </c>
      <c r="AJ242" s="15">
        <f t="shared" si="30"/>
        <v>1606008</v>
      </c>
      <c r="AK242" s="15" t="str">
        <f t="shared" si="31"/>
        <v>中级神器1配件2-文饰Lvs29</v>
      </c>
      <c r="AL242" s="60" t="s">
        <v>645</v>
      </c>
      <c r="AM242" s="15">
        <f t="shared" si="32"/>
        <v>29</v>
      </c>
      <c r="AN242" s="15" t="str">
        <f t="shared" si="33"/>
        <v>中级神器1配件2</v>
      </c>
      <c r="AO242" s="15">
        <f>INDEX(芦花古楼!$BX$19:$BX$58,神器!AM242)</f>
        <v>25</v>
      </c>
      <c r="AP242" s="15" t="s">
        <v>88</v>
      </c>
      <c r="AQ242" s="15">
        <f t="shared" si="34"/>
        <v>6230</v>
      </c>
      <c r="AR242" s="15" t="s">
        <v>654</v>
      </c>
      <c r="AS242" s="15">
        <f t="shared" si="35"/>
        <v>146</v>
      </c>
    </row>
    <row r="243" spans="35:45" ht="16.5" x14ac:dyDescent="0.2">
      <c r="AI243" s="60">
        <v>230</v>
      </c>
      <c r="AJ243" s="15">
        <f t="shared" si="30"/>
        <v>1606008</v>
      </c>
      <c r="AK243" s="15" t="str">
        <f t="shared" si="31"/>
        <v>中级神器1配件2-文饰Lvs30</v>
      </c>
      <c r="AL243" s="60" t="s">
        <v>645</v>
      </c>
      <c r="AM243" s="15">
        <f t="shared" si="32"/>
        <v>30</v>
      </c>
      <c r="AN243" s="15" t="str">
        <f t="shared" si="33"/>
        <v>中级神器1配件2</v>
      </c>
      <c r="AO243" s="15">
        <f>INDEX(芦花古楼!$BX$19:$BX$58,神器!AM243)</f>
        <v>25</v>
      </c>
      <c r="AP243" s="15" t="s">
        <v>88</v>
      </c>
      <c r="AQ243" s="15">
        <f t="shared" si="34"/>
        <v>6675</v>
      </c>
      <c r="AR243" s="15" t="s">
        <v>654</v>
      </c>
      <c r="AS243" s="15">
        <f t="shared" si="35"/>
        <v>156</v>
      </c>
    </row>
    <row r="244" spans="35:45" ht="16.5" x14ac:dyDescent="0.2">
      <c r="AI244" s="60">
        <v>231</v>
      </c>
      <c r="AJ244" s="15">
        <f t="shared" si="30"/>
        <v>1606008</v>
      </c>
      <c r="AK244" s="15" t="str">
        <f t="shared" si="31"/>
        <v>中级神器1配件2-文饰Lvs31</v>
      </c>
      <c r="AL244" s="60" t="s">
        <v>645</v>
      </c>
      <c r="AM244" s="15">
        <f t="shared" si="32"/>
        <v>31</v>
      </c>
      <c r="AN244" s="15" t="str">
        <f t="shared" si="33"/>
        <v>中级神器1配件2</v>
      </c>
      <c r="AO244" s="15">
        <f>INDEX(芦花古楼!$BX$19:$BX$58,神器!AM244)</f>
        <v>30</v>
      </c>
      <c r="AP244" s="15" t="s">
        <v>88</v>
      </c>
      <c r="AQ244" s="15">
        <f t="shared" si="34"/>
        <v>6510</v>
      </c>
      <c r="AR244" s="15" t="s">
        <v>654</v>
      </c>
      <c r="AS244" s="15">
        <f t="shared" si="35"/>
        <v>166</v>
      </c>
    </row>
    <row r="245" spans="35:45" ht="16.5" x14ac:dyDescent="0.2">
      <c r="AI245" s="60">
        <v>232</v>
      </c>
      <c r="AJ245" s="15">
        <f t="shared" si="30"/>
        <v>1606008</v>
      </c>
      <c r="AK245" s="15" t="str">
        <f t="shared" si="31"/>
        <v>中级神器1配件2-文饰Lvs32</v>
      </c>
      <c r="AL245" s="60" t="s">
        <v>645</v>
      </c>
      <c r="AM245" s="15">
        <f t="shared" si="32"/>
        <v>32</v>
      </c>
      <c r="AN245" s="15" t="str">
        <f t="shared" si="33"/>
        <v>中级神器1配件2</v>
      </c>
      <c r="AO245" s="15">
        <f>INDEX(芦花古楼!$BX$19:$BX$58,神器!AM245)</f>
        <v>30</v>
      </c>
      <c r="AP245" s="15" t="s">
        <v>88</v>
      </c>
      <c r="AQ245" s="15">
        <f t="shared" si="34"/>
        <v>9765</v>
      </c>
      <c r="AR245" s="15" t="s">
        <v>654</v>
      </c>
      <c r="AS245" s="15">
        <f t="shared" si="35"/>
        <v>176</v>
      </c>
    </row>
    <row r="246" spans="35:45" ht="16.5" x14ac:dyDescent="0.2">
      <c r="AI246" s="60">
        <v>233</v>
      </c>
      <c r="AJ246" s="15">
        <f t="shared" si="30"/>
        <v>1606008</v>
      </c>
      <c r="AK246" s="15" t="str">
        <f t="shared" si="31"/>
        <v>中级神器1配件2-文饰Lvs33</v>
      </c>
      <c r="AL246" s="60" t="s">
        <v>645</v>
      </c>
      <c r="AM246" s="15">
        <f t="shared" si="32"/>
        <v>33</v>
      </c>
      <c r="AN246" s="15" t="str">
        <f t="shared" si="33"/>
        <v>中级神器1配件2</v>
      </c>
      <c r="AO246" s="15">
        <f>INDEX(芦花古楼!$BX$19:$BX$58,神器!AM246)</f>
        <v>30</v>
      </c>
      <c r="AP246" s="15" t="s">
        <v>88</v>
      </c>
      <c r="AQ246" s="15">
        <f t="shared" si="34"/>
        <v>13020</v>
      </c>
      <c r="AR246" s="15" t="s">
        <v>654</v>
      </c>
      <c r="AS246" s="15">
        <f t="shared" si="35"/>
        <v>187</v>
      </c>
    </row>
    <row r="247" spans="35:45" ht="16.5" x14ac:dyDescent="0.2">
      <c r="AI247" s="60">
        <v>234</v>
      </c>
      <c r="AJ247" s="15">
        <f t="shared" si="30"/>
        <v>1606008</v>
      </c>
      <c r="AK247" s="15" t="str">
        <f t="shared" si="31"/>
        <v>中级神器1配件2-文饰Lvs34</v>
      </c>
      <c r="AL247" s="60" t="s">
        <v>645</v>
      </c>
      <c r="AM247" s="15">
        <f t="shared" si="32"/>
        <v>34</v>
      </c>
      <c r="AN247" s="15" t="str">
        <f t="shared" si="33"/>
        <v>中级神器1配件2</v>
      </c>
      <c r="AO247" s="15">
        <f>INDEX(芦花古楼!$BX$19:$BX$58,神器!AM247)</f>
        <v>30</v>
      </c>
      <c r="AP247" s="15" t="s">
        <v>88</v>
      </c>
      <c r="AQ247" s="15">
        <f t="shared" si="34"/>
        <v>16275</v>
      </c>
      <c r="AR247" s="15" t="s">
        <v>654</v>
      </c>
      <c r="AS247" s="15">
        <f t="shared" si="35"/>
        <v>198</v>
      </c>
    </row>
    <row r="248" spans="35:45" ht="16.5" x14ac:dyDescent="0.2">
      <c r="AI248" s="60">
        <v>235</v>
      </c>
      <c r="AJ248" s="15">
        <f t="shared" si="30"/>
        <v>1606008</v>
      </c>
      <c r="AK248" s="15" t="str">
        <f t="shared" si="31"/>
        <v>中级神器1配件2-文饰Lvs35</v>
      </c>
      <c r="AL248" s="60" t="s">
        <v>645</v>
      </c>
      <c r="AM248" s="15">
        <f t="shared" si="32"/>
        <v>35</v>
      </c>
      <c r="AN248" s="15" t="str">
        <f t="shared" si="33"/>
        <v>中级神器1配件2</v>
      </c>
      <c r="AO248" s="15">
        <f>INDEX(芦花古楼!$BX$19:$BX$58,神器!AM248)</f>
        <v>30</v>
      </c>
      <c r="AP248" s="15" t="s">
        <v>88</v>
      </c>
      <c r="AQ248" s="15">
        <f t="shared" si="34"/>
        <v>19530</v>
      </c>
      <c r="AR248" s="15" t="s">
        <v>654</v>
      </c>
      <c r="AS248" s="15">
        <f t="shared" si="35"/>
        <v>210</v>
      </c>
    </row>
    <row r="249" spans="35:45" ht="16.5" x14ac:dyDescent="0.2">
      <c r="AI249" s="60">
        <v>236</v>
      </c>
      <c r="AJ249" s="15">
        <f t="shared" si="30"/>
        <v>1606008</v>
      </c>
      <c r="AK249" s="15" t="str">
        <f t="shared" si="31"/>
        <v>中级神器1配件2-文饰Lvs36</v>
      </c>
      <c r="AL249" s="60" t="s">
        <v>645</v>
      </c>
      <c r="AM249" s="15">
        <f t="shared" si="32"/>
        <v>36</v>
      </c>
      <c r="AN249" s="15" t="str">
        <f t="shared" si="33"/>
        <v>中级神器1配件2</v>
      </c>
      <c r="AO249" s="15">
        <f>INDEX(芦花古楼!$BX$19:$BX$58,神器!AM249)</f>
        <v>40</v>
      </c>
      <c r="AP249" s="15" t="s">
        <v>88</v>
      </c>
      <c r="AQ249" s="15">
        <f t="shared" si="34"/>
        <v>22785</v>
      </c>
      <c r="AR249" s="15" t="s">
        <v>654</v>
      </c>
      <c r="AS249" s="15">
        <f t="shared" si="35"/>
        <v>222</v>
      </c>
    </row>
    <row r="250" spans="35:45" ht="16.5" x14ac:dyDescent="0.2">
      <c r="AI250" s="60">
        <v>237</v>
      </c>
      <c r="AJ250" s="15">
        <f t="shared" si="30"/>
        <v>1606008</v>
      </c>
      <c r="AK250" s="15" t="str">
        <f t="shared" si="31"/>
        <v>中级神器1配件2-文饰Lvs37</v>
      </c>
      <c r="AL250" s="60" t="s">
        <v>645</v>
      </c>
      <c r="AM250" s="15">
        <f t="shared" si="32"/>
        <v>37</v>
      </c>
      <c r="AN250" s="15" t="str">
        <f t="shared" si="33"/>
        <v>中级神器1配件2</v>
      </c>
      <c r="AO250" s="15">
        <f>INDEX(芦花古楼!$BX$19:$BX$58,神器!AM250)</f>
        <v>40</v>
      </c>
      <c r="AP250" s="15" t="s">
        <v>88</v>
      </c>
      <c r="AQ250" s="15">
        <f t="shared" si="34"/>
        <v>26040</v>
      </c>
      <c r="AR250" s="15" t="s">
        <v>654</v>
      </c>
      <c r="AS250" s="15">
        <f t="shared" si="35"/>
        <v>236</v>
      </c>
    </row>
    <row r="251" spans="35:45" ht="16.5" x14ac:dyDescent="0.2">
      <c r="AI251" s="60">
        <v>238</v>
      </c>
      <c r="AJ251" s="15">
        <f t="shared" si="30"/>
        <v>1606008</v>
      </c>
      <c r="AK251" s="15" t="str">
        <f t="shared" si="31"/>
        <v>中级神器1配件2-文饰Lvs38</v>
      </c>
      <c r="AL251" s="60" t="s">
        <v>645</v>
      </c>
      <c r="AM251" s="15">
        <f t="shared" si="32"/>
        <v>38</v>
      </c>
      <c r="AN251" s="15" t="str">
        <f t="shared" si="33"/>
        <v>中级神器1配件2</v>
      </c>
      <c r="AO251" s="15">
        <f>INDEX(芦花古楼!$BX$19:$BX$58,神器!AM251)</f>
        <v>40</v>
      </c>
      <c r="AP251" s="15" t="s">
        <v>88</v>
      </c>
      <c r="AQ251" s="15">
        <f t="shared" si="34"/>
        <v>29295</v>
      </c>
      <c r="AR251" s="15" t="s">
        <v>654</v>
      </c>
      <c r="AS251" s="15">
        <f t="shared" si="35"/>
        <v>249</v>
      </c>
    </row>
    <row r="252" spans="35:45" ht="16.5" x14ac:dyDescent="0.2">
      <c r="AI252" s="60">
        <v>239</v>
      </c>
      <c r="AJ252" s="15">
        <f t="shared" si="30"/>
        <v>1606008</v>
      </c>
      <c r="AK252" s="15" t="str">
        <f t="shared" si="31"/>
        <v>中级神器1配件2-文饰Lvs39</v>
      </c>
      <c r="AL252" s="60" t="s">
        <v>645</v>
      </c>
      <c r="AM252" s="15">
        <f t="shared" si="32"/>
        <v>39</v>
      </c>
      <c r="AN252" s="15" t="str">
        <f t="shared" si="33"/>
        <v>中级神器1配件2</v>
      </c>
      <c r="AO252" s="15">
        <f>INDEX(芦花古楼!$BX$19:$BX$58,神器!AM252)</f>
        <v>40</v>
      </c>
      <c r="AP252" s="15" t="s">
        <v>88</v>
      </c>
      <c r="AQ252" s="15">
        <f t="shared" si="34"/>
        <v>32550</v>
      </c>
      <c r="AR252" s="15" t="s">
        <v>654</v>
      </c>
      <c r="AS252" s="15">
        <f t="shared" si="35"/>
        <v>264</v>
      </c>
    </row>
    <row r="253" spans="35:45" ht="16.5" x14ac:dyDescent="0.2">
      <c r="AI253" s="60">
        <v>240</v>
      </c>
      <c r="AJ253" s="15">
        <f t="shared" si="30"/>
        <v>1606008</v>
      </c>
      <c r="AK253" s="15" t="str">
        <f t="shared" si="31"/>
        <v>中级神器1配件2-文饰Lvs40</v>
      </c>
      <c r="AL253" s="60" t="s">
        <v>645</v>
      </c>
      <c r="AM253" s="15">
        <f t="shared" si="32"/>
        <v>40</v>
      </c>
      <c r="AN253" s="15" t="str">
        <f t="shared" si="33"/>
        <v>中级神器1配件2</v>
      </c>
      <c r="AO253" s="15">
        <f>INDEX(芦花古楼!$BX$19:$BX$58,神器!AM253)</f>
        <v>40</v>
      </c>
      <c r="AP253" s="15" t="s">
        <v>88</v>
      </c>
      <c r="AQ253" s="15">
        <f t="shared" si="34"/>
        <v>39060</v>
      </c>
      <c r="AR253" s="15" t="s">
        <v>654</v>
      </c>
      <c r="AS253" s="15">
        <f t="shared" si="35"/>
        <v>279</v>
      </c>
    </row>
    <row r="254" spans="35:45" ht="16.5" x14ac:dyDescent="0.2">
      <c r="AI254" s="60">
        <v>241</v>
      </c>
      <c r="AJ254" s="15">
        <f t="shared" si="30"/>
        <v>1606009</v>
      </c>
      <c r="AK254" s="15" t="str">
        <f t="shared" si="31"/>
        <v>中级神器1配件3-骨圈Lvs1</v>
      </c>
      <c r="AL254" s="60" t="s">
        <v>645</v>
      </c>
      <c r="AM254" s="15">
        <f t="shared" si="32"/>
        <v>1</v>
      </c>
      <c r="AN254" s="15" t="str">
        <f t="shared" si="33"/>
        <v>中级神器1配件3</v>
      </c>
      <c r="AO254" s="15">
        <f>INDEX(芦花古楼!$BX$19:$BX$58,神器!AM254)</f>
        <v>1</v>
      </c>
      <c r="AP254" s="15" t="s">
        <v>88</v>
      </c>
      <c r="AQ254" s="15">
        <f t="shared" si="34"/>
        <v>330</v>
      </c>
      <c r="AR254" s="15" t="s">
        <v>654</v>
      </c>
      <c r="AS254" s="15">
        <f t="shared" si="35"/>
        <v>13</v>
      </c>
    </row>
    <row r="255" spans="35:45" ht="16.5" x14ac:dyDescent="0.2">
      <c r="AI255" s="60">
        <v>242</v>
      </c>
      <c r="AJ255" s="15">
        <f t="shared" si="30"/>
        <v>1606009</v>
      </c>
      <c r="AK255" s="15" t="str">
        <f t="shared" si="31"/>
        <v>中级神器1配件3-骨圈Lvs2</v>
      </c>
      <c r="AL255" s="60" t="s">
        <v>645</v>
      </c>
      <c r="AM255" s="15">
        <f t="shared" si="32"/>
        <v>2</v>
      </c>
      <c r="AN255" s="15" t="str">
        <f t="shared" si="33"/>
        <v>中级神器1配件3</v>
      </c>
      <c r="AO255" s="15">
        <f>INDEX(芦花古楼!$BX$19:$BX$58,神器!AM255)</f>
        <v>1</v>
      </c>
      <c r="AP255" s="15" t="s">
        <v>88</v>
      </c>
      <c r="AQ255" s="15">
        <f t="shared" si="34"/>
        <v>500</v>
      </c>
      <c r="AR255" s="15" t="s">
        <v>654</v>
      </c>
      <c r="AS255" s="15">
        <f t="shared" si="35"/>
        <v>17</v>
      </c>
    </row>
    <row r="256" spans="35:45" ht="16.5" x14ac:dyDescent="0.2">
      <c r="AI256" s="60">
        <v>243</v>
      </c>
      <c r="AJ256" s="15">
        <f t="shared" si="30"/>
        <v>1606009</v>
      </c>
      <c r="AK256" s="15" t="str">
        <f t="shared" si="31"/>
        <v>中级神器1配件3-骨圈Lvs3</v>
      </c>
      <c r="AL256" s="60" t="s">
        <v>645</v>
      </c>
      <c r="AM256" s="15">
        <f t="shared" si="32"/>
        <v>3</v>
      </c>
      <c r="AN256" s="15" t="str">
        <f t="shared" si="33"/>
        <v>中级神器1配件3</v>
      </c>
      <c r="AO256" s="15">
        <f>INDEX(芦花古楼!$BX$19:$BX$58,神器!AM256)</f>
        <v>2</v>
      </c>
      <c r="AP256" s="15" t="s">
        <v>88</v>
      </c>
      <c r="AQ256" s="15">
        <f t="shared" si="34"/>
        <v>665</v>
      </c>
      <c r="AR256" s="15" t="s">
        <v>654</v>
      </c>
      <c r="AS256" s="15">
        <f t="shared" si="35"/>
        <v>21</v>
      </c>
    </row>
    <row r="257" spans="35:45" ht="16.5" x14ac:dyDescent="0.2">
      <c r="AI257" s="60">
        <v>244</v>
      </c>
      <c r="AJ257" s="15">
        <f t="shared" si="30"/>
        <v>1606009</v>
      </c>
      <c r="AK257" s="15" t="str">
        <f t="shared" si="31"/>
        <v>中级神器1配件3-骨圈Lvs4</v>
      </c>
      <c r="AL257" s="60" t="s">
        <v>645</v>
      </c>
      <c r="AM257" s="15">
        <f t="shared" si="32"/>
        <v>4</v>
      </c>
      <c r="AN257" s="15" t="str">
        <f t="shared" si="33"/>
        <v>中级神器1配件3</v>
      </c>
      <c r="AO257" s="15">
        <f>INDEX(芦花古楼!$BX$19:$BX$58,神器!AM257)</f>
        <v>3</v>
      </c>
      <c r="AP257" s="15" t="s">
        <v>88</v>
      </c>
      <c r="AQ257" s="15">
        <f t="shared" si="34"/>
        <v>835</v>
      </c>
      <c r="AR257" s="15" t="s">
        <v>654</v>
      </c>
      <c r="AS257" s="15">
        <f t="shared" si="35"/>
        <v>25</v>
      </c>
    </row>
    <row r="258" spans="35:45" ht="16.5" x14ac:dyDescent="0.2">
      <c r="AI258" s="60">
        <v>245</v>
      </c>
      <c r="AJ258" s="15">
        <f t="shared" si="30"/>
        <v>1606009</v>
      </c>
      <c r="AK258" s="15" t="str">
        <f t="shared" si="31"/>
        <v>中级神器1配件3-骨圈Lvs5</v>
      </c>
      <c r="AL258" s="60" t="s">
        <v>645</v>
      </c>
      <c r="AM258" s="15">
        <f t="shared" si="32"/>
        <v>5</v>
      </c>
      <c r="AN258" s="15" t="str">
        <f t="shared" si="33"/>
        <v>中级神器1配件3</v>
      </c>
      <c r="AO258" s="15">
        <f>INDEX(芦花古楼!$BX$19:$BX$58,神器!AM258)</f>
        <v>3</v>
      </c>
      <c r="AP258" s="15" t="s">
        <v>88</v>
      </c>
      <c r="AQ258" s="15">
        <f t="shared" si="34"/>
        <v>1000</v>
      </c>
      <c r="AR258" s="15" t="s">
        <v>654</v>
      </c>
      <c r="AS258" s="15">
        <f t="shared" si="35"/>
        <v>30</v>
      </c>
    </row>
    <row r="259" spans="35:45" ht="16.5" x14ac:dyDescent="0.2">
      <c r="AI259" s="60">
        <v>246</v>
      </c>
      <c r="AJ259" s="15">
        <f t="shared" si="30"/>
        <v>1606009</v>
      </c>
      <c r="AK259" s="15" t="str">
        <f t="shared" si="31"/>
        <v>中级神器1配件3-骨圈Lvs6</v>
      </c>
      <c r="AL259" s="60" t="s">
        <v>645</v>
      </c>
      <c r="AM259" s="15">
        <f t="shared" si="32"/>
        <v>6</v>
      </c>
      <c r="AN259" s="15" t="str">
        <f t="shared" si="33"/>
        <v>中级神器1配件3</v>
      </c>
      <c r="AO259" s="15">
        <f>INDEX(芦花古楼!$BX$19:$BX$58,神器!AM259)</f>
        <v>5</v>
      </c>
      <c r="AP259" s="15" t="s">
        <v>88</v>
      </c>
      <c r="AQ259" s="15">
        <f t="shared" si="34"/>
        <v>1170</v>
      </c>
      <c r="AR259" s="15" t="s">
        <v>654</v>
      </c>
      <c r="AS259" s="15">
        <f t="shared" si="35"/>
        <v>35</v>
      </c>
    </row>
    <row r="260" spans="35:45" ht="16.5" x14ac:dyDescent="0.2">
      <c r="AI260" s="60">
        <v>247</v>
      </c>
      <c r="AJ260" s="15">
        <f t="shared" si="30"/>
        <v>1606009</v>
      </c>
      <c r="AK260" s="15" t="str">
        <f t="shared" si="31"/>
        <v>中级神器1配件3-骨圈Lvs7</v>
      </c>
      <c r="AL260" s="60" t="s">
        <v>645</v>
      </c>
      <c r="AM260" s="15">
        <f t="shared" si="32"/>
        <v>7</v>
      </c>
      <c r="AN260" s="15" t="str">
        <f t="shared" si="33"/>
        <v>中级神器1配件3</v>
      </c>
      <c r="AO260" s="15">
        <f>INDEX(芦花古楼!$BX$19:$BX$58,神器!AM260)</f>
        <v>5</v>
      </c>
      <c r="AP260" s="15" t="s">
        <v>88</v>
      </c>
      <c r="AQ260" s="15">
        <f t="shared" si="34"/>
        <v>1335</v>
      </c>
      <c r="AR260" s="15" t="s">
        <v>654</v>
      </c>
      <c r="AS260" s="15">
        <f t="shared" si="35"/>
        <v>40</v>
      </c>
    </row>
    <row r="261" spans="35:45" ht="16.5" x14ac:dyDescent="0.2">
      <c r="AI261" s="60">
        <v>248</v>
      </c>
      <c r="AJ261" s="15">
        <f t="shared" si="30"/>
        <v>1606009</v>
      </c>
      <c r="AK261" s="15" t="str">
        <f t="shared" si="31"/>
        <v>中级神器1配件3-骨圈Lvs8</v>
      </c>
      <c r="AL261" s="60" t="s">
        <v>645</v>
      </c>
      <c r="AM261" s="15">
        <f t="shared" si="32"/>
        <v>8</v>
      </c>
      <c r="AN261" s="15" t="str">
        <f t="shared" si="33"/>
        <v>中级神器1配件3</v>
      </c>
      <c r="AO261" s="15">
        <f>INDEX(芦花古楼!$BX$19:$BX$58,神器!AM261)</f>
        <v>5</v>
      </c>
      <c r="AP261" s="15" t="s">
        <v>88</v>
      </c>
      <c r="AQ261" s="15">
        <f t="shared" si="34"/>
        <v>1505</v>
      </c>
      <c r="AR261" s="15" t="s">
        <v>654</v>
      </c>
      <c r="AS261" s="15">
        <f t="shared" si="35"/>
        <v>45</v>
      </c>
    </row>
    <row r="262" spans="35:45" ht="16.5" x14ac:dyDescent="0.2">
      <c r="AI262" s="60">
        <v>249</v>
      </c>
      <c r="AJ262" s="15">
        <f t="shared" si="30"/>
        <v>1606009</v>
      </c>
      <c r="AK262" s="15" t="str">
        <f t="shared" si="31"/>
        <v>中级神器1配件3-骨圈Lvs9</v>
      </c>
      <c r="AL262" s="60" t="s">
        <v>645</v>
      </c>
      <c r="AM262" s="15">
        <f t="shared" si="32"/>
        <v>9</v>
      </c>
      <c r="AN262" s="15" t="str">
        <f t="shared" si="33"/>
        <v>中级神器1配件3</v>
      </c>
      <c r="AO262" s="15">
        <f>INDEX(芦花古楼!$BX$19:$BX$58,神器!AM262)</f>
        <v>5</v>
      </c>
      <c r="AP262" s="15" t="s">
        <v>88</v>
      </c>
      <c r="AQ262" s="15">
        <f t="shared" si="34"/>
        <v>1670</v>
      </c>
      <c r="AR262" s="15" t="s">
        <v>654</v>
      </c>
      <c r="AS262" s="15">
        <f t="shared" si="35"/>
        <v>51</v>
      </c>
    </row>
    <row r="263" spans="35:45" ht="16.5" x14ac:dyDescent="0.2">
      <c r="AI263" s="60">
        <v>250</v>
      </c>
      <c r="AJ263" s="15">
        <f t="shared" si="30"/>
        <v>1606009</v>
      </c>
      <c r="AK263" s="15" t="str">
        <f t="shared" si="31"/>
        <v>中级神器1配件3-骨圈Lvs10</v>
      </c>
      <c r="AL263" s="60" t="s">
        <v>645</v>
      </c>
      <c r="AM263" s="15">
        <f t="shared" si="32"/>
        <v>10</v>
      </c>
      <c r="AN263" s="15" t="str">
        <f t="shared" si="33"/>
        <v>中级神器1配件3</v>
      </c>
      <c r="AO263" s="15">
        <f>INDEX(芦花古楼!$BX$19:$BX$58,神器!AM263)</f>
        <v>7</v>
      </c>
      <c r="AP263" s="15" t="s">
        <v>88</v>
      </c>
      <c r="AQ263" s="15">
        <f t="shared" si="34"/>
        <v>2005</v>
      </c>
      <c r="AR263" s="15" t="s">
        <v>654</v>
      </c>
      <c r="AS263" s="15">
        <f t="shared" si="35"/>
        <v>56</v>
      </c>
    </row>
    <row r="264" spans="35:45" ht="16.5" x14ac:dyDescent="0.2">
      <c r="AI264" s="60">
        <v>251</v>
      </c>
      <c r="AJ264" s="15">
        <f t="shared" si="30"/>
        <v>1606009</v>
      </c>
      <c r="AK264" s="15" t="str">
        <f t="shared" si="31"/>
        <v>中级神器1配件3-骨圈Lvs11</v>
      </c>
      <c r="AL264" s="60" t="s">
        <v>645</v>
      </c>
      <c r="AM264" s="15">
        <f t="shared" si="32"/>
        <v>11</v>
      </c>
      <c r="AN264" s="15" t="str">
        <f t="shared" si="33"/>
        <v>中级神器1配件3</v>
      </c>
      <c r="AO264" s="15">
        <f>INDEX(芦花古楼!$BX$19:$BX$58,神器!AM264)</f>
        <v>7</v>
      </c>
      <c r="AP264" s="15" t="s">
        <v>88</v>
      </c>
      <c r="AQ264" s="15">
        <f t="shared" si="34"/>
        <v>2520</v>
      </c>
      <c r="AR264" s="15" t="s">
        <v>654</v>
      </c>
      <c r="AS264" s="15">
        <f t="shared" si="35"/>
        <v>63</v>
      </c>
    </row>
    <row r="265" spans="35:45" ht="16.5" x14ac:dyDescent="0.2">
      <c r="AI265" s="60">
        <v>252</v>
      </c>
      <c r="AJ265" s="15">
        <f t="shared" si="30"/>
        <v>1606009</v>
      </c>
      <c r="AK265" s="15" t="str">
        <f t="shared" si="31"/>
        <v>中级神器1配件3-骨圈Lvs12</v>
      </c>
      <c r="AL265" s="60" t="s">
        <v>645</v>
      </c>
      <c r="AM265" s="15">
        <f t="shared" si="32"/>
        <v>12</v>
      </c>
      <c r="AN265" s="15" t="str">
        <f t="shared" si="33"/>
        <v>中级神器1配件3</v>
      </c>
      <c r="AO265" s="15">
        <f>INDEX(芦花古楼!$BX$19:$BX$58,神器!AM265)</f>
        <v>7</v>
      </c>
      <c r="AP265" s="15" t="s">
        <v>88</v>
      </c>
      <c r="AQ265" s="15">
        <f t="shared" si="34"/>
        <v>2940</v>
      </c>
      <c r="AR265" s="15" t="s">
        <v>654</v>
      </c>
      <c r="AS265" s="15">
        <f t="shared" si="35"/>
        <v>69</v>
      </c>
    </row>
    <row r="266" spans="35:45" ht="16.5" x14ac:dyDescent="0.2">
      <c r="AI266" s="60">
        <v>253</v>
      </c>
      <c r="AJ266" s="15">
        <f t="shared" si="30"/>
        <v>1606009</v>
      </c>
      <c r="AK266" s="15" t="str">
        <f t="shared" si="31"/>
        <v>中级神器1配件3-骨圈Lvs13</v>
      </c>
      <c r="AL266" s="60" t="s">
        <v>645</v>
      </c>
      <c r="AM266" s="15">
        <f t="shared" si="32"/>
        <v>13</v>
      </c>
      <c r="AN266" s="15" t="str">
        <f t="shared" si="33"/>
        <v>中级神器1配件3</v>
      </c>
      <c r="AO266" s="15">
        <f>INDEX(芦花古楼!$BX$19:$BX$58,神器!AM266)</f>
        <v>7</v>
      </c>
      <c r="AP266" s="15" t="s">
        <v>88</v>
      </c>
      <c r="AQ266" s="15">
        <f t="shared" si="34"/>
        <v>3360</v>
      </c>
      <c r="AR266" s="15" t="s">
        <v>654</v>
      </c>
      <c r="AS266" s="15">
        <f t="shared" si="35"/>
        <v>76</v>
      </c>
    </row>
    <row r="267" spans="35:45" ht="16.5" x14ac:dyDescent="0.2">
      <c r="AI267" s="60">
        <v>254</v>
      </c>
      <c r="AJ267" s="15">
        <f t="shared" si="30"/>
        <v>1606009</v>
      </c>
      <c r="AK267" s="15" t="str">
        <f t="shared" si="31"/>
        <v>中级神器1配件3-骨圈Lvs14</v>
      </c>
      <c r="AL267" s="60" t="s">
        <v>645</v>
      </c>
      <c r="AM267" s="15">
        <f t="shared" si="32"/>
        <v>14</v>
      </c>
      <c r="AN267" s="15" t="str">
        <f t="shared" si="33"/>
        <v>中级神器1配件3</v>
      </c>
      <c r="AO267" s="15">
        <f>INDEX(芦花古楼!$BX$19:$BX$58,神器!AM267)</f>
        <v>7</v>
      </c>
      <c r="AP267" s="15" t="s">
        <v>88</v>
      </c>
      <c r="AQ267" s="15">
        <f t="shared" si="34"/>
        <v>3780</v>
      </c>
      <c r="AR267" s="15" t="s">
        <v>654</v>
      </c>
      <c r="AS267" s="15">
        <f t="shared" si="35"/>
        <v>83</v>
      </c>
    </row>
    <row r="268" spans="35:45" ht="16.5" x14ac:dyDescent="0.2">
      <c r="AI268" s="60">
        <v>255</v>
      </c>
      <c r="AJ268" s="15">
        <f t="shared" si="30"/>
        <v>1606009</v>
      </c>
      <c r="AK268" s="15" t="str">
        <f t="shared" si="31"/>
        <v>中级神器1配件3-骨圈Lvs15</v>
      </c>
      <c r="AL268" s="60" t="s">
        <v>645</v>
      </c>
      <c r="AM268" s="15">
        <f t="shared" si="32"/>
        <v>15</v>
      </c>
      <c r="AN268" s="15" t="str">
        <f t="shared" si="33"/>
        <v>中级神器1配件3</v>
      </c>
      <c r="AO268" s="15">
        <f>INDEX(芦花古楼!$BX$19:$BX$58,神器!AM268)</f>
        <v>10</v>
      </c>
      <c r="AP268" s="15" t="s">
        <v>88</v>
      </c>
      <c r="AQ268" s="15">
        <f t="shared" si="34"/>
        <v>4200</v>
      </c>
      <c r="AR268" s="15" t="s">
        <v>654</v>
      </c>
      <c r="AS268" s="15">
        <f t="shared" si="35"/>
        <v>90</v>
      </c>
    </row>
    <row r="269" spans="35:45" ht="16.5" x14ac:dyDescent="0.2">
      <c r="AI269" s="60">
        <v>256</v>
      </c>
      <c r="AJ269" s="15">
        <f t="shared" si="30"/>
        <v>1606009</v>
      </c>
      <c r="AK269" s="15" t="str">
        <f t="shared" si="31"/>
        <v>中级神器1配件3-骨圈Lvs16</v>
      </c>
      <c r="AL269" s="60" t="s">
        <v>645</v>
      </c>
      <c r="AM269" s="15">
        <f t="shared" si="32"/>
        <v>16</v>
      </c>
      <c r="AN269" s="15" t="str">
        <f t="shared" si="33"/>
        <v>中级神器1配件3</v>
      </c>
      <c r="AO269" s="15">
        <f>INDEX(芦花古楼!$BX$19:$BX$58,神器!AM269)</f>
        <v>10</v>
      </c>
      <c r="AP269" s="15" t="s">
        <v>88</v>
      </c>
      <c r="AQ269" s="15">
        <f t="shared" si="34"/>
        <v>4620</v>
      </c>
      <c r="AR269" s="15" t="s">
        <v>654</v>
      </c>
      <c r="AS269" s="15">
        <f t="shared" si="35"/>
        <v>98</v>
      </c>
    </row>
    <row r="270" spans="35:45" ht="16.5" x14ac:dyDescent="0.2">
      <c r="AI270" s="60">
        <v>257</v>
      </c>
      <c r="AJ270" s="15">
        <f t="shared" si="30"/>
        <v>1606009</v>
      </c>
      <c r="AK270" s="15" t="str">
        <f t="shared" si="31"/>
        <v>中级神器1配件3-骨圈Lvs17</v>
      </c>
      <c r="AL270" s="60" t="s">
        <v>645</v>
      </c>
      <c r="AM270" s="15">
        <f t="shared" si="32"/>
        <v>17</v>
      </c>
      <c r="AN270" s="15" t="str">
        <f t="shared" si="33"/>
        <v>中级神器1配件3</v>
      </c>
      <c r="AO270" s="15">
        <f>INDEX(芦花古楼!$BX$19:$BX$58,神器!AM270)</f>
        <v>10</v>
      </c>
      <c r="AP270" s="15" t="s">
        <v>88</v>
      </c>
      <c r="AQ270" s="15">
        <f t="shared" si="34"/>
        <v>5040</v>
      </c>
      <c r="AR270" s="15" t="s">
        <v>654</v>
      </c>
      <c r="AS270" s="15">
        <f t="shared" si="35"/>
        <v>107</v>
      </c>
    </row>
    <row r="271" spans="35:45" ht="16.5" x14ac:dyDescent="0.2">
      <c r="AI271" s="60">
        <v>258</v>
      </c>
      <c r="AJ271" s="15">
        <f t="shared" ref="AJ271:AJ334" si="36">INDEX($AC$4:$AC$33,INT((AI271-1)/40)+1)</f>
        <v>1606009</v>
      </c>
      <c r="AK271" s="15" t="str">
        <f t="shared" ref="AK271:AK334" si="37">INDEX($AF$4:$AF$33,INT((AI271-1)/40)+1)&amp;AL271&amp;AM271</f>
        <v>中级神器1配件3-骨圈Lvs18</v>
      </c>
      <c r="AL271" s="60" t="s">
        <v>645</v>
      </c>
      <c r="AM271" s="15">
        <f t="shared" ref="AM271:AM334" si="38">MOD(AI271-1,40)+1</f>
        <v>18</v>
      </c>
      <c r="AN271" s="15" t="str">
        <f t="shared" ref="AN271:AN334" si="39">INDEX($AD$4:$AD$33,INT((AI271-1)/40)+1)</f>
        <v>中级神器1配件3</v>
      </c>
      <c r="AO271" s="15">
        <f>INDEX(芦花古楼!$BX$19:$BX$58,神器!AM271)</f>
        <v>10</v>
      </c>
      <c r="AP271" s="15" t="s">
        <v>88</v>
      </c>
      <c r="AQ271" s="15">
        <f t="shared" ref="AQ271:AQ334" si="40">INDEX($F$14:$L$53,AM271,INDEX($AB$4:$AB$33,INT((AI271-1)/40)+1))</f>
        <v>5460</v>
      </c>
      <c r="AR271" s="15" t="s">
        <v>654</v>
      </c>
      <c r="AS271" s="15">
        <f t="shared" ref="AS271:AS334" si="41">INDEX($P$14:$V$53,AM271,INDEX($AB$4:$AB$33,INT((AI271-1)/40)+1))</f>
        <v>115</v>
      </c>
    </row>
    <row r="272" spans="35:45" ht="16.5" x14ac:dyDescent="0.2">
      <c r="AI272" s="60">
        <v>259</v>
      </c>
      <c r="AJ272" s="15">
        <f t="shared" si="36"/>
        <v>1606009</v>
      </c>
      <c r="AK272" s="15" t="str">
        <f t="shared" si="37"/>
        <v>中级神器1配件3-骨圈Lvs19</v>
      </c>
      <c r="AL272" s="60" t="s">
        <v>645</v>
      </c>
      <c r="AM272" s="15">
        <f t="shared" si="38"/>
        <v>19</v>
      </c>
      <c r="AN272" s="15" t="str">
        <f t="shared" si="39"/>
        <v>中级神器1配件3</v>
      </c>
      <c r="AO272" s="15">
        <f>INDEX(芦花古楼!$BX$19:$BX$58,神器!AM272)</f>
        <v>10</v>
      </c>
      <c r="AP272" s="15" t="s">
        <v>88</v>
      </c>
      <c r="AQ272" s="15">
        <f t="shared" si="40"/>
        <v>5880</v>
      </c>
      <c r="AR272" s="15" t="s">
        <v>654</v>
      </c>
      <c r="AS272" s="15">
        <f t="shared" si="41"/>
        <v>124</v>
      </c>
    </row>
    <row r="273" spans="35:45" ht="16.5" x14ac:dyDescent="0.2">
      <c r="AI273" s="60">
        <v>260</v>
      </c>
      <c r="AJ273" s="15">
        <f t="shared" si="36"/>
        <v>1606009</v>
      </c>
      <c r="AK273" s="15" t="str">
        <f t="shared" si="37"/>
        <v>中级神器1配件3-骨圈Lvs20</v>
      </c>
      <c r="AL273" s="60" t="s">
        <v>645</v>
      </c>
      <c r="AM273" s="15">
        <f t="shared" si="38"/>
        <v>20</v>
      </c>
      <c r="AN273" s="15" t="str">
        <f t="shared" si="39"/>
        <v>中级神器1配件3</v>
      </c>
      <c r="AO273" s="15">
        <f>INDEX(芦花古楼!$BX$19:$BX$58,神器!AM273)</f>
        <v>10</v>
      </c>
      <c r="AP273" s="15" t="s">
        <v>88</v>
      </c>
      <c r="AQ273" s="15">
        <f t="shared" si="40"/>
        <v>6720</v>
      </c>
      <c r="AR273" s="15" t="s">
        <v>654</v>
      </c>
      <c r="AS273" s="15">
        <f t="shared" si="41"/>
        <v>134</v>
      </c>
    </row>
    <row r="274" spans="35:45" ht="16.5" x14ac:dyDescent="0.2">
      <c r="AI274" s="60">
        <v>261</v>
      </c>
      <c r="AJ274" s="15">
        <f t="shared" si="36"/>
        <v>1606009</v>
      </c>
      <c r="AK274" s="15" t="str">
        <f t="shared" si="37"/>
        <v>中级神器1配件3-骨圈Lvs21</v>
      </c>
      <c r="AL274" s="60" t="s">
        <v>645</v>
      </c>
      <c r="AM274" s="15">
        <f t="shared" si="38"/>
        <v>21</v>
      </c>
      <c r="AN274" s="15" t="str">
        <f t="shared" si="39"/>
        <v>中级神器1配件3</v>
      </c>
      <c r="AO274" s="15">
        <f>INDEX(芦花古楼!$BX$19:$BX$58,神器!AM274)</f>
        <v>15</v>
      </c>
      <c r="AP274" s="15" t="s">
        <v>88</v>
      </c>
      <c r="AQ274" s="15">
        <f t="shared" si="40"/>
        <v>7420</v>
      </c>
      <c r="AR274" s="15" t="s">
        <v>654</v>
      </c>
      <c r="AS274" s="15">
        <f t="shared" si="41"/>
        <v>144</v>
      </c>
    </row>
    <row r="275" spans="35:45" ht="16.5" x14ac:dyDescent="0.2">
      <c r="AI275" s="60">
        <v>262</v>
      </c>
      <c r="AJ275" s="15">
        <f t="shared" si="36"/>
        <v>1606009</v>
      </c>
      <c r="AK275" s="15" t="str">
        <f t="shared" si="37"/>
        <v>中级神器1配件3-骨圈Lvs22</v>
      </c>
      <c r="AL275" s="60" t="s">
        <v>645</v>
      </c>
      <c r="AM275" s="15">
        <f t="shared" si="38"/>
        <v>22</v>
      </c>
      <c r="AN275" s="15" t="str">
        <f t="shared" si="39"/>
        <v>中级神器1配件3</v>
      </c>
      <c r="AO275" s="15">
        <f>INDEX(芦花古楼!$BX$19:$BX$58,神器!AM275)</f>
        <v>15</v>
      </c>
      <c r="AP275" s="15" t="s">
        <v>88</v>
      </c>
      <c r="AQ275" s="15">
        <f t="shared" si="40"/>
        <v>7790</v>
      </c>
      <c r="AR275" s="15" t="s">
        <v>654</v>
      </c>
      <c r="AS275" s="15">
        <f t="shared" si="41"/>
        <v>154</v>
      </c>
    </row>
    <row r="276" spans="35:45" ht="16.5" x14ac:dyDescent="0.2">
      <c r="AI276" s="60">
        <v>263</v>
      </c>
      <c r="AJ276" s="15">
        <f t="shared" si="36"/>
        <v>1606009</v>
      </c>
      <c r="AK276" s="15" t="str">
        <f t="shared" si="37"/>
        <v>中级神器1配件3-骨圈Lvs23</v>
      </c>
      <c r="AL276" s="60" t="s">
        <v>645</v>
      </c>
      <c r="AM276" s="15">
        <f t="shared" si="38"/>
        <v>23</v>
      </c>
      <c r="AN276" s="15" t="str">
        <f t="shared" si="39"/>
        <v>中级神器1配件3</v>
      </c>
      <c r="AO276" s="15">
        <f>INDEX(芦花古楼!$BX$19:$BX$58,神器!AM276)</f>
        <v>15</v>
      </c>
      <c r="AP276" s="15" t="s">
        <v>88</v>
      </c>
      <c r="AQ276" s="15">
        <f t="shared" si="40"/>
        <v>8160</v>
      </c>
      <c r="AR276" s="15" t="s">
        <v>654</v>
      </c>
      <c r="AS276" s="15">
        <f t="shared" si="41"/>
        <v>166</v>
      </c>
    </row>
    <row r="277" spans="35:45" ht="16.5" x14ac:dyDescent="0.2">
      <c r="AI277" s="60">
        <v>264</v>
      </c>
      <c r="AJ277" s="15">
        <f t="shared" si="36"/>
        <v>1606009</v>
      </c>
      <c r="AK277" s="15" t="str">
        <f t="shared" si="37"/>
        <v>中级神器1配件3-骨圈Lvs24</v>
      </c>
      <c r="AL277" s="60" t="s">
        <v>645</v>
      </c>
      <c r="AM277" s="15">
        <f t="shared" si="38"/>
        <v>24</v>
      </c>
      <c r="AN277" s="15" t="str">
        <f t="shared" si="39"/>
        <v>中级神器1配件3</v>
      </c>
      <c r="AO277" s="15">
        <f>INDEX(芦花古楼!$BX$19:$BX$58,神器!AM277)</f>
        <v>15</v>
      </c>
      <c r="AP277" s="15" t="s">
        <v>88</v>
      </c>
      <c r="AQ277" s="15">
        <f t="shared" si="40"/>
        <v>8535</v>
      </c>
      <c r="AR277" s="15" t="s">
        <v>654</v>
      </c>
      <c r="AS277" s="15">
        <f t="shared" si="41"/>
        <v>177</v>
      </c>
    </row>
    <row r="278" spans="35:45" ht="16.5" x14ac:dyDescent="0.2">
      <c r="AI278" s="60">
        <v>265</v>
      </c>
      <c r="AJ278" s="15">
        <f t="shared" si="36"/>
        <v>1606009</v>
      </c>
      <c r="AK278" s="15" t="str">
        <f t="shared" si="37"/>
        <v>中级神器1配件3-骨圈Lvs25</v>
      </c>
      <c r="AL278" s="60" t="s">
        <v>645</v>
      </c>
      <c r="AM278" s="15">
        <f t="shared" si="38"/>
        <v>25</v>
      </c>
      <c r="AN278" s="15" t="str">
        <f t="shared" si="39"/>
        <v>中级神器1配件3</v>
      </c>
      <c r="AO278" s="15">
        <f>INDEX(芦花古楼!$BX$19:$BX$58,神器!AM278)</f>
        <v>15</v>
      </c>
      <c r="AP278" s="15" t="s">
        <v>88</v>
      </c>
      <c r="AQ278" s="15">
        <f t="shared" si="40"/>
        <v>8905</v>
      </c>
      <c r="AR278" s="15" t="s">
        <v>654</v>
      </c>
      <c r="AS278" s="15">
        <f t="shared" si="41"/>
        <v>189</v>
      </c>
    </row>
    <row r="279" spans="35:45" ht="16.5" x14ac:dyDescent="0.2">
      <c r="AI279" s="60">
        <v>266</v>
      </c>
      <c r="AJ279" s="15">
        <f t="shared" si="36"/>
        <v>1606009</v>
      </c>
      <c r="AK279" s="15" t="str">
        <f t="shared" si="37"/>
        <v>中级神器1配件3-骨圈Lvs26</v>
      </c>
      <c r="AL279" s="60" t="s">
        <v>645</v>
      </c>
      <c r="AM279" s="15">
        <f t="shared" si="38"/>
        <v>26</v>
      </c>
      <c r="AN279" s="15" t="str">
        <f t="shared" si="39"/>
        <v>中级神器1配件3</v>
      </c>
      <c r="AO279" s="15">
        <f>INDEX(芦花古楼!$BX$19:$BX$58,神器!AM279)</f>
        <v>25</v>
      </c>
      <c r="AP279" s="15" t="s">
        <v>88</v>
      </c>
      <c r="AQ279" s="15">
        <f t="shared" si="40"/>
        <v>9275</v>
      </c>
      <c r="AR279" s="15" t="s">
        <v>654</v>
      </c>
      <c r="AS279" s="15">
        <f t="shared" si="41"/>
        <v>202</v>
      </c>
    </row>
    <row r="280" spans="35:45" ht="16.5" x14ac:dyDescent="0.2">
      <c r="AI280" s="60">
        <v>267</v>
      </c>
      <c r="AJ280" s="15">
        <f t="shared" si="36"/>
        <v>1606009</v>
      </c>
      <c r="AK280" s="15" t="str">
        <f t="shared" si="37"/>
        <v>中级神器1配件3-骨圈Lvs27</v>
      </c>
      <c r="AL280" s="60" t="s">
        <v>645</v>
      </c>
      <c r="AM280" s="15">
        <f t="shared" si="38"/>
        <v>27</v>
      </c>
      <c r="AN280" s="15" t="str">
        <f t="shared" si="39"/>
        <v>中级神器1配件3</v>
      </c>
      <c r="AO280" s="15">
        <f>INDEX(芦花古楼!$BX$19:$BX$58,神器!AM280)</f>
        <v>25</v>
      </c>
      <c r="AP280" s="15" t="s">
        <v>88</v>
      </c>
      <c r="AQ280" s="15">
        <f t="shared" si="40"/>
        <v>9645</v>
      </c>
      <c r="AR280" s="15" t="s">
        <v>654</v>
      </c>
      <c r="AS280" s="15">
        <f t="shared" si="41"/>
        <v>216</v>
      </c>
    </row>
    <row r="281" spans="35:45" ht="16.5" x14ac:dyDescent="0.2">
      <c r="AI281" s="60">
        <v>268</v>
      </c>
      <c r="AJ281" s="15">
        <f t="shared" si="36"/>
        <v>1606009</v>
      </c>
      <c r="AK281" s="15" t="str">
        <f t="shared" si="37"/>
        <v>中级神器1配件3-骨圈Lvs28</v>
      </c>
      <c r="AL281" s="60" t="s">
        <v>645</v>
      </c>
      <c r="AM281" s="15">
        <f t="shared" si="38"/>
        <v>28</v>
      </c>
      <c r="AN281" s="15" t="str">
        <f t="shared" si="39"/>
        <v>中级神器1配件3</v>
      </c>
      <c r="AO281" s="15">
        <f>INDEX(芦花古楼!$BX$19:$BX$58,神器!AM281)</f>
        <v>25</v>
      </c>
      <c r="AP281" s="15" t="s">
        <v>88</v>
      </c>
      <c r="AQ281" s="15">
        <f t="shared" si="40"/>
        <v>10015</v>
      </c>
      <c r="AR281" s="15" t="s">
        <v>654</v>
      </c>
      <c r="AS281" s="15">
        <f t="shared" si="41"/>
        <v>230</v>
      </c>
    </row>
    <row r="282" spans="35:45" ht="16.5" x14ac:dyDescent="0.2">
      <c r="AI282" s="60">
        <v>269</v>
      </c>
      <c r="AJ282" s="15">
        <f t="shared" si="36"/>
        <v>1606009</v>
      </c>
      <c r="AK282" s="15" t="str">
        <f t="shared" si="37"/>
        <v>中级神器1配件3-骨圈Lvs29</v>
      </c>
      <c r="AL282" s="60" t="s">
        <v>645</v>
      </c>
      <c r="AM282" s="15">
        <f t="shared" si="38"/>
        <v>29</v>
      </c>
      <c r="AN282" s="15" t="str">
        <f t="shared" si="39"/>
        <v>中级神器1配件3</v>
      </c>
      <c r="AO282" s="15">
        <f>INDEX(芦花古楼!$BX$19:$BX$58,神器!AM282)</f>
        <v>25</v>
      </c>
      <c r="AP282" s="15" t="s">
        <v>88</v>
      </c>
      <c r="AQ282" s="15">
        <f t="shared" si="40"/>
        <v>10390</v>
      </c>
      <c r="AR282" s="15" t="s">
        <v>654</v>
      </c>
      <c r="AS282" s="15">
        <f t="shared" si="41"/>
        <v>244</v>
      </c>
    </row>
    <row r="283" spans="35:45" ht="16.5" x14ac:dyDescent="0.2">
      <c r="AI283" s="60">
        <v>270</v>
      </c>
      <c r="AJ283" s="15">
        <f t="shared" si="36"/>
        <v>1606009</v>
      </c>
      <c r="AK283" s="15" t="str">
        <f t="shared" si="37"/>
        <v>中级神器1配件3-骨圈Lvs30</v>
      </c>
      <c r="AL283" s="60" t="s">
        <v>645</v>
      </c>
      <c r="AM283" s="15">
        <f t="shared" si="38"/>
        <v>30</v>
      </c>
      <c r="AN283" s="15" t="str">
        <f t="shared" si="39"/>
        <v>中级神器1配件3</v>
      </c>
      <c r="AO283" s="15">
        <f>INDEX(芦花古楼!$BX$19:$BX$58,神器!AM283)</f>
        <v>25</v>
      </c>
      <c r="AP283" s="15" t="s">
        <v>88</v>
      </c>
      <c r="AQ283" s="15">
        <f t="shared" si="40"/>
        <v>11130</v>
      </c>
      <c r="AR283" s="15" t="s">
        <v>654</v>
      </c>
      <c r="AS283" s="15">
        <f t="shared" si="41"/>
        <v>260</v>
      </c>
    </row>
    <row r="284" spans="35:45" ht="16.5" x14ac:dyDescent="0.2">
      <c r="AI284" s="60">
        <v>271</v>
      </c>
      <c r="AJ284" s="15">
        <f t="shared" si="36"/>
        <v>1606009</v>
      </c>
      <c r="AK284" s="15" t="str">
        <f t="shared" si="37"/>
        <v>中级神器1配件3-骨圈Lvs31</v>
      </c>
      <c r="AL284" s="60" t="s">
        <v>645</v>
      </c>
      <c r="AM284" s="15">
        <f t="shared" si="38"/>
        <v>31</v>
      </c>
      <c r="AN284" s="15" t="str">
        <f t="shared" si="39"/>
        <v>中级神器1配件3</v>
      </c>
      <c r="AO284" s="15">
        <f>INDEX(芦花古楼!$BX$19:$BX$58,神器!AM284)</f>
        <v>30</v>
      </c>
      <c r="AP284" s="15" t="s">
        <v>88</v>
      </c>
      <c r="AQ284" s="15">
        <f t="shared" si="40"/>
        <v>10850</v>
      </c>
      <c r="AR284" s="15" t="s">
        <v>654</v>
      </c>
      <c r="AS284" s="15">
        <f t="shared" si="41"/>
        <v>276</v>
      </c>
    </row>
    <row r="285" spans="35:45" ht="16.5" x14ac:dyDescent="0.2">
      <c r="AI285" s="60">
        <v>272</v>
      </c>
      <c r="AJ285" s="15">
        <f t="shared" si="36"/>
        <v>1606009</v>
      </c>
      <c r="AK285" s="15" t="str">
        <f t="shared" si="37"/>
        <v>中级神器1配件3-骨圈Lvs32</v>
      </c>
      <c r="AL285" s="60" t="s">
        <v>645</v>
      </c>
      <c r="AM285" s="15">
        <f t="shared" si="38"/>
        <v>32</v>
      </c>
      <c r="AN285" s="15" t="str">
        <f t="shared" si="39"/>
        <v>中级神器1配件3</v>
      </c>
      <c r="AO285" s="15">
        <f>INDEX(芦花古楼!$BX$19:$BX$58,神器!AM285)</f>
        <v>30</v>
      </c>
      <c r="AP285" s="15" t="s">
        <v>88</v>
      </c>
      <c r="AQ285" s="15">
        <f t="shared" si="40"/>
        <v>16275</v>
      </c>
      <c r="AR285" s="15" t="s">
        <v>654</v>
      </c>
      <c r="AS285" s="15">
        <f t="shared" si="41"/>
        <v>293</v>
      </c>
    </row>
    <row r="286" spans="35:45" ht="16.5" x14ac:dyDescent="0.2">
      <c r="AI286" s="60">
        <v>273</v>
      </c>
      <c r="AJ286" s="15">
        <f t="shared" si="36"/>
        <v>1606009</v>
      </c>
      <c r="AK286" s="15" t="str">
        <f t="shared" si="37"/>
        <v>中级神器1配件3-骨圈Lvs33</v>
      </c>
      <c r="AL286" s="60" t="s">
        <v>645</v>
      </c>
      <c r="AM286" s="15">
        <f t="shared" si="38"/>
        <v>33</v>
      </c>
      <c r="AN286" s="15" t="str">
        <f t="shared" si="39"/>
        <v>中级神器1配件3</v>
      </c>
      <c r="AO286" s="15">
        <f>INDEX(芦花古楼!$BX$19:$BX$58,神器!AM286)</f>
        <v>30</v>
      </c>
      <c r="AP286" s="15" t="s">
        <v>88</v>
      </c>
      <c r="AQ286" s="15">
        <f t="shared" si="40"/>
        <v>21700</v>
      </c>
      <c r="AR286" s="15" t="s">
        <v>654</v>
      </c>
      <c r="AS286" s="15">
        <f t="shared" si="41"/>
        <v>312</v>
      </c>
    </row>
    <row r="287" spans="35:45" ht="16.5" x14ac:dyDescent="0.2">
      <c r="AI287" s="60">
        <v>274</v>
      </c>
      <c r="AJ287" s="15">
        <f t="shared" si="36"/>
        <v>1606009</v>
      </c>
      <c r="AK287" s="15" t="str">
        <f t="shared" si="37"/>
        <v>中级神器1配件3-骨圈Lvs34</v>
      </c>
      <c r="AL287" s="60" t="s">
        <v>645</v>
      </c>
      <c r="AM287" s="15">
        <f t="shared" si="38"/>
        <v>34</v>
      </c>
      <c r="AN287" s="15" t="str">
        <f t="shared" si="39"/>
        <v>中级神器1配件3</v>
      </c>
      <c r="AO287" s="15">
        <f>INDEX(芦花古楼!$BX$19:$BX$58,神器!AM287)</f>
        <v>30</v>
      </c>
      <c r="AP287" s="15" t="s">
        <v>88</v>
      </c>
      <c r="AQ287" s="15">
        <f t="shared" si="40"/>
        <v>27125</v>
      </c>
      <c r="AR287" s="15" t="s">
        <v>654</v>
      </c>
      <c r="AS287" s="15">
        <f t="shared" si="41"/>
        <v>330</v>
      </c>
    </row>
    <row r="288" spans="35:45" ht="16.5" x14ac:dyDescent="0.2">
      <c r="AI288" s="60">
        <v>275</v>
      </c>
      <c r="AJ288" s="15">
        <f t="shared" si="36"/>
        <v>1606009</v>
      </c>
      <c r="AK288" s="15" t="str">
        <f t="shared" si="37"/>
        <v>中级神器1配件3-骨圈Lvs35</v>
      </c>
      <c r="AL288" s="60" t="s">
        <v>645</v>
      </c>
      <c r="AM288" s="15">
        <f t="shared" si="38"/>
        <v>35</v>
      </c>
      <c r="AN288" s="15" t="str">
        <f t="shared" si="39"/>
        <v>中级神器1配件3</v>
      </c>
      <c r="AO288" s="15">
        <f>INDEX(芦花古楼!$BX$19:$BX$58,神器!AM288)</f>
        <v>30</v>
      </c>
      <c r="AP288" s="15" t="s">
        <v>88</v>
      </c>
      <c r="AQ288" s="15">
        <f t="shared" si="40"/>
        <v>32550</v>
      </c>
      <c r="AR288" s="15" t="s">
        <v>654</v>
      </c>
      <c r="AS288" s="15">
        <f t="shared" si="41"/>
        <v>350</v>
      </c>
    </row>
    <row r="289" spans="35:45" ht="16.5" x14ac:dyDescent="0.2">
      <c r="AI289" s="60">
        <v>276</v>
      </c>
      <c r="AJ289" s="15">
        <f t="shared" si="36"/>
        <v>1606009</v>
      </c>
      <c r="AK289" s="15" t="str">
        <f t="shared" si="37"/>
        <v>中级神器1配件3-骨圈Lvs36</v>
      </c>
      <c r="AL289" s="60" t="s">
        <v>645</v>
      </c>
      <c r="AM289" s="15">
        <f t="shared" si="38"/>
        <v>36</v>
      </c>
      <c r="AN289" s="15" t="str">
        <f t="shared" si="39"/>
        <v>中级神器1配件3</v>
      </c>
      <c r="AO289" s="15">
        <f>INDEX(芦花古楼!$BX$19:$BX$58,神器!AM289)</f>
        <v>40</v>
      </c>
      <c r="AP289" s="15" t="s">
        <v>88</v>
      </c>
      <c r="AQ289" s="15">
        <f t="shared" si="40"/>
        <v>37975</v>
      </c>
      <c r="AR289" s="15" t="s">
        <v>654</v>
      </c>
      <c r="AS289" s="15">
        <f t="shared" si="41"/>
        <v>371</v>
      </c>
    </row>
    <row r="290" spans="35:45" ht="16.5" x14ac:dyDescent="0.2">
      <c r="AI290" s="60">
        <v>277</v>
      </c>
      <c r="AJ290" s="15">
        <f t="shared" si="36"/>
        <v>1606009</v>
      </c>
      <c r="AK290" s="15" t="str">
        <f t="shared" si="37"/>
        <v>中级神器1配件3-骨圈Lvs37</v>
      </c>
      <c r="AL290" s="60" t="s">
        <v>645</v>
      </c>
      <c r="AM290" s="15">
        <f t="shared" si="38"/>
        <v>37</v>
      </c>
      <c r="AN290" s="15" t="str">
        <f t="shared" si="39"/>
        <v>中级神器1配件3</v>
      </c>
      <c r="AO290" s="15">
        <f>INDEX(芦花古楼!$BX$19:$BX$58,神器!AM290)</f>
        <v>40</v>
      </c>
      <c r="AP290" s="15" t="s">
        <v>88</v>
      </c>
      <c r="AQ290" s="15">
        <f t="shared" si="40"/>
        <v>43400</v>
      </c>
      <c r="AR290" s="15" t="s">
        <v>654</v>
      </c>
      <c r="AS290" s="15">
        <f t="shared" si="41"/>
        <v>393</v>
      </c>
    </row>
    <row r="291" spans="35:45" ht="16.5" x14ac:dyDescent="0.2">
      <c r="AI291" s="60">
        <v>278</v>
      </c>
      <c r="AJ291" s="15">
        <f t="shared" si="36"/>
        <v>1606009</v>
      </c>
      <c r="AK291" s="15" t="str">
        <f t="shared" si="37"/>
        <v>中级神器1配件3-骨圈Lvs38</v>
      </c>
      <c r="AL291" s="60" t="s">
        <v>645</v>
      </c>
      <c r="AM291" s="15">
        <f t="shared" si="38"/>
        <v>38</v>
      </c>
      <c r="AN291" s="15" t="str">
        <f t="shared" si="39"/>
        <v>中级神器1配件3</v>
      </c>
      <c r="AO291" s="15">
        <f>INDEX(芦花古楼!$BX$19:$BX$58,神器!AM291)</f>
        <v>40</v>
      </c>
      <c r="AP291" s="15" t="s">
        <v>88</v>
      </c>
      <c r="AQ291" s="15">
        <f t="shared" si="40"/>
        <v>48825</v>
      </c>
      <c r="AR291" s="15" t="s">
        <v>654</v>
      </c>
      <c r="AS291" s="15">
        <f t="shared" si="41"/>
        <v>416</v>
      </c>
    </row>
    <row r="292" spans="35:45" ht="16.5" x14ac:dyDescent="0.2">
      <c r="AI292" s="60">
        <v>279</v>
      </c>
      <c r="AJ292" s="15">
        <f t="shared" si="36"/>
        <v>1606009</v>
      </c>
      <c r="AK292" s="15" t="str">
        <f t="shared" si="37"/>
        <v>中级神器1配件3-骨圈Lvs39</v>
      </c>
      <c r="AL292" s="60" t="s">
        <v>645</v>
      </c>
      <c r="AM292" s="15">
        <f t="shared" si="38"/>
        <v>39</v>
      </c>
      <c r="AN292" s="15" t="str">
        <f t="shared" si="39"/>
        <v>中级神器1配件3</v>
      </c>
      <c r="AO292" s="15">
        <f>INDEX(芦花古楼!$BX$19:$BX$58,神器!AM292)</f>
        <v>40</v>
      </c>
      <c r="AP292" s="15" t="s">
        <v>88</v>
      </c>
      <c r="AQ292" s="15">
        <f t="shared" si="40"/>
        <v>54250</v>
      </c>
      <c r="AR292" s="15" t="s">
        <v>654</v>
      </c>
      <c r="AS292" s="15">
        <f t="shared" si="41"/>
        <v>440</v>
      </c>
    </row>
    <row r="293" spans="35:45" ht="16.5" x14ac:dyDescent="0.2">
      <c r="AI293" s="60">
        <v>280</v>
      </c>
      <c r="AJ293" s="15">
        <f t="shared" si="36"/>
        <v>1606009</v>
      </c>
      <c r="AK293" s="15" t="str">
        <f t="shared" si="37"/>
        <v>中级神器1配件3-骨圈Lvs40</v>
      </c>
      <c r="AL293" s="60" t="s">
        <v>645</v>
      </c>
      <c r="AM293" s="15">
        <f t="shared" si="38"/>
        <v>40</v>
      </c>
      <c r="AN293" s="15" t="str">
        <f t="shared" si="39"/>
        <v>中级神器1配件3</v>
      </c>
      <c r="AO293" s="15">
        <f>INDEX(芦花古楼!$BX$19:$BX$58,神器!AM293)</f>
        <v>40</v>
      </c>
      <c r="AP293" s="15" t="s">
        <v>88</v>
      </c>
      <c r="AQ293" s="15">
        <f t="shared" si="40"/>
        <v>65100</v>
      </c>
      <c r="AR293" s="15" t="s">
        <v>654</v>
      </c>
      <c r="AS293" s="15">
        <f t="shared" si="41"/>
        <v>465</v>
      </c>
    </row>
    <row r="294" spans="35:45" ht="16.5" x14ac:dyDescent="0.2">
      <c r="AI294" s="60">
        <v>281</v>
      </c>
      <c r="AJ294" s="15">
        <f t="shared" si="36"/>
        <v>1606010</v>
      </c>
      <c r="AK294" s="15" t="str">
        <f t="shared" si="37"/>
        <v>中级神器1配件4-玉结Lvs1</v>
      </c>
      <c r="AL294" s="60" t="s">
        <v>645</v>
      </c>
      <c r="AM294" s="15">
        <f t="shared" si="38"/>
        <v>1</v>
      </c>
      <c r="AN294" s="15" t="str">
        <f t="shared" si="39"/>
        <v>中级神器1配件4</v>
      </c>
      <c r="AO294" s="15">
        <f>INDEX(芦花古楼!$BX$19:$BX$58,神器!AM294)</f>
        <v>1</v>
      </c>
      <c r="AP294" s="15" t="s">
        <v>88</v>
      </c>
      <c r="AQ294" s="15">
        <f t="shared" si="40"/>
        <v>465</v>
      </c>
      <c r="AR294" s="15" t="s">
        <v>654</v>
      </c>
      <c r="AS294" s="15">
        <f t="shared" si="41"/>
        <v>18</v>
      </c>
    </row>
    <row r="295" spans="35:45" ht="16.5" x14ac:dyDescent="0.2">
      <c r="AI295" s="60">
        <v>282</v>
      </c>
      <c r="AJ295" s="15">
        <f t="shared" si="36"/>
        <v>1606010</v>
      </c>
      <c r="AK295" s="15" t="str">
        <f t="shared" si="37"/>
        <v>中级神器1配件4-玉结Lvs2</v>
      </c>
      <c r="AL295" s="60" t="s">
        <v>645</v>
      </c>
      <c r="AM295" s="15">
        <f t="shared" si="38"/>
        <v>2</v>
      </c>
      <c r="AN295" s="15" t="str">
        <f t="shared" si="39"/>
        <v>中级神器1配件4</v>
      </c>
      <c r="AO295" s="15">
        <f>INDEX(芦花古楼!$BX$19:$BX$58,神器!AM295)</f>
        <v>1</v>
      </c>
      <c r="AP295" s="15" t="s">
        <v>88</v>
      </c>
      <c r="AQ295" s="15">
        <f t="shared" si="40"/>
        <v>700</v>
      </c>
      <c r="AR295" s="15" t="s">
        <v>654</v>
      </c>
      <c r="AS295" s="15">
        <f t="shared" si="41"/>
        <v>24</v>
      </c>
    </row>
    <row r="296" spans="35:45" ht="16.5" x14ac:dyDescent="0.2">
      <c r="AI296" s="60">
        <v>283</v>
      </c>
      <c r="AJ296" s="15">
        <f t="shared" si="36"/>
        <v>1606010</v>
      </c>
      <c r="AK296" s="15" t="str">
        <f t="shared" si="37"/>
        <v>中级神器1配件4-玉结Lvs3</v>
      </c>
      <c r="AL296" s="60" t="s">
        <v>645</v>
      </c>
      <c r="AM296" s="15">
        <f t="shared" si="38"/>
        <v>3</v>
      </c>
      <c r="AN296" s="15" t="str">
        <f t="shared" si="39"/>
        <v>中级神器1配件4</v>
      </c>
      <c r="AO296" s="15">
        <f>INDEX(芦花古楼!$BX$19:$BX$58,神器!AM296)</f>
        <v>2</v>
      </c>
      <c r="AP296" s="15" t="s">
        <v>88</v>
      </c>
      <c r="AQ296" s="15">
        <f t="shared" si="40"/>
        <v>935</v>
      </c>
      <c r="AR296" s="15" t="s">
        <v>654</v>
      </c>
      <c r="AS296" s="15">
        <f t="shared" si="41"/>
        <v>29</v>
      </c>
    </row>
    <row r="297" spans="35:45" ht="16.5" x14ac:dyDescent="0.2">
      <c r="AI297" s="60">
        <v>284</v>
      </c>
      <c r="AJ297" s="15">
        <f t="shared" si="36"/>
        <v>1606010</v>
      </c>
      <c r="AK297" s="15" t="str">
        <f t="shared" si="37"/>
        <v>中级神器1配件4-玉结Lvs4</v>
      </c>
      <c r="AL297" s="60" t="s">
        <v>645</v>
      </c>
      <c r="AM297" s="15">
        <f t="shared" si="38"/>
        <v>4</v>
      </c>
      <c r="AN297" s="15" t="str">
        <f t="shared" si="39"/>
        <v>中级神器1配件4</v>
      </c>
      <c r="AO297" s="15">
        <f>INDEX(芦花古楼!$BX$19:$BX$58,神器!AM297)</f>
        <v>3</v>
      </c>
      <c r="AP297" s="15" t="s">
        <v>88</v>
      </c>
      <c r="AQ297" s="15">
        <f t="shared" si="40"/>
        <v>1170</v>
      </c>
      <c r="AR297" s="15" t="s">
        <v>654</v>
      </c>
      <c r="AS297" s="15">
        <f t="shared" si="41"/>
        <v>36</v>
      </c>
    </row>
    <row r="298" spans="35:45" ht="16.5" x14ac:dyDescent="0.2">
      <c r="AI298" s="60">
        <v>285</v>
      </c>
      <c r="AJ298" s="15">
        <f t="shared" si="36"/>
        <v>1606010</v>
      </c>
      <c r="AK298" s="15" t="str">
        <f t="shared" si="37"/>
        <v>中级神器1配件4-玉结Lvs5</v>
      </c>
      <c r="AL298" s="60" t="s">
        <v>645</v>
      </c>
      <c r="AM298" s="15">
        <f t="shared" si="38"/>
        <v>5</v>
      </c>
      <c r="AN298" s="15" t="str">
        <f t="shared" si="39"/>
        <v>中级神器1配件4</v>
      </c>
      <c r="AO298" s="15">
        <f>INDEX(芦花古楼!$BX$19:$BX$58,神器!AM298)</f>
        <v>3</v>
      </c>
      <c r="AP298" s="15" t="s">
        <v>88</v>
      </c>
      <c r="AQ298" s="15">
        <f t="shared" si="40"/>
        <v>1405</v>
      </c>
      <c r="AR298" s="15" t="s">
        <v>654</v>
      </c>
      <c r="AS298" s="15">
        <f t="shared" si="41"/>
        <v>42</v>
      </c>
    </row>
    <row r="299" spans="35:45" ht="16.5" x14ac:dyDescent="0.2">
      <c r="AI299" s="60">
        <v>286</v>
      </c>
      <c r="AJ299" s="15">
        <f t="shared" si="36"/>
        <v>1606010</v>
      </c>
      <c r="AK299" s="15" t="str">
        <f t="shared" si="37"/>
        <v>中级神器1配件4-玉结Lvs6</v>
      </c>
      <c r="AL299" s="60" t="s">
        <v>645</v>
      </c>
      <c r="AM299" s="15">
        <f t="shared" si="38"/>
        <v>6</v>
      </c>
      <c r="AN299" s="15" t="str">
        <f t="shared" si="39"/>
        <v>中级神器1配件4</v>
      </c>
      <c r="AO299" s="15">
        <f>INDEX(芦花古楼!$BX$19:$BX$58,神器!AM299)</f>
        <v>5</v>
      </c>
      <c r="AP299" s="15" t="s">
        <v>88</v>
      </c>
      <c r="AQ299" s="15">
        <f t="shared" si="40"/>
        <v>1640</v>
      </c>
      <c r="AR299" s="15" t="s">
        <v>654</v>
      </c>
      <c r="AS299" s="15">
        <f t="shared" si="41"/>
        <v>49</v>
      </c>
    </row>
    <row r="300" spans="35:45" ht="16.5" x14ac:dyDescent="0.2">
      <c r="AI300" s="60">
        <v>287</v>
      </c>
      <c r="AJ300" s="15">
        <f t="shared" si="36"/>
        <v>1606010</v>
      </c>
      <c r="AK300" s="15" t="str">
        <f t="shared" si="37"/>
        <v>中级神器1配件4-玉结Lvs7</v>
      </c>
      <c r="AL300" s="60" t="s">
        <v>645</v>
      </c>
      <c r="AM300" s="15">
        <f t="shared" si="38"/>
        <v>7</v>
      </c>
      <c r="AN300" s="15" t="str">
        <f t="shared" si="39"/>
        <v>中级神器1配件4</v>
      </c>
      <c r="AO300" s="15">
        <f>INDEX(芦花古楼!$BX$19:$BX$58,神器!AM300)</f>
        <v>5</v>
      </c>
      <c r="AP300" s="15" t="s">
        <v>88</v>
      </c>
      <c r="AQ300" s="15">
        <f t="shared" si="40"/>
        <v>1870</v>
      </c>
      <c r="AR300" s="15" t="s">
        <v>654</v>
      </c>
      <c r="AS300" s="15">
        <f t="shared" si="41"/>
        <v>56</v>
      </c>
    </row>
    <row r="301" spans="35:45" ht="16.5" x14ac:dyDescent="0.2">
      <c r="AI301" s="60">
        <v>288</v>
      </c>
      <c r="AJ301" s="15">
        <f t="shared" si="36"/>
        <v>1606010</v>
      </c>
      <c r="AK301" s="15" t="str">
        <f t="shared" si="37"/>
        <v>中级神器1配件4-玉结Lvs8</v>
      </c>
      <c r="AL301" s="60" t="s">
        <v>645</v>
      </c>
      <c r="AM301" s="15">
        <f t="shared" si="38"/>
        <v>8</v>
      </c>
      <c r="AN301" s="15" t="str">
        <f t="shared" si="39"/>
        <v>中级神器1配件4</v>
      </c>
      <c r="AO301" s="15">
        <f>INDEX(芦花古楼!$BX$19:$BX$58,神器!AM301)</f>
        <v>5</v>
      </c>
      <c r="AP301" s="15" t="s">
        <v>88</v>
      </c>
      <c r="AQ301" s="15">
        <f t="shared" si="40"/>
        <v>2105</v>
      </c>
      <c r="AR301" s="15" t="s">
        <v>654</v>
      </c>
      <c r="AS301" s="15">
        <f t="shared" si="41"/>
        <v>63</v>
      </c>
    </row>
    <row r="302" spans="35:45" ht="16.5" x14ac:dyDescent="0.2">
      <c r="AI302" s="60">
        <v>289</v>
      </c>
      <c r="AJ302" s="15">
        <f t="shared" si="36"/>
        <v>1606010</v>
      </c>
      <c r="AK302" s="15" t="str">
        <f t="shared" si="37"/>
        <v>中级神器1配件4-玉结Lvs9</v>
      </c>
      <c r="AL302" s="60" t="s">
        <v>645</v>
      </c>
      <c r="AM302" s="15">
        <f t="shared" si="38"/>
        <v>9</v>
      </c>
      <c r="AN302" s="15" t="str">
        <f t="shared" si="39"/>
        <v>中级神器1配件4</v>
      </c>
      <c r="AO302" s="15">
        <f>INDEX(芦花古楼!$BX$19:$BX$58,神器!AM302)</f>
        <v>5</v>
      </c>
      <c r="AP302" s="15" t="s">
        <v>88</v>
      </c>
      <c r="AQ302" s="15">
        <f t="shared" si="40"/>
        <v>2340</v>
      </c>
      <c r="AR302" s="15" t="s">
        <v>654</v>
      </c>
      <c r="AS302" s="15">
        <f t="shared" si="41"/>
        <v>71</v>
      </c>
    </row>
    <row r="303" spans="35:45" ht="16.5" x14ac:dyDescent="0.2">
      <c r="AI303" s="60">
        <v>290</v>
      </c>
      <c r="AJ303" s="15">
        <f t="shared" si="36"/>
        <v>1606010</v>
      </c>
      <c r="AK303" s="15" t="str">
        <f t="shared" si="37"/>
        <v>中级神器1配件4-玉结Lvs10</v>
      </c>
      <c r="AL303" s="60" t="s">
        <v>645</v>
      </c>
      <c r="AM303" s="15">
        <f t="shared" si="38"/>
        <v>10</v>
      </c>
      <c r="AN303" s="15" t="str">
        <f t="shared" si="39"/>
        <v>中级神器1配件4</v>
      </c>
      <c r="AO303" s="15">
        <f>INDEX(芦花古楼!$BX$19:$BX$58,神器!AM303)</f>
        <v>7</v>
      </c>
      <c r="AP303" s="15" t="s">
        <v>88</v>
      </c>
      <c r="AQ303" s="15">
        <f t="shared" si="40"/>
        <v>2810</v>
      </c>
      <c r="AR303" s="15" t="s">
        <v>654</v>
      </c>
      <c r="AS303" s="15">
        <f t="shared" si="41"/>
        <v>79</v>
      </c>
    </row>
    <row r="304" spans="35:45" ht="16.5" x14ac:dyDescent="0.2">
      <c r="AI304" s="60">
        <v>291</v>
      </c>
      <c r="AJ304" s="15">
        <f t="shared" si="36"/>
        <v>1606010</v>
      </c>
      <c r="AK304" s="15" t="str">
        <f t="shared" si="37"/>
        <v>中级神器1配件4-玉结Lvs11</v>
      </c>
      <c r="AL304" s="60" t="s">
        <v>645</v>
      </c>
      <c r="AM304" s="15">
        <f t="shared" si="38"/>
        <v>11</v>
      </c>
      <c r="AN304" s="15" t="str">
        <f t="shared" si="39"/>
        <v>中级神器1配件4</v>
      </c>
      <c r="AO304" s="15">
        <f>INDEX(芦花古楼!$BX$19:$BX$58,神器!AM304)</f>
        <v>7</v>
      </c>
      <c r="AP304" s="15" t="s">
        <v>88</v>
      </c>
      <c r="AQ304" s="15">
        <f t="shared" si="40"/>
        <v>3525</v>
      </c>
      <c r="AR304" s="15" t="s">
        <v>654</v>
      </c>
      <c r="AS304" s="15">
        <f t="shared" si="41"/>
        <v>88</v>
      </c>
    </row>
    <row r="305" spans="35:45" ht="16.5" x14ac:dyDescent="0.2">
      <c r="AI305" s="60">
        <v>292</v>
      </c>
      <c r="AJ305" s="15">
        <f t="shared" si="36"/>
        <v>1606010</v>
      </c>
      <c r="AK305" s="15" t="str">
        <f t="shared" si="37"/>
        <v>中级神器1配件4-玉结Lvs12</v>
      </c>
      <c r="AL305" s="60" t="s">
        <v>645</v>
      </c>
      <c r="AM305" s="15">
        <f t="shared" si="38"/>
        <v>12</v>
      </c>
      <c r="AN305" s="15" t="str">
        <f t="shared" si="39"/>
        <v>中级神器1配件4</v>
      </c>
      <c r="AO305" s="15">
        <f>INDEX(芦花古楼!$BX$19:$BX$58,神器!AM305)</f>
        <v>7</v>
      </c>
      <c r="AP305" s="15" t="s">
        <v>88</v>
      </c>
      <c r="AQ305" s="15">
        <f t="shared" si="40"/>
        <v>4115</v>
      </c>
      <c r="AR305" s="15" t="s">
        <v>654</v>
      </c>
      <c r="AS305" s="15">
        <f t="shared" si="41"/>
        <v>97</v>
      </c>
    </row>
    <row r="306" spans="35:45" ht="16.5" x14ac:dyDescent="0.2">
      <c r="AI306" s="60">
        <v>293</v>
      </c>
      <c r="AJ306" s="15">
        <f t="shared" si="36"/>
        <v>1606010</v>
      </c>
      <c r="AK306" s="15" t="str">
        <f t="shared" si="37"/>
        <v>中级神器1配件4-玉结Lvs13</v>
      </c>
      <c r="AL306" s="60" t="s">
        <v>645</v>
      </c>
      <c r="AM306" s="15">
        <f t="shared" si="38"/>
        <v>13</v>
      </c>
      <c r="AN306" s="15" t="str">
        <f t="shared" si="39"/>
        <v>中级神器1配件4</v>
      </c>
      <c r="AO306" s="15">
        <f>INDEX(芦花古楼!$BX$19:$BX$58,神器!AM306)</f>
        <v>7</v>
      </c>
      <c r="AP306" s="15" t="s">
        <v>88</v>
      </c>
      <c r="AQ306" s="15">
        <f t="shared" si="40"/>
        <v>4705</v>
      </c>
      <c r="AR306" s="15" t="s">
        <v>654</v>
      </c>
      <c r="AS306" s="15">
        <f t="shared" si="41"/>
        <v>106</v>
      </c>
    </row>
    <row r="307" spans="35:45" ht="16.5" x14ac:dyDescent="0.2">
      <c r="AI307" s="60">
        <v>294</v>
      </c>
      <c r="AJ307" s="15">
        <f t="shared" si="36"/>
        <v>1606010</v>
      </c>
      <c r="AK307" s="15" t="str">
        <f t="shared" si="37"/>
        <v>中级神器1配件4-玉结Lvs14</v>
      </c>
      <c r="AL307" s="60" t="s">
        <v>645</v>
      </c>
      <c r="AM307" s="15">
        <f t="shared" si="38"/>
        <v>14</v>
      </c>
      <c r="AN307" s="15" t="str">
        <f t="shared" si="39"/>
        <v>中级神器1配件4</v>
      </c>
      <c r="AO307" s="15">
        <f>INDEX(芦花古楼!$BX$19:$BX$58,神器!AM307)</f>
        <v>7</v>
      </c>
      <c r="AP307" s="15" t="s">
        <v>88</v>
      </c>
      <c r="AQ307" s="15">
        <f t="shared" si="40"/>
        <v>5290</v>
      </c>
      <c r="AR307" s="15" t="s">
        <v>654</v>
      </c>
      <c r="AS307" s="15">
        <f t="shared" si="41"/>
        <v>116</v>
      </c>
    </row>
    <row r="308" spans="35:45" ht="16.5" x14ac:dyDescent="0.2">
      <c r="AI308" s="60">
        <v>295</v>
      </c>
      <c r="AJ308" s="15">
        <f t="shared" si="36"/>
        <v>1606010</v>
      </c>
      <c r="AK308" s="15" t="str">
        <f t="shared" si="37"/>
        <v>中级神器1配件4-玉结Lvs15</v>
      </c>
      <c r="AL308" s="60" t="s">
        <v>645</v>
      </c>
      <c r="AM308" s="15">
        <f t="shared" si="38"/>
        <v>15</v>
      </c>
      <c r="AN308" s="15" t="str">
        <f t="shared" si="39"/>
        <v>中级神器1配件4</v>
      </c>
      <c r="AO308" s="15">
        <f>INDEX(芦花古楼!$BX$19:$BX$58,神器!AM308)</f>
        <v>10</v>
      </c>
      <c r="AP308" s="15" t="s">
        <v>88</v>
      </c>
      <c r="AQ308" s="15">
        <f t="shared" si="40"/>
        <v>5880</v>
      </c>
      <c r="AR308" s="15" t="s">
        <v>654</v>
      </c>
      <c r="AS308" s="15">
        <f t="shared" si="41"/>
        <v>127</v>
      </c>
    </row>
    <row r="309" spans="35:45" ht="16.5" x14ac:dyDescent="0.2">
      <c r="AI309" s="60">
        <v>296</v>
      </c>
      <c r="AJ309" s="15">
        <f t="shared" si="36"/>
        <v>1606010</v>
      </c>
      <c r="AK309" s="15" t="str">
        <f t="shared" si="37"/>
        <v>中级神器1配件4-玉结Lvs16</v>
      </c>
      <c r="AL309" s="60" t="s">
        <v>645</v>
      </c>
      <c r="AM309" s="15">
        <f t="shared" si="38"/>
        <v>16</v>
      </c>
      <c r="AN309" s="15" t="str">
        <f t="shared" si="39"/>
        <v>中级神器1配件4</v>
      </c>
      <c r="AO309" s="15">
        <f>INDEX(芦花古楼!$BX$19:$BX$58,神器!AM309)</f>
        <v>10</v>
      </c>
      <c r="AP309" s="15" t="s">
        <v>88</v>
      </c>
      <c r="AQ309" s="15">
        <f t="shared" si="40"/>
        <v>6465</v>
      </c>
      <c r="AR309" s="15" t="s">
        <v>654</v>
      </c>
      <c r="AS309" s="15">
        <f t="shared" si="41"/>
        <v>138</v>
      </c>
    </row>
    <row r="310" spans="35:45" ht="16.5" x14ac:dyDescent="0.2">
      <c r="AI310" s="60">
        <v>297</v>
      </c>
      <c r="AJ310" s="15">
        <f t="shared" si="36"/>
        <v>1606010</v>
      </c>
      <c r="AK310" s="15" t="str">
        <f t="shared" si="37"/>
        <v>中级神器1配件4-玉结Lvs17</v>
      </c>
      <c r="AL310" s="60" t="s">
        <v>645</v>
      </c>
      <c r="AM310" s="15">
        <f t="shared" si="38"/>
        <v>17</v>
      </c>
      <c r="AN310" s="15" t="str">
        <f t="shared" si="39"/>
        <v>中级神器1配件4</v>
      </c>
      <c r="AO310" s="15">
        <f>INDEX(芦花古楼!$BX$19:$BX$58,神器!AM310)</f>
        <v>10</v>
      </c>
      <c r="AP310" s="15" t="s">
        <v>88</v>
      </c>
      <c r="AQ310" s="15">
        <f t="shared" si="40"/>
        <v>7055</v>
      </c>
      <c r="AR310" s="15" t="s">
        <v>654</v>
      </c>
      <c r="AS310" s="15">
        <f t="shared" si="41"/>
        <v>149</v>
      </c>
    </row>
    <row r="311" spans="35:45" ht="16.5" x14ac:dyDescent="0.2">
      <c r="AI311" s="60">
        <v>298</v>
      </c>
      <c r="AJ311" s="15">
        <f t="shared" si="36"/>
        <v>1606010</v>
      </c>
      <c r="AK311" s="15" t="str">
        <f t="shared" si="37"/>
        <v>中级神器1配件4-玉结Lvs18</v>
      </c>
      <c r="AL311" s="60" t="s">
        <v>645</v>
      </c>
      <c r="AM311" s="15">
        <f t="shared" si="38"/>
        <v>18</v>
      </c>
      <c r="AN311" s="15" t="str">
        <f t="shared" si="39"/>
        <v>中级神器1配件4</v>
      </c>
      <c r="AO311" s="15">
        <f>INDEX(芦花古楼!$BX$19:$BX$58,神器!AM311)</f>
        <v>10</v>
      </c>
      <c r="AP311" s="15" t="s">
        <v>88</v>
      </c>
      <c r="AQ311" s="15">
        <f t="shared" si="40"/>
        <v>7645</v>
      </c>
      <c r="AR311" s="15" t="s">
        <v>654</v>
      </c>
      <c r="AS311" s="15">
        <f t="shared" si="41"/>
        <v>162</v>
      </c>
    </row>
    <row r="312" spans="35:45" ht="16.5" x14ac:dyDescent="0.2">
      <c r="AI312" s="60">
        <v>299</v>
      </c>
      <c r="AJ312" s="15">
        <f t="shared" si="36"/>
        <v>1606010</v>
      </c>
      <c r="AK312" s="15" t="str">
        <f t="shared" si="37"/>
        <v>中级神器1配件4-玉结Lvs19</v>
      </c>
      <c r="AL312" s="60" t="s">
        <v>645</v>
      </c>
      <c r="AM312" s="15">
        <f t="shared" si="38"/>
        <v>19</v>
      </c>
      <c r="AN312" s="15" t="str">
        <f t="shared" si="39"/>
        <v>中级神器1配件4</v>
      </c>
      <c r="AO312" s="15">
        <f>INDEX(芦花古楼!$BX$19:$BX$58,神器!AM312)</f>
        <v>10</v>
      </c>
      <c r="AP312" s="15" t="s">
        <v>88</v>
      </c>
      <c r="AQ312" s="15">
        <f t="shared" si="40"/>
        <v>8230</v>
      </c>
      <c r="AR312" s="15" t="s">
        <v>654</v>
      </c>
      <c r="AS312" s="15">
        <f t="shared" si="41"/>
        <v>174</v>
      </c>
    </row>
    <row r="313" spans="35:45" ht="16.5" x14ac:dyDescent="0.2">
      <c r="AI313" s="60">
        <v>300</v>
      </c>
      <c r="AJ313" s="15">
        <f t="shared" si="36"/>
        <v>1606010</v>
      </c>
      <c r="AK313" s="15" t="str">
        <f t="shared" si="37"/>
        <v>中级神器1配件4-玉结Lvs20</v>
      </c>
      <c r="AL313" s="60" t="s">
        <v>645</v>
      </c>
      <c r="AM313" s="15">
        <f t="shared" si="38"/>
        <v>20</v>
      </c>
      <c r="AN313" s="15" t="str">
        <f t="shared" si="39"/>
        <v>中级神器1配件4</v>
      </c>
      <c r="AO313" s="15">
        <f>INDEX(芦花古楼!$BX$19:$BX$58,神器!AM313)</f>
        <v>10</v>
      </c>
      <c r="AP313" s="15" t="s">
        <v>88</v>
      </c>
      <c r="AQ313" s="15">
        <f t="shared" si="40"/>
        <v>9410</v>
      </c>
      <c r="AR313" s="15" t="s">
        <v>654</v>
      </c>
      <c r="AS313" s="15">
        <f t="shared" si="41"/>
        <v>188</v>
      </c>
    </row>
    <row r="314" spans="35:45" ht="16.5" x14ac:dyDescent="0.2">
      <c r="AI314" s="60">
        <v>301</v>
      </c>
      <c r="AJ314" s="15">
        <f t="shared" si="36"/>
        <v>1606010</v>
      </c>
      <c r="AK314" s="15" t="str">
        <f t="shared" si="37"/>
        <v>中级神器1配件4-玉结Lvs21</v>
      </c>
      <c r="AL314" s="60" t="s">
        <v>645</v>
      </c>
      <c r="AM314" s="15">
        <f t="shared" si="38"/>
        <v>21</v>
      </c>
      <c r="AN314" s="15" t="str">
        <f t="shared" si="39"/>
        <v>中级神器1配件4</v>
      </c>
      <c r="AO314" s="15">
        <f>INDEX(芦花古楼!$BX$19:$BX$58,神器!AM314)</f>
        <v>15</v>
      </c>
      <c r="AP314" s="15" t="s">
        <v>88</v>
      </c>
      <c r="AQ314" s="15">
        <f t="shared" si="40"/>
        <v>10390</v>
      </c>
      <c r="AR314" s="15" t="s">
        <v>654</v>
      </c>
      <c r="AS314" s="15">
        <f t="shared" si="41"/>
        <v>202</v>
      </c>
    </row>
    <row r="315" spans="35:45" ht="16.5" x14ac:dyDescent="0.2">
      <c r="AI315" s="60">
        <v>302</v>
      </c>
      <c r="AJ315" s="15">
        <f t="shared" si="36"/>
        <v>1606010</v>
      </c>
      <c r="AK315" s="15" t="str">
        <f t="shared" si="37"/>
        <v>中级神器1配件4-玉结Lvs22</v>
      </c>
      <c r="AL315" s="60" t="s">
        <v>645</v>
      </c>
      <c r="AM315" s="15">
        <f t="shared" si="38"/>
        <v>22</v>
      </c>
      <c r="AN315" s="15" t="str">
        <f t="shared" si="39"/>
        <v>中级神器1配件4</v>
      </c>
      <c r="AO315" s="15">
        <f>INDEX(芦花古楼!$BX$19:$BX$58,神器!AM315)</f>
        <v>15</v>
      </c>
      <c r="AP315" s="15" t="s">
        <v>88</v>
      </c>
      <c r="AQ315" s="15">
        <f t="shared" si="40"/>
        <v>10910</v>
      </c>
      <c r="AR315" s="15" t="s">
        <v>654</v>
      </c>
      <c r="AS315" s="15">
        <f t="shared" si="41"/>
        <v>216</v>
      </c>
    </row>
    <row r="316" spans="35:45" ht="16.5" x14ac:dyDescent="0.2">
      <c r="AI316" s="60">
        <v>303</v>
      </c>
      <c r="AJ316" s="15">
        <f t="shared" si="36"/>
        <v>1606010</v>
      </c>
      <c r="AK316" s="15" t="str">
        <f t="shared" si="37"/>
        <v>中级神器1配件4-玉结Lvs23</v>
      </c>
      <c r="AL316" s="60" t="s">
        <v>645</v>
      </c>
      <c r="AM316" s="15">
        <f t="shared" si="38"/>
        <v>23</v>
      </c>
      <c r="AN316" s="15" t="str">
        <f t="shared" si="39"/>
        <v>中级神器1配件4</v>
      </c>
      <c r="AO316" s="15">
        <f>INDEX(芦花古楼!$BX$19:$BX$58,神器!AM316)</f>
        <v>15</v>
      </c>
      <c r="AP316" s="15" t="s">
        <v>88</v>
      </c>
      <c r="AQ316" s="15">
        <f t="shared" si="40"/>
        <v>11425</v>
      </c>
      <c r="AR316" s="15" t="s">
        <v>654</v>
      </c>
      <c r="AS316" s="15">
        <f t="shared" si="41"/>
        <v>232</v>
      </c>
    </row>
    <row r="317" spans="35:45" ht="16.5" x14ac:dyDescent="0.2">
      <c r="AI317" s="60">
        <v>304</v>
      </c>
      <c r="AJ317" s="15">
        <f t="shared" si="36"/>
        <v>1606010</v>
      </c>
      <c r="AK317" s="15" t="str">
        <f t="shared" si="37"/>
        <v>中级神器1配件4-玉结Lvs24</v>
      </c>
      <c r="AL317" s="60" t="s">
        <v>645</v>
      </c>
      <c r="AM317" s="15">
        <f t="shared" si="38"/>
        <v>24</v>
      </c>
      <c r="AN317" s="15" t="str">
        <f t="shared" si="39"/>
        <v>中级神器1配件4</v>
      </c>
      <c r="AO317" s="15">
        <f>INDEX(芦花古楼!$BX$19:$BX$58,神器!AM317)</f>
        <v>15</v>
      </c>
      <c r="AP317" s="15" t="s">
        <v>88</v>
      </c>
      <c r="AQ317" s="15">
        <f t="shared" si="40"/>
        <v>11945</v>
      </c>
      <c r="AR317" s="15" t="s">
        <v>654</v>
      </c>
      <c r="AS317" s="15">
        <f t="shared" si="41"/>
        <v>248</v>
      </c>
    </row>
    <row r="318" spans="35:45" ht="16.5" x14ac:dyDescent="0.2">
      <c r="AI318" s="60">
        <v>305</v>
      </c>
      <c r="AJ318" s="15">
        <f t="shared" si="36"/>
        <v>1606010</v>
      </c>
      <c r="AK318" s="15" t="str">
        <f t="shared" si="37"/>
        <v>中级神器1配件4-玉结Lvs25</v>
      </c>
      <c r="AL318" s="60" t="s">
        <v>645</v>
      </c>
      <c r="AM318" s="15">
        <f t="shared" si="38"/>
        <v>25</v>
      </c>
      <c r="AN318" s="15" t="str">
        <f t="shared" si="39"/>
        <v>中级神器1配件4</v>
      </c>
      <c r="AO318" s="15">
        <f>INDEX(芦花古楼!$BX$19:$BX$58,神器!AM318)</f>
        <v>15</v>
      </c>
      <c r="AP318" s="15" t="s">
        <v>88</v>
      </c>
      <c r="AQ318" s="15">
        <f t="shared" si="40"/>
        <v>12465</v>
      </c>
      <c r="AR318" s="15" t="s">
        <v>654</v>
      </c>
      <c r="AS318" s="15">
        <f t="shared" si="41"/>
        <v>265</v>
      </c>
    </row>
    <row r="319" spans="35:45" ht="16.5" x14ac:dyDescent="0.2">
      <c r="AI319" s="60">
        <v>306</v>
      </c>
      <c r="AJ319" s="15">
        <f t="shared" si="36"/>
        <v>1606010</v>
      </c>
      <c r="AK319" s="15" t="str">
        <f t="shared" si="37"/>
        <v>中级神器1配件4-玉结Lvs26</v>
      </c>
      <c r="AL319" s="60" t="s">
        <v>645</v>
      </c>
      <c r="AM319" s="15">
        <f t="shared" si="38"/>
        <v>26</v>
      </c>
      <c r="AN319" s="15" t="str">
        <f t="shared" si="39"/>
        <v>中级神器1配件4</v>
      </c>
      <c r="AO319" s="15">
        <f>INDEX(芦花古楼!$BX$19:$BX$58,神器!AM319)</f>
        <v>25</v>
      </c>
      <c r="AP319" s="15" t="s">
        <v>88</v>
      </c>
      <c r="AQ319" s="15">
        <f t="shared" si="40"/>
        <v>12985</v>
      </c>
      <c r="AR319" s="15" t="s">
        <v>654</v>
      </c>
      <c r="AS319" s="15">
        <f t="shared" si="41"/>
        <v>283</v>
      </c>
    </row>
    <row r="320" spans="35:45" ht="16.5" x14ac:dyDescent="0.2">
      <c r="AI320" s="60">
        <v>307</v>
      </c>
      <c r="AJ320" s="15">
        <f t="shared" si="36"/>
        <v>1606010</v>
      </c>
      <c r="AK320" s="15" t="str">
        <f t="shared" si="37"/>
        <v>中级神器1配件4-玉结Lvs27</v>
      </c>
      <c r="AL320" s="60" t="s">
        <v>645</v>
      </c>
      <c r="AM320" s="15">
        <f t="shared" si="38"/>
        <v>27</v>
      </c>
      <c r="AN320" s="15" t="str">
        <f t="shared" si="39"/>
        <v>中级神器1配件4</v>
      </c>
      <c r="AO320" s="15">
        <f>INDEX(芦花古楼!$BX$19:$BX$58,神器!AM320)</f>
        <v>25</v>
      </c>
      <c r="AP320" s="15" t="s">
        <v>88</v>
      </c>
      <c r="AQ320" s="15">
        <f t="shared" si="40"/>
        <v>13505</v>
      </c>
      <c r="AR320" s="15" t="s">
        <v>654</v>
      </c>
      <c r="AS320" s="15">
        <f t="shared" si="41"/>
        <v>302</v>
      </c>
    </row>
    <row r="321" spans="35:45" ht="16.5" x14ac:dyDescent="0.2">
      <c r="AI321" s="60">
        <v>308</v>
      </c>
      <c r="AJ321" s="15">
        <f t="shared" si="36"/>
        <v>1606010</v>
      </c>
      <c r="AK321" s="15" t="str">
        <f t="shared" si="37"/>
        <v>中级神器1配件4-玉结Lvs28</v>
      </c>
      <c r="AL321" s="60" t="s">
        <v>645</v>
      </c>
      <c r="AM321" s="15">
        <f t="shared" si="38"/>
        <v>28</v>
      </c>
      <c r="AN321" s="15" t="str">
        <f t="shared" si="39"/>
        <v>中级神器1配件4</v>
      </c>
      <c r="AO321" s="15">
        <f>INDEX(芦花古楼!$BX$19:$BX$58,神器!AM321)</f>
        <v>25</v>
      </c>
      <c r="AP321" s="15" t="s">
        <v>88</v>
      </c>
      <c r="AQ321" s="15">
        <f t="shared" si="40"/>
        <v>14025</v>
      </c>
      <c r="AR321" s="15" t="s">
        <v>654</v>
      </c>
      <c r="AS321" s="15">
        <f t="shared" si="41"/>
        <v>322</v>
      </c>
    </row>
    <row r="322" spans="35:45" ht="16.5" x14ac:dyDescent="0.2">
      <c r="AI322" s="60">
        <v>309</v>
      </c>
      <c r="AJ322" s="15">
        <f t="shared" si="36"/>
        <v>1606010</v>
      </c>
      <c r="AK322" s="15" t="str">
        <f t="shared" si="37"/>
        <v>中级神器1配件4-玉结Lvs29</v>
      </c>
      <c r="AL322" s="60" t="s">
        <v>645</v>
      </c>
      <c r="AM322" s="15">
        <f t="shared" si="38"/>
        <v>29</v>
      </c>
      <c r="AN322" s="15" t="str">
        <f t="shared" si="39"/>
        <v>中级神器1配件4</v>
      </c>
      <c r="AO322" s="15">
        <f>INDEX(芦花古楼!$BX$19:$BX$58,神器!AM322)</f>
        <v>25</v>
      </c>
      <c r="AP322" s="15" t="s">
        <v>88</v>
      </c>
      <c r="AQ322" s="15">
        <f t="shared" si="40"/>
        <v>14545</v>
      </c>
      <c r="AR322" s="15" t="s">
        <v>654</v>
      </c>
      <c r="AS322" s="15">
        <f t="shared" si="41"/>
        <v>342</v>
      </c>
    </row>
    <row r="323" spans="35:45" ht="16.5" x14ac:dyDescent="0.2">
      <c r="AI323" s="60">
        <v>310</v>
      </c>
      <c r="AJ323" s="15">
        <f t="shared" si="36"/>
        <v>1606010</v>
      </c>
      <c r="AK323" s="15" t="str">
        <f t="shared" si="37"/>
        <v>中级神器1配件4-玉结Lvs30</v>
      </c>
      <c r="AL323" s="60" t="s">
        <v>645</v>
      </c>
      <c r="AM323" s="15">
        <f t="shared" si="38"/>
        <v>30</v>
      </c>
      <c r="AN323" s="15" t="str">
        <f t="shared" si="39"/>
        <v>中级神器1配件4</v>
      </c>
      <c r="AO323" s="15">
        <f>INDEX(芦花古楼!$BX$19:$BX$58,神器!AM323)</f>
        <v>25</v>
      </c>
      <c r="AP323" s="15" t="s">
        <v>88</v>
      </c>
      <c r="AQ323" s="15">
        <f t="shared" si="40"/>
        <v>15585</v>
      </c>
      <c r="AR323" s="15" t="s">
        <v>654</v>
      </c>
      <c r="AS323" s="15">
        <f t="shared" si="41"/>
        <v>364</v>
      </c>
    </row>
    <row r="324" spans="35:45" ht="16.5" x14ac:dyDescent="0.2">
      <c r="AI324" s="60">
        <v>311</v>
      </c>
      <c r="AJ324" s="15">
        <f t="shared" si="36"/>
        <v>1606010</v>
      </c>
      <c r="AK324" s="15" t="str">
        <f t="shared" si="37"/>
        <v>中级神器1配件4-玉结Lvs31</v>
      </c>
      <c r="AL324" s="60" t="s">
        <v>645</v>
      </c>
      <c r="AM324" s="15">
        <f t="shared" si="38"/>
        <v>31</v>
      </c>
      <c r="AN324" s="15" t="str">
        <f t="shared" si="39"/>
        <v>中级神器1配件4</v>
      </c>
      <c r="AO324" s="15">
        <f>INDEX(芦花古楼!$BX$19:$BX$58,神器!AM324)</f>
        <v>30</v>
      </c>
      <c r="AP324" s="15" t="s">
        <v>88</v>
      </c>
      <c r="AQ324" s="15">
        <f t="shared" si="40"/>
        <v>15190</v>
      </c>
      <c r="AR324" s="15" t="s">
        <v>654</v>
      </c>
      <c r="AS324" s="15">
        <f t="shared" si="41"/>
        <v>387</v>
      </c>
    </row>
    <row r="325" spans="35:45" ht="16.5" x14ac:dyDescent="0.2">
      <c r="AI325" s="60">
        <v>312</v>
      </c>
      <c r="AJ325" s="15">
        <f t="shared" si="36"/>
        <v>1606010</v>
      </c>
      <c r="AK325" s="15" t="str">
        <f t="shared" si="37"/>
        <v>中级神器1配件4-玉结Lvs32</v>
      </c>
      <c r="AL325" s="60" t="s">
        <v>645</v>
      </c>
      <c r="AM325" s="15">
        <f t="shared" si="38"/>
        <v>32</v>
      </c>
      <c r="AN325" s="15" t="str">
        <f t="shared" si="39"/>
        <v>中级神器1配件4</v>
      </c>
      <c r="AO325" s="15">
        <f>INDEX(芦花古楼!$BX$19:$BX$58,神器!AM325)</f>
        <v>30</v>
      </c>
      <c r="AP325" s="15" t="s">
        <v>88</v>
      </c>
      <c r="AQ325" s="15">
        <f t="shared" si="40"/>
        <v>22785</v>
      </c>
      <c r="AR325" s="15" t="s">
        <v>654</v>
      </c>
      <c r="AS325" s="15">
        <f t="shared" si="41"/>
        <v>411</v>
      </c>
    </row>
    <row r="326" spans="35:45" ht="16.5" x14ac:dyDescent="0.2">
      <c r="AI326" s="60">
        <v>313</v>
      </c>
      <c r="AJ326" s="15">
        <f t="shared" si="36"/>
        <v>1606010</v>
      </c>
      <c r="AK326" s="15" t="str">
        <f t="shared" si="37"/>
        <v>中级神器1配件4-玉结Lvs33</v>
      </c>
      <c r="AL326" s="60" t="s">
        <v>645</v>
      </c>
      <c r="AM326" s="15">
        <f t="shared" si="38"/>
        <v>33</v>
      </c>
      <c r="AN326" s="15" t="str">
        <f t="shared" si="39"/>
        <v>中级神器1配件4</v>
      </c>
      <c r="AO326" s="15">
        <f>INDEX(芦花古楼!$BX$19:$BX$58,神器!AM326)</f>
        <v>30</v>
      </c>
      <c r="AP326" s="15" t="s">
        <v>88</v>
      </c>
      <c r="AQ326" s="15">
        <f t="shared" si="40"/>
        <v>30380</v>
      </c>
      <c r="AR326" s="15" t="s">
        <v>654</v>
      </c>
      <c r="AS326" s="15">
        <f t="shared" si="41"/>
        <v>436</v>
      </c>
    </row>
    <row r="327" spans="35:45" ht="16.5" x14ac:dyDescent="0.2">
      <c r="AI327" s="60">
        <v>314</v>
      </c>
      <c r="AJ327" s="15">
        <f t="shared" si="36"/>
        <v>1606010</v>
      </c>
      <c r="AK327" s="15" t="str">
        <f t="shared" si="37"/>
        <v>中级神器1配件4-玉结Lvs34</v>
      </c>
      <c r="AL327" s="60" t="s">
        <v>645</v>
      </c>
      <c r="AM327" s="15">
        <f t="shared" si="38"/>
        <v>34</v>
      </c>
      <c r="AN327" s="15" t="str">
        <f t="shared" si="39"/>
        <v>中级神器1配件4</v>
      </c>
      <c r="AO327" s="15">
        <f>INDEX(芦花古楼!$BX$19:$BX$58,神器!AM327)</f>
        <v>30</v>
      </c>
      <c r="AP327" s="15" t="s">
        <v>88</v>
      </c>
      <c r="AQ327" s="15">
        <f t="shared" si="40"/>
        <v>37975</v>
      </c>
      <c r="AR327" s="15" t="s">
        <v>654</v>
      </c>
      <c r="AS327" s="15">
        <f t="shared" si="41"/>
        <v>463</v>
      </c>
    </row>
    <row r="328" spans="35:45" ht="16.5" x14ac:dyDescent="0.2">
      <c r="AI328" s="60">
        <v>315</v>
      </c>
      <c r="AJ328" s="15">
        <f t="shared" si="36"/>
        <v>1606010</v>
      </c>
      <c r="AK328" s="15" t="str">
        <f t="shared" si="37"/>
        <v>中级神器1配件4-玉结Lvs35</v>
      </c>
      <c r="AL328" s="60" t="s">
        <v>645</v>
      </c>
      <c r="AM328" s="15">
        <f t="shared" si="38"/>
        <v>35</v>
      </c>
      <c r="AN328" s="15" t="str">
        <f t="shared" si="39"/>
        <v>中级神器1配件4</v>
      </c>
      <c r="AO328" s="15">
        <f>INDEX(芦花古楼!$BX$19:$BX$58,神器!AM328)</f>
        <v>30</v>
      </c>
      <c r="AP328" s="15" t="s">
        <v>88</v>
      </c>
      <c r="AQ328" s="15">
        <f t="shared" si="40"/>
        <v>45570</v>
      </c>
      <c r="AR328" s="15" t="s">
        <v>654</v>
      </c>
      <c r="AS328" s="15">
        <f t="shared" si="41"/>
        <v>491</v>
      </c>
    </row>
    <row r="329" spans="35:45" ht="16.5" x14ac:dyDescent="0.2">
      <c r="AI329" s="60">
        <v>316</v>
      </c>
      <c r="AJ329" s="15">
        <f t="shared" si="36"/>
        <v>1606010</v>
      </c>
      <c r="AK329" s="15" t="str">
        <f t="shared" si="37"/>
        <v>中级神器1配件4-玉结Lvs36</v>
      </c>
      <c r="AL329" s="60" t="s">
        <v>645</v>
      </c>
      <c r="AM329" s="15">
        <f t="shared" si="38"/>
        <v>36</v>
      </c>
      <c r="AN329" s="15" t="str">
        <f t="shared" si="39"/>
        <v>中级神器1配件4</v>
      </c>
      <c r="AO329" s="15">
        <f>INDEX(芦花古楼!$BX$19:$BX$58,神器!AM329)</f>
        <v>40</v>
      </c>
      <c r="AP329" s="15" t="s">
        <v>88</v>
      </c>
      <c r="AQ329" s="15">
        <f t="shared" si="40"/>
        <v>53165</v>
      </c>
      <c r="AR329" s="15" t="s">
        <v>654</v>
      </c>
      <c r="AS329" s="15">
        <f t="shared" si="41"/>
        <v>520</v>
      </c>
    </row>
    <row r="330" spans="35:45" ht="16.5" x14ac:dyDescent="0.2">
      <c r="AI330" s="60">
        <v>317</v>
      </c>
      <c r="AJ330" s="15">
        <f t="shared" si="36"/>
        <v>1606010</v>
      </c>
      <c r="AK330" s="15" t="str">
        <f t="shared" si="37"/>
        <v>中级神器1配件4-玉结Lvs37</v>
      </c>
      <c r="AL330" s="60" t="s">
        <v>645</v>
      </c>
      <c r="AM330" s="15">
        <f t="shared" si="38"/>
        <v>37</v>
      </c>
      <c r="AN330" s="15" t="str">
        <f t="shared" si="39"/>
        <v>中级神器1配件4</v>
      </c>
      <c r="AO330" s="15">
        <f>INDEX(芦花古楼!$BX$19:$BX$58,神器!AM330)</f>
        <v>40</v>
      </c>
      <c r="AP330" s="15" t="s">
        <v>88</v>
      </c>
      <c r="AQ330" s="15">
        <f t="shared" si="40"/>
        <v>60760</v>
      </c>
      <c r="AR330" s="15" t="s">
        <v>654</v>
      </c>
      <c r="AS330" s="15">
        <f t="shared" si="41"/>
        <v>550</v>
      </c>
    </row>
    <row r="331" spans="35:45" ht="16.5" x14ac:dyDescent="0.2">
      <c r="AI331" s="60">
        <v>318</v>
      </c>
      <c r="AJ331" s="15">
        <f t="shared" si="36"/>
        <v>1606010</v>
      </c>
      <c r="AK331" s="15" t="str">
        <f t="shared" si="37"/>
        <v>中级神器1配件4-玉结Lvs38</v>
      </c>
      <c r="AL331" s="60" t="s">
        <v>645</v>
      </c>
      <c r="AM331" s="15">
        <f t="shared" si="38"/>
        <v>38</v>
      </c>
      <c r="AN331" s="15" t="str">
        <f t="shared" si="39"/>
        <v>中级神器1配件4</v>
      </c>
      <c r="AO331" s="15">
        <f>INDEX(芦花古楼!$BX$19:$BX$58,神器!AM331)</f>
        <v>40</v>
      </c>
      <c r="AP331" s="15" t="s">
        <v>88</v>
      </c>
      <c r="AQ331" s="15">
        <f t="shared" si="40"/>
        <v>68355</v>
      </c>
      <c r="AR331" s="15" t="s">
        <v>654</v>
      </c>
      <c r="AS331" s="15">
        <f t="shared" si="41"/>
        <v>583</v>
      </c>
    </row>
    <row r="332" spans="35:45" ht="16.5" x14ac:dyDescent="0.2">
      <c r="AI332" s="60">
        <v>319</v>
      </c>
      <c r="AJ332" s="15">
        <f t="shared" si="36"/>
        <v>1606010</v>
      </c>
      <c r="AK332" s="15" t="str">
        <f t="shared" si="37"/>
        <v>中级神器1配件4-玉结Lvs39</v>
      </c>
      <c r="AL332" s="60" t="s">
        <v>645</v>
      </c>
      <c r="AM332" s="15">
        <f t="shared" si="38"/>
        <v>39</v>
      </c>
      <c r="AN332" s="15" t="str">
        <f t="shared" si="39"/>
        <v>中级神器1配件4</v>
      </c>
      <c r="AO332" s="15">
        <f>INDEX(芦花古楼!$BX$19:$BX$58,神器!AM332)</f>
        <v>40</v>
      </c>
      <c r="AP332" s="15" t="s">
        <v>88</v>
      </c>
      <c r="AQ332" s="15">
        <f t="shared" si="40"/>
        <v>75950</v>
      </c>
      <c r="AR332" s="15" t="s">
        <v>654</v>
      </c>
      <c r="AS332" s="15">
        <f t="shared" si="41"/>
        <v>616</v>
      </c>
    </row>
    <row r="333" spans="35:45" ht="16.5" x14ac:dyDescent="0.2">
      <c r="AI333" s="60">
        <v>320</v>
      </c>
      <c r="AJ333" s="15">
        <f t="shared" si="36"/>
        <v>1606010</v>
      </c>
      <c r="AK333" s="15" t="str">
        <f t="shared" si="37"/>
        <v>中级神器1配件4-玉结Lvs40</v>
      </c>
      <c r="AL333" s="60" t="s">
        <v>645</v>
      </c>
      <c r="AM333" s="15">
        <f t="shared" si="38"/>
        <v>40</v>
      </c>
      <c r="AN333" s="15" t="str">
        <f t="shared" si="39"/>
        <v>中级神器1配件4</v>
      </c>
      <c r="AO333" s="15">
        <f>INDEX(芦花古楼!$BX$19:$BX$58,神器!AM333)</f>
        <v>40</v>
      </c>
      <c r="AP333" s="15" t="s">
        <v>88</v>
      </c>
      <c r="AQ333" s="15">
        <f t="shared" si="40"/>
        <v>91145</v>
      </c>
      <c r="AR333" s="15" t="s">
        <v>654</v>
      </c>
      <c r="AS333" s="15">
        <f t="shared" si="41"/>
        <v>652</v>
      </c>
    </row>
    <row r="334" spans="35:45" ht="16.5" x14ac:dyDescent="0.2">
      <c r="AI334" s="60">
        <v>321</v>
      </c>
      <c r="AJ334" s="15">
        <f t="shared" si="36"/>
        <v>1606011</v>
      </c>
      <c r="AK334" s="15" t="str">
        <f t="shared" si="37"/>
        <v>中级神器2配件1-指虎Lvs1</v>
      </c>
      <c r="AL334" s="60" t="s">
        <v>645</v>
      </c>
      <c r="AM334" s="15">
        <f t="shared" si="38"/>
        <v>1</v>
      </c>
      <c r="AN334" s="15" t="str">
        <f t="shared" si="39"/>
        <v>中级神器2配件1</v>
      </c>
      <c r="AO334" s="15">
        <f>INDEX(芦花古楼!$BX$19:$BX$58,神器!AM334)</f>
        <v>1</v>
      </c>
      <c r="AP334" s="15" t="s">
        <v>88</v>
      </c>
      <c r="AQ334" s="15">
        <f t="shared" si="40"/>
        <v>130</v>
      </c>
      <c r="AR334" s="15" t="s">
        <v>654</v>
      </c>
      <c r="AS334" s="15">
        <f t="shared" si="41"/>
        <v>5</v>
      </c>
    </row>
    <row r="335" spans="35:45" ht="16.5" x14ac:dyDescent="0.2">
      <c r="AI335" s="60">
        <v>322</v>
      </c>
      <c r="AJ335" s="15">
        <f t="shared" ref="AJ335:AJ398" si="42">INDEX($AC$4:$AC$33,INT((AI335-1)/40)+1)</f>
        <v>1606011</v>
      </c>
      <c r="AK335" s="15" t="str">
        <f t="shared" ref="AK335:AK398" si="43">INDEX($AF$4:$AF$33,INT((AI335-1)/40)+1)&amp;AL335&amp;AM335</f>
        <v>中级神器2配件1-指虎Lvs2</v>
      </c>
      <c r="AL335" s="60" t="s">
        <v>645</v>
      </c>
      <c r="AM335" s="15">
        <f t="shared" ref="AM335:AM398" si="44">MOD(AI335-1,40)+1</f>
        <v>2</v>
      </c>
      <c r="AN335" s="15" t="str">
        <f t="shared" ref="AN335:AN398" si="45">INDEX($AD$4:$AD$33,INT((AI335-1)/40)+1)</f>
        <v>中级神器2配件1</v>
      </c>
      <c r="AO335" s="15">
        <f>INDEX(芦花古楼!$BX$19:$BX$58,神器!AM335)</f>
        <v>1</v>
      </c>
      <c r="AP335" s="15" t="s">
        <v>88</v>
      </c>
      <c r="AQ335" s="15">
        <f t="shared" ref="AQ335:AQ398" si="46">INDEX($F$14:$L$53,AM335,INDEX($AB$4:$AB$33,INT((AI335-1)/40)+1))</f>
        <v>200</v>
      </c>
      <c r="AR335" s="15" t="s">
        <v>654</v>
      </c>
      <c r="AS335" s="15">
        <f t="shared" ref="AS335:AS398" si="47">INDEX($P$14:$V$53,AM335,INDEX($AB$4:$AB$33,INT((AI335-1)/40)+1))</f>
        <v>6</v>
      </c>
    </row>
    <row r="336" spans="35:45" ht="16.5" x14ac:dyDescent="0.2">
      <c r="AI336" s="60">
        <v>323</v>
      </c>
      <c r="AJ336" s="15">
        <f t="shared" si="42"/>
        <v>1606011</v>
      </c>
      <c r="AK336" s="15" t="str">
        <f t="shared" si="43"/>
        <v>中级神器2配件1-指虎Lvs3</v>
      </c>
      <c r="AL336" s="60" t="s">
        <v>645</v>
      </c>
      <c r="AM336" s="15">
        <f t="shared" si="44"/>
        <v>3</v>
      </c>
      <c r="AN336" s="15" t="str">
        <f t="shared" si="45"/>
        <v>中级神器2配件1</v>
      </c>
      <c r="AO336" s="15">
        <f>INDEX(芦花古楼!$BX$19:$BX$58,神器!AM336)</f>
        <v>2</v>
      </c>
      <c r="AP336" s="15" t="s">
        <v>88</v>
      </c>
      <c r="AQ336" s="15">
        <f t="shared" si="46"/>
        <v>265</v>
      </c>
      <c r="AR336" s="15" t="s">
        <v>654</v>
      </c>
      <c r="AS336" s="15">
        <f t="shared" si="47"/>
        <v>8</v>
      </c>
    </row>
    <row r="337" spans="35:45" ht="16.5" x14ac:dyDescent="0.2">
      <c r="AI337" s="60">
        <v>324</v>
      </c>
      <c r="AJ337" s="15">
        <f t="shared" si="42"/>
        <v>1606011</v>
      </c>
      <c r="AK337" s="15" t="str">
        <f t="shared" si="43"/>
        <v>中级神器2配件1-指虎Lvs4</v>
      </c>
      <c r="AL337" s="60" t="s">
        <v>645</v>
      </c>
      <c r="AM337" s="15">
        <f t="shared" si="44"/>
        <v>4</v>
      </c>
      <c r="AN337" s="15" t="str">
        <f t="shared" si="45"/>
        <v>中级神器2配件1</v>
      </c>
      <c r="AO337" s="15">
        <f>INDEX(芦花古楼!$BX$19:$BX$58,神器!AM337)</f>
        <v>3</v>
      </c>
      <c r="AP337" s="15" t="s">
        <v>88</v>
      </c>
      <c r="AQ337" s="15">
        <f t="shared" si="46"/>
        <v>330</v>
      </c>
      <c r="AR337" s="15" t="s">
        <v>654</v>
      </c>
      <c r="AS337" s="15">
        <f t="shared" si="47"/>
        <v>10</v>
      </c>
    </row>
    <row r="338" spans="35:45" ht="16.5" x14ac:dyDescent="0.2">
      <c r="AI338" s="60">
        <v>325</v>
      </c>
      <c r="AJ338" s="15">
        <f t="shared" si="42"/>
        <v>1606011</v>
      </c>
      <c r="AK338" s="15" t="str">
        <f t="shared" si="43"/>
        <v>中级神器2配件1-指虎Lvs5</v>
      </c>
      <c r="AL338" s="60" t="s">
        <v>645</v>
      </c>
      <c r="AM338" s="15">
        <f t="shared" si="44"/>
        <v>5</v>
      </c>
      <c r="AN338" s="15" t="str">
        <f t="shared" si="45"/>
        <v>中级神器2配件1</v>
      </c>
      <c r="AO338" s="15">
        <f>INDEX(芦花古楼!$BX$19:$BX$58,神器!AM338)</f>
        <v>3</v>
      </c>
      <c r="AP338" s="15" t="s">
        <v>88</v>
      </c>
      <c r="AQ338" s="15">
        <f t="shared" si="46"/>
        <v>400</v>
      </c>
      <c r="AR338" s="15" t="s">
        <v>654</v>
      </c>
      <c r="AS338" s="15">
        <f t="shared" si="47"/>
        <v>12</v>
      </c>
    </row>
    <row r="339" spans="35:45" ht="16.5" x14ac:dyDescent="0.2">
      <c r="AI339" s="60">
        <v>326</v>
      </c>
      <c r="AJ339" s="15">
        <f t="shared" si="42"/>
        <v>1606011</v>
      </c>
      <c r="AK339" s="15" t="str">
        <f t="shared" si="43"/>
        <v>中级神器2配件1-指虎Lvs6</v>
      </c>
      <c r="AL339" s="60" t="s">
        <v>645</v>
      </c>
      <c r="AM339" s="15">
        <f t="shared" si="44"/>
        <v>6</v>
      </c>
      <c r="AN339" s="15" t="str">
        <f t="shared" si="45"/>
        <v>中级神器2配件1</v>
      </c>
      <c r="AO339" s="15">
        <f>INDEX(芦花古楼!$BX$19:$BX$58,神器!AM339)</f>
        <v>5</v>
      </c>
      <c r="AP339" s="15" t="s">
        <v>88</v>
      </c>
      <c r="AQ339" s="15">
        <f t="shared" si="46"/>
        <v>465</v>
      </c>
      <c r="AR339" s="15" t="s">
        <v>654</v>
      </c>
      <c r="AS339" s="15">
        <f t="shared" si="47"/>
        <v>14</v>
      </c>
    </row>
    <row r="340" spans="35:45" ht="16.5" x14ac:dyDescent="0.2">
      <c r="AI340" s="60">
        <v>327</v>
      </c>
      <c r="AJ340" s="15">
        <f t="shared" si="42"/>
        <v>1606011</v>
      </c>
      <c r="AK340" s="15" t="str">
        <f t="shared" si="43"/>
        <v>中级神器2配件1-指虎Lvs7</v>
      </c>
      <c r="AL340" s="60" t="s">
        <v>645</v>
      </c>
      <c r="AM340" s="15">
        <f t="shared" si="44"/>
        <v>7</v>
      </c>
      <c r="AN340" s="15" t="str">
        <f t="shared" si="45"/>
        <v>中级神器2配件1</v>
      </c>
      <c r="AO340" s="15">
        <f>INDEX(芦花古楼!$BX$19:$BX$58,神器!AM340)</f>
        <v>5</v>
      </c>
      <c r="AP340" s="15" t="s">
        <v>88</v>
      </c>
      <c r="AQ340" s="15">
        <f t="shared" si="46"/>
        <v>535</v>
      </c>
      <c r="AR340" s="15" t="s">
        <v>654</v>
      </c>
      <c r="AS340" s="15">
        <f t="shared" si="47"/>
        <v>16</v>
      </c>
    </row>
    <row r="341" spans="35:45" ht="16.5" x14ac:dyDescent="0.2">
      <c r="AI341" s="60">
        <v>328</v>
      </c>
      <c r="AJ341" s="15">
        <f t="shared" si="42"/>
        <v>1606011</v>
      </c>
      <c r="AK341" s="15" t="str">
        <f t="shared" si="43"/>
        <v>中级神器2配件1-指虎Lvs8</v>
      </c>
      <c r="AL341" s="60" t="s">
        <v>645</v>
      </c>
      <c r="AM341" s="15">
        <f t="shared" si="44"/>
        <v>8</v>
      </c>
      <c r="AN341" s="15" t="str">
        <f t="shared" si="45"/>
        <v>中级神器2配件1</v>
      </c>
      <c r="AO341" s="15">
        <f>INDEX(芦花古楼!$BX$19:$BX$58,神器!AM341)</f>
        <v>5</v>
      </c>
      <c r="AP341" s="15" t="s">
        <v>88</v>
      </c>
      <c r="AQ341" s="15">
        <f t="shared" si="46"/>
        <v>600</v>
      </c>
      <c r="AR341" s="15" t="s">
        <v>654</v>
      </c>
      <c r="AS341" s="15">
        <f t="shared" si="47"/>
        <v>18</v>
      </c>
    </row>
    <row r="342" spans="35:45" ht="16.5" x14ac:dyDescent="0.2">
      <c r="AI342" s="60">
        <v>329</v>
      </c>
      <c r="AJ342" s="15">
        <f t="shared" si="42"/>
        <v>1606011</v>
      </c>
      <c r="AK342" s="15" t="str">
        <f t="shared" si="43"/>
        <v>中级神器2配件1-指虎Lvs9</v>
      </c>
      <c r="AL342" s="60" t="s">
        <v>645</v>
      </c>
      <c r="AM342" s="15">
        <f t="shared" si="44"/>
        <v>9</v>
      </c>
      <c r="AN342" s="15" t="str">
        <f t="shared" si="45"/>
        <v>中级神器2配件1</v>
      </c>
      <c r="AO342" s="15">
        <f>INDEX(芦花古楼!$BX$19:$BX$58,神器!AM342)</f>
        <v>5</v>
      </c>
      <c r="AP342" s="15" t="s">
        <v>88</v>
      </c>
      <c r="AQ342" s="15">
        <f t="shared" si="46"/>
        <v>665</v>
      </c>
      <c r="AR342" s="15" t="s">
        <v>654</v>
      </c>
      <c r="AS342" s="15">
        <f t="shared" si="47"/>
        <v>20</v>
      </c>
    </row>
    <row r="343" spans="35:45" ht="16.5" x14ac:dyDescent="0.2">
      <c r="AI343" s="60">
        <v>330</v>
      </c>
      <c r="AJ343" s="15">
        <f t="shared" si="42"/>
        <v>1606011</v>
      </c>
      <c r="AK343" s="15" t="str">
        <f t="shared" si="43"/>
        <v>中级神器2配件1-指虎Lvs10</v>
      </c>
      <c r="AL343" s="60" t="s">
        <v>645</v>
      </c>
      <c r="AM343" s="15">
        <f t="shared" si="44"/>
        <v>10</v>
      </c>
      <c r="AN343" s="15" t="str">
        <f t="shared" si="45"/>
        <v>中级神器2配件1</v>
      </c>
      <c r="AO343" s="15">
        <f>INDEX(芦花古楼!$BX$19:$BX$58,神器!AM343)</f>
        <v>7</v>
      </c>
      <c r="AP343" s="15" t="s">
        <v>88</v>
      </c>
      <c r="AQ343" s="15">
        <f t="shared" si="46"/>
        <v>800</v>
      </c>
      <c r="AR343" s="15" t="s">
        <v>654</v>
      </c>
      <c r="AS343" s="15">
        <f t="shared" si="47"/>
        <v>22</v>
      </c>
    </row>
    <row r="344" spans="35:45" ht="16.5" x14ac:dyDescent="0.2">
      <c r="AI344" s="60">
        <v>331</v>
      </c>
      <c r="AJ344" s="15">
        <f t="shared" si="42"/>
        <v>1606011</v>
      </c>
      <c r="AK344" s="15" t="str">
        <f t="shared" si="43"/>
        <v>中级神器2配件1-指虎Lvs11</v>
      </c>
      <c r="AL344" s="60" t="s">
        <v>645</v>
      </c>
      <c r="AM344" s="15">
        <f t="shared" si="44"/>
        <v>11</v>
      </c>
      <c r="AN344" s="15" t="str">
        <f t="shared" si="45"/>
        <v>中级神器2配件1</v>
      </c>
      <c r="AO344" s="15">
        <f>INDEX(芦花古楼!$BX$19:$BX$58,神器!AM344)</f>
        <v>7</v>
      </c>
      <c r="AP344" s="15" t="s">
        <v>88</v>
      </c>
      <c r="AQ344" s="15">
        <f t="shared" si="46"/>
        <v>1005</v>
      </c>
      <c r="AR344" s="15" t="s">
        <v>654</v>
      </c>
      <c r="AS344" s="15">
        <f t="shared" si="47"/>
        <v>25</v>
      </c>
    </row>
    <row r="345" spans="35:45" ht="16.5" x14ac:dyDescent="0.2">
      <c r="AI345" s="60">
        <v>332</v>
      </c>
      <c r="AJ345" s="15">
        <f t="shared" si="42"/>
        <v>1606011</v>
      </c>
      <c r="AK345" s="15" t="str">
        <f t="shared" si="43"/>
        <v>中级神器2配件1-指虎Lvs12</v>
      </c>
      <c r="AL345" s="60" t="s">
        <v>645</v>
      </c>
      <c r="AM345" s="15">
        <f t="shared" si="44"/>
        <v>12</v>
      </c>
      <c r="AN345" s="15" t="str">
        <f t="shared" si="45"/>
        <v>中级神器2配件1</v>
      </c>
      <c r="AO345" s="15">
        <f>INDEX(芦花古楼!$BX$19:$BX$58,神器!AM345)</f>
        <v>7</v>
      </c>
      <c r="AP345" s="15" t="s">
        <v>88</v>
      </c>
      <c r="AQ345" s="15">
        <f t="shared" si="46"/>
        <v>1175</v>
      </c>
      <c r="AR345" s="15" t="s">
        <v>654</v>
      </c>
      <c r="AS345" s="15">
        <f t="shared" si="47"/>
        <v>27</v>
      </c>
    </row>
    <row r="346" spans="35:45" ht="16.5" x14ac:dyDescent="0.2">
      <c r="AI346" s="60">
        <v>333</v>
      </c>
      <c r="AJ346" s="15">
        <f t="shared" si="42"/>
        <v>1606011</v>
      </c>
      <c r="AK346" s="15" t="str">
        <f t="shared" si="43"/>
        <v>中级神器2配件1-指虎Lvs13</v>
      </c>
      <c r="AL346" s="60" t="s">
        <v>645</v>
      </c>
      <c r="AM346" s="15">
        <f t="shared" si="44"/>
        <v>13</v>
      </c>
      <c r="AN346" s="15" t="str">
        <f t="shared" si="45"/>
        <v>中级神器2配件1</v>
      </c>
      <c r="AO346" s="15">
        <f>INDEX(芦花古楼!$BX$19:$BX$58,神器!AM346)</f>
        <v>7</v>
      </c>
      <c r="AP346" s="15" t="s">
        <v>88</v>
      </c>
      <c r="AQ346" s="15">
        <f t="shared" si="46"/>
        <v>1340</v>
      </c>
      <c r="AR346" s="15" t="s">
        <v>654</v>
      </c>
      <c r="AS346" s="15">
        <f t="shared" si="47"/>
        <v>30</v>
      </c>
    </row>
    <row r="347" spans="35:45" ht="16.5" x14ac:dyDescent="0.2">
      <c r="AI347" s="60">
        <v>334</v>
      </c>
      <c r="AJ347" s="15">
        <f t="shared" si="42"/>
        <v>1606011</v>
      </c>
      <c r="AK347" s="15" t="str">
        <f t="shared" si="43"/>
        <v>中级神器2配件1-指虎Lvs14</v>
      </c>
      <c r="AL347" s="60" t="s">
        <v>645</v>
      </c>
      <c r="AM347" s="15">
        <f t="shared" si="44"/>
        <v>14</v>
      </c>
      <c r="AN347" s="15" t="str">
        <f t="shared" si="45"/>
        <v>中级神器2配件1</v>
      </c>
      <c r="AO347" s="15">
        <f>INDEX(芦花古楼!$BX$19:$BX$58,神器!AM347)</f>
        <v>7</v>
      </c>
      <c r="AP347" s="15" t="s">
        <v>88</v>
      </c>
      <c r="AQ347" s="15">
        <f t="shared" si="46"/>
        <v>1510</v>
      </c>
      <c r="AR347" s="15" t="s">
        <v>654</v>
      </c>
      <c r="AS347" s="15">
        <f t="shared" si="47"/>
        <v>33</v>
      </c>
    </row>
    <row r="348" spans="35:45" ht="16.5" x14ac:dyDescent="0.2">
      <c r="AI348" s="60">
        <v>335</v>
      </c>
      <c r="AJ348" s="15">
        <f t="shared" si="42"/>
        <v>1606011</v>
      </c>
      <c r="AK348" s="15" t="str">
        <f t="shared" si="43"/>
        <v>中级神器2配件1-指虎Lvs15</v>
      </c>
      <c r="AL348" s="60" t="s">
        <v>645</v>
      </c>
      <c r="AM348" s="15">
        <f t="shared" si="44"/>
        <v>15</v>
      </c>
      <c r="AN348" s="15" t="str">
        <f t="shared" si="45"/>
        <v>中级神器2配件1</v>
      </c>
      <c r="AO348" s="15">
        <f>INDEX(芦花古楼!$BX$19:$BX$58,神器!AM348)</f>
        <v>10</v>
      </c>
      <c r="AP348" s="15" t="s">
        <v>88</v>
      </c>
      <c r="AQ348" s="15">
        <f t="shared" si="46"/>
        <v>1680</v>
      </c>
      <c r="AR348" s="15" t="s">
        <v>654</v>
      </c>
      <c r="AS348" s="15">
        <f t="shared" si="47"/>
        <v>36</v>
      </c>
    </row>
    <row r="349" spans="35:45" ht="16.5" x14ac:dyDescent="0.2">
      <c r="AI349" s="60">
        <v>336</v>
      </c>
      <c r="AJ349" s="15">
        <f t="shared" si="42"/>
        <v>1606011</v>
      </c>
      <c r="AK349" s="15" t="str">
        <f t="shared" si="43"/>
        <v>中级神器2配件1-指虎Lvs16</v>
      </c>
      <c r="AL349" s="60" t="s">
        <v>645</v>
      </c>
      <c r="AM349" s="15">
        <f t="shared" si="44"/>
        <v>16</v>
      </c>
      <c r="AN349" s="15" t="str">
        <f t="shared" si="45"/>
        <v>中级神器2配件1</v>
      </c>
      <c r="AO349" s="15">
        <f>INDEX(芦花古楼!$BX$19:$BX$58,神器!AM349)</f>
        <v>10</v>
      </c>
      <c r="AP349" s="15" t="s">
        <v>88</v>
      </c>
      <c r="AQ349" s="15">
        <f t="shared" si="46"/>
        <v>1845</v>
      </c>
      <c r="AR349" s="15" t="s">
        <v>654</v>
      </c>
      <c r="AS349" s="15">
        <f t="shared" si="47"/>
        <v>39</v>
      </c>
    </row>
    <row r="350" spans="35:45" ht="16.5" x14ac:dyDescent="0.2">
      <c r="AI350" s="60">
        <v>337</v>
      </c>
      <c r="AJ350" s="15">
        <f t="shared" si="42"/>
        <v>1606011</v>
      </c>
      <c r="AK350" s="15" t="str">
        <f t="shared" si="43"/>
        <v>中级神器2配件1-指虎Lvs17</v>
      </c>
      <c r="AL350" s="60" t="s">
        <v>645</v>
      </c>
      <c r="AM350" s="15">
        <f t="shared" si="44"/>
        <v>17</v>
      </c>
      <c r="AN350" s="15" t="str">
        <f t="shared" si="45"/>
        <v>中级神器2配件1</v>
      </c>
      <c r="AO350" s="15">
        <f>INDEX(芦花古楼!$BX$19:$BX$58,神器!AM350)</f>
        <v>10</v>
      </c>
      <c r="AP350" s="15" t="s">
        <v>88</v>
      </c>
      <c r="AQ350" s="15">
        <f t="shared" si="46"/>
        <v>2015</v>
      </c>
      <c r="AR350" s="15" t="s">
        <v>654</v>
      </c>
      <c r="AS350" s="15">
        <f t="shared" si="47"/>
        <v>42</v>
      </c>
    </row>
    <row r="351" spans="35:45" ht="16.5" x14ac:dyDescent="0.2">
      <c r="AI351" s="60">
        <v>338</v>
      </c>
      <c r="AJ351" s="15">
        <f t="shared" si="42"/>
        <v>1606011</v>
      </c>
      <c r="AK351" s="15" t="str">
        <f t="shared" si="43"/>
        <v>中级神器2配件1-指虎Lvs18</v>
      </c>
      <c r="AL351" s="60" t="s">
        <v>645</v>
      </c>
      <c r="AM351" s="15">
        <f t="shared" si="44"/>
        <v>18</v>
      </c>
      <c r="AN351" s="15" t="str">
        <f t="shared" si="45"/>
        <v>中级神器2配件1</v>
      </c>
      <c r="AO351" s="15">
        <f>INDEX(芦花古楼!$BX$19:$BX$58,神器!AM351)</f>
        <v>10</v>
      </c>
      <c r="AP351" s="15" t="s">
        <v>88</v>
      </c>
      <c r="AQ351" s="15">
        <f t="shared" si="46"/>
        <v>2180</v>
      </c>
      <c r="AR351" s="15" t="s">
        <v>654</v>
      </c>
      <c r="AS351" s="15">
        <f t="shared" si="47"/>
        <v>46</v>
      </c>
    </row>
    <row r="352" spans="35:45" ht="16.5" x14ac:dyDescent="0.2">
      <c r="AI352" s="60">
        <v>339</v>
      </c>
      <c r="AJ352" s="15">
        <f t="shared" si="42"/>
        <v>1606011</v>
      </c>
      <c r="AK352" s="15" t="str">
        <f t="shared" si="43"/>
        <v>中级神器2配件1-指虎Lvs19</v>
      </c>
      <c r="AL352" s="60" t="s">
        <v>645</v>
      </c>
      <c r="AM352" s="15">
        <f t="shared" si="44"/>
        <v>19</v>
      </c>
      <c r="AN352" s="15" t="str">
        <f t="shared" si="45"/>
        <v>中级神器2配件1</v>
      </c>
      <c r="AO352" s="15">
        <f>INDEX(芦花古楼!$BX$19:$BX$58,神器!AM352)</f>
        <v>10</v>
      </c>
      <c r="AP352" s="15" t="s">
        <v>88</v>
      </c>
      <c r="AQ352" s="15">
        <f t="shared" si="46"/>
        <v>2350</v>
      </c>
      <c r="AR352" s="15" t="s">
        <v>654</v>
      </c>
      <c r="AS352" s="15">
        <f t="shared" si="47"/>
        <v>49</v>
      </c>
    </row>
    <row r="353" spans="35:45" ht="16.5" x14ac:dyDescent="0.2">
      <c r="AI353" s="60">
        <v>340</v>
      </c>
      <c r="AJ353" s="15">
        <f t="shared" si="42"/>
        <v>1606011</v>
      </c>
      <c r="AK353" s="15" t="str">
        <f t="shared" si="43"/>
        <v>中级神器2配件1-指虎Lvs20</v>
      </c>
      <c r="AL353" s="60" t="s">
        <v>645</v>
      </c>
      <c r="AM353" s="15">
        <f t="shared" si="44"/>
        <v>20</v>
      </c>
      <c r="AN353" s="15" t="str">
        <f t="shared" si="45"/>
        <v>中级神器2配件1</v>
      </c>
      <c r="AO353" s="15">
        <f>INDEX(芦花古楼!$BX$19:$BX$58,神器!AM353)</f>
        <v>10</v>
      </c>
      <c r="AP353" s="15" t="s">
        <v>88</v>
      </c>
      <c r="AQ353" s="15">
        <f t="shared" si="46"/>
        <v>2685</v>
      </c>
      <c r="AR353" s="15" t="s">
        <v>654</v>
      </c>
      <c r="AS353" s="15">
        <f t="shared" si="47"/>
        <v>53</v>
      </c>
    </row>
    <row r="354" spans="35:45" ht="16.5" x14ac:dyDescent="0.2">
      <c r="AI354" s="60">
        <v>341</v>
      </c>
      <c r="AJ354" s="15">
        <f t="shared" si="42"/>
        <v>1606011</v>
      </c>
      <c r="AK354" s="15" t="str">
        <f t="shared" si="43"/>
        <v>中级神器2配件1-指虎Lvs21</v>
      </c>
      <c r="AL354" s="60" t="s">
        <v>645</v>
      </c>
      <c r="AM354" s="15">
        <f t="shared" si="44"/>
        <v>21</v>
      </c>
      <c r="AN354" s="15" t="str">
        <f t="shared" si="45"/>
        <v>中级神器2配件1</v>
      </c>
      <c r="AO354" s="15">
        <f>INDEX(芦花古楼!$BX$19:$BX$58,神器!AM354)</f>
        <v>15</v>
      </c>
      <c r="AP354" s="15" t="s">
        <v>88</v>
      </c>
      <c r="AQ354" s="15">
        <f t="shared" si="46"/>
        <v>2965</v>
      </c>
      <c r="AR354" s="15" t="s">
        <v>654</v>
      </c>
      <c r="AS354" s="15">
        <f t="shared" si="47"/>
        <v>57</v>
      </c>
    </row>
    <row r="355" spans="35:45" ht="16.5" x14ac:dyDescent="0.2">
      <c r="AI355" s="60">
        <v>342</v>
      </c>
      <c r="AJ355" s="15">
        <f t="shared" si="42"/>
        <v>1606011</v>
      </c>
      <c r="AK355" s="15" t="str">
        <f t="shared" si="43"/>
        <v>中级神器2配件1-指虎Lvs22</v>
      </c>
      <c r="AL355" s="60" t="s">
        <v>645</v>
      </c>
      <c r="AM355" s="15">
        <f t="shared" si="44"/>
        <v>22</v>
      </c>
      <c r="AN355" s="15" t="str">
        <f t="shared" si="45"/>
        <v>中级神器2配件1</v>
      </c>
      <c r="AO355" s="15">
        <f>INDEX(芦花古楼!$BX$19:$BX$58,神器!AM355)</f>
        <v>15</v>
      </c>
      <c r="AP355" s="15" t="s">
        <v>88</v>
      </c>
      <c r="AQ355" s="15">
        <f t="shared" si="46"/>
        <v>3115</v>
      </c>
      <c r="AR355" s="15" t="s">
        <v>654</v>
      </c>
      <c r="AS355" s="15">
        <f t="shared" si="47"/>
        <v>61</v>
      </c>
    </row>
    <row r="356" spans="35:45" ht="16.5" x14ac:dyDescent="0.2">
      <c r="AI356" s="60">
        <v>343</v>
      </c>
      <c r="AJ356" s="15">
        <f t="shared" si="42"/>
        <v>1606011</v>
      </c>
      <c r="AK356" s="15" t="str">
        <f t="shared" si="43"/>
        <v>中级神器2配件1-指虎Lvs23</v>
      </c>
      <c r="AL356" s="60" t="s">
        <v>645</v>
      </c>
      <c r="AM356" s="15">
        <f t="shared" si="44"/>
        <v>23</v>
      </c>
      <c r="AN356" s="15" t="str">
        <f t="shared" si="45"/>
        <v>中级神器2配件1</v>
      </c>
      <c r="AO356" s="15">
        <f>INDEX(芦花古楼!$BX$19:$BX$58,神器!AM356)</f>
        <v>15</v>
      </c>
      <c r="AP356" s="15" t="s">
        <v>88</v>
      </c>
      <c r="AQ356" s="15">
        <f t="shared" si="46"/>
        <v>3265</v>
      </c>
      <c r="AR356" s="15" t="s">
        <v>654</v>
      </c>
      <c r="AS356" s="15">
        <f t="shared" si="47"/>
        <v>66</v>
      </c>
    </row>
    <row r="357" spans="35:45" ht="16.5" x14ac:dyDescent="0.2">
      <c r="AI357" s="60">
        <v>344</v>
      </c>
      <c r="AJ357" s="15">
        <f t="shared" si="42"/>
        <v>1606011</v>
      </c>
      <c r="AK357" s="15" t="str">
        <f t="shared" si="43"/>
        <v>中级神器2配件1-指虎Lvs24</v>
      </c>
      <c r="AL357" s="60" t="s">
        <v>645</v>
      </c>
      <c r="AM357" s="15">
        <f t="shared" si="44"/>
        <v>24</v>
      </c>
      <c r="AN357" s="15" t="str">
        <f t="shared" si="45"/>
        <v>中级神器2配件1</v>
      </c>
      <c r="AO357" s="15">
        <f>INDEX(芦花古楼!$BX$19:$BX$58,神器!AM357)</f>
        <v>15</v>
      </c>
      <c r="AP357" s="15" t="s">
        <v>88</v>
      </c>
      <c r="AQ357" s="15">
        <f t="shared" si="46"/>
        <v>3410</v>
      </c>
      <c r="AR357" s="15" t="s">
        <v>654</v>
      </c>
      <c r="AS357" s="15">
        <f t="shared" si="47"/>
        <v>71</v>
      </c>
    </row>
    <row r="358" spans="35:45" ht="16.5" x14ac:dyDescent="0.2">
      <c r="AI358" s="60">
        <v>345</v>
      </c>
      <c r="AJ358" s="15">
        <f t="shared" si="42"/>
        <v>1606011</v>
      </c>
      <c r="AK358" s="15" t="str">
        <f t="shared" si="43"/>
        <v>中级神器2配件1-指虎Lvs25</v>
      </c>
      <c r="AL358" s="60" t="s">
        <v>645</v>
      </c>
      <c r="AM358" s="15">
        <f t="shared" si="44"/>
        <v>25</v>
      </c>
      <c r="AN358" s="15" t="str">
        <f t="shared" si="45"/>
        <v>中级神器2配件1</v>
      </c>
      <c r="AO358" s="15">
        <f>INDEX(芦花古楼!$BX$19:$BX$58,神器!AM358)</f>
        <v>15</v>
      </c>
      <c r="AP358" s="15" t="s">
        <v>88</v>
      </c>
      <c r="AQ358" s="15">
        <f t="shared" si="46"/>
        <v>3560</v>
      </c>
      <c r="AR358" s="15" t="s">
        <v>654</v>
      </c>
      <c r="AS358" s="15">
        <f t="shared" si="47"/>
        <v>75</v>
      </c>
    </row>
    <row r="359" spans="35:45" ht="16.5" x14ac:dyDescent="0.2">
      <c r="AI359" s="60">
        <v>346</v>
      </c>
      <c r="AJ359" s="15">
        <f t="shared" si="42"/>
        <v>1606011</v>
      </c>
      <c r="AK359" s="15" t="str">
        <f t="shared" si="43"/>
        <v>中级神器2配件1-指虎Lvs26</v>
      </c>
      <c r="AL359" s="60" t="s">
        <v>645</v>
      </c>
      <c r="AM359" s="15">
        <f t="shared" si="44"/>
        <v>26</v>
      </c>
      <c r="AN359" s="15" t="str">
        <f t="shared" si="45"/>
        <v>中级神器2配件1</v>
      </c>
      <c r="AO359" s="15">
        <f>INDEX(芦花古楼!$BX$19:$BX$58,神器!AM359)</f>
        <v>25</v>
      </c>
      <c r="AP359" s="15" t="s">
        <v>88</v>
      </c>
      <c r="AQ359" s="15">
        <f t="shared" si="46"/>
        <v>3710</v>
      </c>
      <c r="AR359" s="15" t="s">
        <v>654</v>
      </c>
      <c r="AS359" s="15">
        <f t="shared" si="47"/>
        <v>81</v>
      </c>
    </row>
    <row r="360" spans="35:45" ht="16.5" x14ac:dyDescent="0.2">
      <c r="AI360" s="60">
        <v>347</v>
      </c>
      <c r="AJ360" s="15">
        <f t="shared" si="42"/>
        <v>1606011</v>
      </c>
      <c r="AK360" s="15" t="str">
        <f t="shared" si="43"/>
        <v>中级神器2配件1-指虎Lvs27</v>
      </c>
      <c r="AL360" s="60" t="s">
        <v>645</v>
      </c>
      <c r="AM360" s="15">
        <f t="shared" si="44"/>
        <v>27</v>
      </c>
      <c r="AN360" s="15" t="str">
        <f t="shared" si="45"/>
        <v>中级神器2配件1</v>
      </c>
      <c r="AO360" s="15">
        <f>INDEX(芦花古楼!$BX$19:$BX$58,神器!AM360)</f>
        <v>25</v>
      </c>
      <c r="AP360" s="15" t="s">
        <v>88</v>
      </c>
      <c r="AQ360" s="15">
        <f t="shared" si="46"/>
        <v>3855</v>
      </c>
      <c r="AR360" s="15" t="s">
        <v>654</v>
      </c>
      <c r="AS360" s="15">
        <f t="shared" si="47"/>
        <v>86</v>
      </c>
    </row>
    <row r="361" spans="35:45" ht="16.5" x14ac:dyDescent="0.2">
      <c r="AI361" s="60">
        <v>348</v>
      </c>
      <c r="AJ361" s="15">
        <f t="shared" si="42"/>
        <v>1606011</v>
      </c>
      <c r="AK361" s="15" t="str">
        <f t="shared" si="43"/>
        <v>中级神器2配件1-指虎Lvs28</v>
      </c>
      <c r="AL361" s="60" t="s">
        <v>645</v>
      </c>
      <c r="AM361" s="15">
        <f t="shared" si="44"/>
        <v>28</v>
      </c>
      <c r="AN361" s="15" t="str">
        <f t="shared" si="45"/>
        <v>中级神器2配件1</v>
      </c>
      <c r="AO361" s="15">
        <f>INDEX(芦花古楼!$BX$19:$BX$58,神器!AM361)</f>
        <v>25</v>
      </c>
      <c r="AP361" s="15" t="s">
        <v>88</v>
      </c>
      <c r="AQ361" s="15">
        <f t="shared" si="46"/>
        <v>4005</v>
      </c>
      <c r="AR361" s="15" t="s">
        <v>654</v>
      </c>
      <c r="AS361" s="15">
        <f t="shared" si="47"/>
        <v>92</v>
      </c>
    </row>
    <row r="362" spans="35:45" ht="16.5" x14ac:dyDescent="0.2">
      <c r="AI362" s="60">
        <v>349</v>
      </c>
      <c r="AJ362" s="15">
        <f t="shared" si="42"/>
        <v>1606011</v>
      </c>
      <c r="AK362" s="15" t="str">
        <f t="shared" si="43"/>
        <v>中级神器2配件1-指虎Lvs29</v>
      </c>
      <c r="AL362" s="60" t="s">
        <v>645</v>
      </c>
      <c r="AM362" s="15">
        <f t="shared" si="44"/>
        <v>29</v>
      </c>
      <c r="AN362" s="15" t="str">
        <f t="shared" si="45"/>
        <v>中级神器2配件1</v>
      </c>
      <c r="AO362" s="15">
        <f>INDEX(芦花古楼!$BX$19:$BX$58,神器!AM362)</f>
        <v>25</v>
      </c>
      <c r="AP362" s="15" t="s">
        <v>88</v>
      </c>
      <c r="AQ362" s="15">
        <f t="shared" si="46"/>
        <v>4155</v>
      </c>
      <c r="AR362" s="15" t="s">
        <v>654</v>
      </c>
      <c r="AS362" s="15">
        <f t="shared" si="47"/>
        <v>97</v>
      </c>
    </row>
    <row r="363" spans="35:45" ht="16.5" x14ac:dyDescent="0.2">
      <c r="AI363" s="60">
        <v>350</v>
      </c>
      <c r="AJ363" s="15">
        <f t="shared" si="42"/>
        <v>1606011</v>
      </c>
      <c r="AK363" s="15" t="str">
        <f t="shared" si="43"/>
        <v>中级神器2配件1-指虎Lvs30</v>
      </c>
      <c r="AL363" s="60" t="s">
        <v>645</v>
      </c>
      <c r="AM363" s="15">
        <f t="shared" si="44"/>
        <v>30</v>
      </c>
      <c r="AN363" s="15" t="str">
        <f t="shared" si="45"/>
        <v>中级神器2配件1</v>
      </c>
      <c r="AO363" s="15">
        <f>INDEX(芦花古楼!$BX$19:$BX$58,神器!AM363)</f>
        <v>25</v>
      </c>
      <c r="AP363" s="15" t="s">
        <v>88</v>
      </c>
      <c r="AQ363" s="15">
        <f t="shared" si="46"/>
        <v>4450</v>
      </c>
      <c r="AR363" s="15" t="s">
        <v>654</v>
      </c>
      <c r="AS363" s="15">
        <f t="shared" si="47"/>
        <v>104</v>
      </c>
    </row>
    <row r="364" spans="35:45" ht="16.5" x14ac:dyDescent="0.2">
      <c r="AI364" s="60">
        <v>351</v>
      </c>
      <c r="AJ364" s="15">
        <f t="shared" si="42"/>
        <v>1606011</v>
      </c>
      <c r="AK364" s="15" t="str">
        <f t="shared" si="43"/>
        <v>中级神器2配件1-指虎Lvs31</v>
      </c>
      <c r="AL364" s="60" t="s">
        <v>645</v>
      </c>
      <c r="AM364" s="15">
        <f t="shared" si="44"/>
        <v>31</v>
      </c>
      <c r="AN364" s="15" t="str">
        <f t="shared" si="45"/>
        <v>中级神器2配件1</v>
      </c>
      <c r="AO364" s="15">
        <f>INDEX(芦花古楼!$BX$19:$BX$58,神器!AM364)</f>
        <v>30</v>
      </c>
      <c r="AP364" s="15" t="s">
        <v>88</v>
      </c>
      <c r="AQ364" s="15">
        <f t="shared" si="46"/>
        <v>4340</v>
      </c>
      <c r="AR364" s="15" t="s">
        <v>654</v>
      </c>
      <c r="AS364" s="15">
        <f t="shared" si="47"/>
        <v>110</v>
      </c>
    </row>
    <row r="365" spans="35:45" ht="16.5" x14ac:dyDescent="0.2">
      <c r="AI365" s="60">
        <v>352</v>
      </c>
      <c r="AJ365" s="15">
        <f t="shared" si="42"/>
        <v>1606011</v>
      </c>
      <c r="AK365" s="15" t="str">
        <f t="shared" si="43"/>
        <v>中级神器2配件1-指虎Lvs32</v>
      </c>
      <c r="AL365" s="60" t="s">
        <v>645</v>
      </c>
      <c r="AM365" s="15">
        <f t="shared" si="44"/>
        <v>32</v>
      </c>
      <c r="AN365" s="15" t="str">
        <f t="shared" si="45"/>
        <v>中级神器2配件1</v>
      </c>
      <c r="AO365" s="15">
        <f>INDEX(芦花古楼!$BX$19:$BX$58,神器!AM365)</f>
        <v>30</v>
      </c>
      <c r="AP365" s="15" t="s">
        <v>88</v>
      </c>
      <c r="AQ365" s="15">
        <f t="shared" si="46"/>
        <v>6510</v>
      </c>
      <c r="AR365" s="15" t="s">
        <v>654</v>
      </c>
      <c r="AS365" s="15">
        <f t="shared" si="47"/>
        <v>117</v>
      </c>
    </row>
    <row r="366" spans="35:45" ht="16.5" x14ac:dyDescent="0.2">
      <c r="AI366" s="60">
        <v>353</v>
      </c>
      <c r="AJ366" s="15">
        <f t="shared" si="42"/>
        <v>1606011</v>
      </c>
      <c r="AK366" s="15" t="str">
        <f t="shared" si="43"/>
        <v>中级神器2配件1-指虎Lvs33</v>
      </c>
      <c r="AL366" s="60" t="s">
        <v>645</v>
      </c>
      <c r="AM366" s="15">
        <f t="shared" si="44"/>
        <v>33</v>
      </c>
      <c r="AN366" s="15" t="str">
        <f t="shared" si="45"/>
        <v>中级神器2配件1</v>
      </c>
      <c r="AO366" s="15">
        <f>INDEX(芦花古楼!$BX$19:$BX$58,神器!AM366)</f>
        <v>30</v>
      </c>
      <c r="AP366" s="15" t="s">
        <v>88</v>
      </c>
      <c r="AQ366" s="15">
        <f t="shared" si="46"/>
        <v>8680</v>
      </c>
      <c r="AR366" s="15" t="s">
        <v>654</v>
      </c>
      <c r="AS366" s="15">
        <f t="shared" si="47"/>
        <v>124</v>
      </c>
    </row>
    <row r="367" spans="35:45" ht="16.5" x14ac:dyDescent="0.2">
      <c r="AI367" s="60">
        <v>354</v>
      </c>
      <c r="AJ367" s="15">
        <f t="shared" si="42"/>
        <v>1606011</v>
      </c>
      <c r="AK367" s="15" t="str">
        <f t="shared" si="43"/>
        <v>中级神器2配件1-指虎Lvs34</v>
      </c>
      <c r="AL367" s="60" t="s">
        <v>645</v>
      </c>
      <c r="AM367" s="15">
        <f t="shared" si="44"/>
        <v>34</v>
      </c>
      <c r="AN367" s="15" t="str">
        <f t="shared" si="45"/>
        <v>中级神器2配件1</v>
      </c>
      <c r="AO367" s="15">
        <f>INDEX(芦花古楼!$BX$19:$BX$58,神器!AM367)</f>
        <v>30</v>
      </c>
      <c r="AP367" s="15" t="s">
        <v>88</v>
      </c>
      <c r="AQ367" s="15">
        <f t="shared" si="46"/>
        <v>10850</v>
      </c>
      <c r="AR367" s="15" t="s">
        <v>654</v>
      </c>
      <c r="AS367" s="15">
        <f t="shared" si="47"/>
        <v>132</v>
      </c>
    </row>
    <row r="368" spans="35:45" ht="16.5" x14ac:dyDescent="0.2">
      <c r="AI368" s="60">
        <v>355</v>
      </c>
      <c r="AJ368" s="15">
        <f t="shared" si="42"/>
        <v>1606011</v>
      </c>
      <c r="AK368" s="15" t="str">
        <f t="shared" si="43"/>
        <v>中级神器2配件1-指虎Lvs35</v>
      </c>
      <c r="AL368" s="60" t="s">
        <v>645</v>
      </c>
      <c r="AM368" s="15">
        <f t="shared" si="44"/>
        <v>35</v>
      </c>
      <c r="AN368" s="15" t="str">
        <f t="shared" si="45"/>
        <v>中级神器2配件1</v>
      </c>
      <c r="AO368" s="15">
        <f>INDEX(芦花古楼!$BX$19:$BX$58,神器!AM368)</f>
        <v>30</v>
      </c>
      <c r="AP368" s="15" t="s">
        <v>88</v>
      </c>
      <c r="AQ368" s="15">
        <f t="shared" si="46"/>
        <v>13020</v>
      </c>
      <c r="AR368" s="15" t="s">
        <v>654</v>
      </c>
      <c r="AS368" s="15">
        <f t="shared" si="47"/>
        <v>140</v>
      </c>
    </row>
    <row r="369" spans="35:45" ht="16.5" x14ac:dyDescent="0.2">
      <c r="AI369" s="60">
        <v>356</v>
      </c>
      <c r="AJ369" s="15">
        <f t="shared" si="42"/>
        <v>1606011</v>
      </c>
      <c r="AK369" s="15" t="str">
        <f t="shared" si="43"/>
        <v>中级神器2配件1-指虎Lvs36</v>
      </c>
      <c r="AL369" s="60" t="s">
        <v>645</v>
      </c>
      <c r="AM369" s="15">
        <f t="shared" si="44"/>
        <v>36</v>
      </c>
      <c r="AN369" s="15" t="str">
        <f t="shared" si="45"/>
        <v>中级神器2配件1</v>
      </c>
      <c r="AO369" s="15">
        <f>INDEX(芦花古楼!$BX$19:$BX$58,神器!AM369)</f>
        <v>40</v>
      </c>
      <c r="AP369" s="15" t="s">
        <v>88</v>
      </c>
      <c r="AQ369" s="15">
        <f t="shared" si="46"/>
        <v>15190</v>
      </c>
      <c r="AR369" s="15" t="s">
        <v>654</v>
      </c>
      <c r="AS369" s="15">
        <f t="shared" si="47"/>
        <v>148</v>
      </c>
    </row>
    <row r="370" spans="35:45" ht="16.5" x14ac:dyDescent="0.2">
      <c r="AI370" s="60">
        <v>357</v>
      </c>
      <c r="AJ370" s="15">
        <f t="shared" si="42"/>
        <v>1606011</v>
      </c>
      <c r="AK370" s="15" t="str">
        <f t="shared" si="43"/>
        <v>中级神器2配件1-指虎Lvs37</v>
      </c>
      <c r="AL370" s="60" t="s">
        <v>645</v>
      </c>
      <c r="AM370" s="15">
        <f t="shared" si="44"/>
        <v>37</v>
      </c>
      <c r="AN370" s="15" t="str">
        <f t="shared" si="45"/>
        <v>中级神器2配件1</v>
      </c>
      <c r="AO370" s="15">
        <f>INDEX(芦花古楼!$BX$19:$BX$58,神器!AM370)</f>
        <v>40</v>
      </c>
      <c r="AP370" s="15" t="s">
        <v>88</v>
      </c>
      <c r="AQ370" s="15">
        <f t="shared" si="46"/>
        <v>17360</v>
      </c>
      <c r="AR370" s="15" t="s">
        <v>654</v>
      </c>
      <c r="AS370" s="15">
        <f t="shared" si="47"/>
        <v>157</v>
      </c>
    </row>
    <row r="371" spans="35:45" ht="16.5" x14ac:dyDescent="0.2">
      <c r="AI371" s="60">
        <v>358</v>
      </c>
      <c r="AJ371" s="15">
        <f t="shared" si="42"/>
        <v>1606011</v>
      </c>
      <c r="AK371" s="15" t="str">
        <f t="shared" si="43"/>
        <v>中级神器2配件1-指虎Lvs38</v>
      </c>
      <c r="AL371" s="60" t="s">
        <v>645</v>
      </c>
      <c r="AM371" s="15">
        <f t="shared" si="44"/>
        <v>38</v>
      </c>
      <c r="AN371" s="15" t="str">
        <f t="shared" si="45"/>
        <v>中级神器2配件1</v>
      </c>
      <c r="AO371" s="15">
        <f>INDEX(芦花古楼!$BX$19:$BX$58,神器!AM371)</f>
        <v>40</v>
      </c>
      <c r="AP371" s="15" t="s">
        <v>88</v>
      </c>
      <c r="AQ371" s="15">
        <f t="shared" si="46"/>
        <v>19530</v>
      </c>
      <c r="AR371" s="15" t="s">
        <v>654</v>
      </c>
      <c r="AS371" s="15">
        <f t="shared" si="47"/>
        <v>166</v>
      </c>
    </row>
    <row r="372" spans="35:45" ht="16.5" x14ac:dyDescent="0.2">
      <c r="AI372" s="60">
        <v>359</v>
      </c>
      <c r="AJ372" s="15">
        <f t="shared" si="42"/>
        <v>1606011</v>
      </c>
      <c r="AK372" s="15" t="str">
        <f t="shared" si="43"/>
        <v>中级神器2配件1-指虎Lvs39</v>
      </c>
      <c r="AL372" s="60" t="s">
        <v>645</v>
      </c>
      <c r="AM372" s="15">
        <f t="shared" si="44"/>
        <v>39</v>
      </c>
      <c r="AN372" s="15" t="str">
        <f t="shared" si="45"/>
        <v>中级神器2配件1</v>
      </c>
      <c r="AO372" s="15">
        <f>INDEX(芦花古楼!$BX$19:$BX$58,神器!AM372)</f>
        <v>40</v>
      </c>
      <c r="AP372" s="15" t="s">
        <v>88</v>
      </c>
      <c r="AQ372" s="15">
        <f t="shared" si="46"/>
        <v>21700</v>
      </c>
      <c r="AR372" s="15" t="s">
        <v>654</v>
      </c>
      <c r="AS372" s="15">
        <f t="shared" si="47"/>
        <v>176</v>
      </c>
    </row>
    <row r="373" spans="35:45" ht="16.5" x14ac:dyDescent="0.2">
      <c r="AI373" s="60">
        <v>360</v>
      </c>
      <c r="AJ373" s="15">
        <f t="shared" si="42"/>
        <v>1606011</v>
      </c>
      <c r="AK373" s="15" t="str">
        <f t="shared" si="43"/>
        <v>中级神器2配件1-指虎Lvs40</v>
      </c>
      <c r="AL373" s="60" t="s">
        <v>645</v>
      </c>
      <c r="AM373" s="15">
        <f t="shared" si="44"/>
        <v>40</v>
      </c>
      <c r="AN373" s="15" t="str">
        <f t="shared" si="45"/>
        <v>中级神器2配件1</v>
      </c>
      <c r="AO373" s="15">
        <f>INDEX(芦花古楼!$BX$19:$BX$58,神器!AM373)</f>
        <v>40</v>
      </c>
      <c r="AP373" s="15" t="s">
        <v>88</v>
      </c>
      <c r="AQ373" s="15">
        <f t="shared" si="46"/>
        <v>26040</v>
      </c>
      <c r="AR373" s="15" t="s">
        <v>654</v>
      </c>
      <c r="AS373" s="15">
        <f t="shared" si="47"/>
        <v>186</v>
      </c>
    </row>
    <row r="374" spans="35:45" ht="16.5" x14ac:dyDescent="0.2">
      <c r="AI374" s="60">
        <v>361</v>
      </c>
      <c r="AJ374" s="15">
        <f t="shared" si="42"/>
        <v>1606012</v>
      </c>
      <c r="AK374" s="15" t="str">
        <f t="shared" si="43"/>
        <v>中级神器2配件2-手镖Lvs1</v>
      </c>
      <c r="AL374" s="60" t="s">
        <v>645</v>
      </c>
      <c r="AM374" s="15">
        <f t="shared" si="44"/>
        <v>1</v>
      </c>
      <c r="AN374" s="15" t="str">
        <f t="shared" si="45"/>
        <v>中级神器2配件2</v>
      </c>
      <c r="AO374" s="15">
        <f>INDEX(芦花古楼!$BX$19:$BX$58,神器!AM374)</f>
        <v>1</v>
      </c>
      <c r="AP374" s="15" t="s">
        <v>88</v>
      </c>
      <c r="AQ374" s="15">
        <f t="shared" si="46"/>
        <v>200</v>
      </c>
      <c r="AR374" s="15" t="s">
        <v>654</v>
      </c>
      <c r="AS374" s="15">
        <f t="shared" si="47"/>
        <v>7</v>
      </c>
    </row>
    <row r="375" spans="35:45" ht="16.5" x14ac:dyDescent="0.2">
      <c r="AI375" s="60">
        <v>362</v>
      </c>
      <c r="AJ375" s="15">
        <f t="shared" si="42"/>
        <v>1606012</v>
      </c>
      <c r="AK375" s="15" t="str">
        <f t="shared" si="43"/>
        <v>中级神器2配件2-手镖Lvs2</v>
      </c>
      <c r="AL375" s="60" t="s">
        <v>645</v>
      </c>
      <c r="AM375" s="15">
        <f t="shared" si="44"/>
        <v>2</v>
      </c>
      <c r="AN375" s="15" t="str">
        <f t="shared" si="45"/>
        <v>中级神器2配件2</v>
      </c>
      <c r="AO375" s="15">
        <f>INDEX(芦花古楼!$BX$19:$BX$58,神器!AM375)</f>
        <v>1</v>
      </c>
      <c r="AP375" s="15" t="s">
        <v>88</v>
      </c>
      <c r="AQ375" s="15">
        <f t="shared" si="46"/>
        <v>300</v>
      </c>
      <c r="AR375" s="15" t="s">
        <v>654</v>
      </c>
      <c r="AS375" s="15">
        <f t="shared" si="47"/>
        <v>10</v>
      </c>
    </row>
    <row r="376" spans="35:45" ht="16.5" x14ac:dyDescent="0.2">
      <c r="AI376" s="60">
        <v>363</v>
      </c>
      <c r="AJ376" s="15">
        <f t="shared" si="42"/>
        <v>1606012</v>
      </c>
      <c r="AK376" s="15" t="str">
        <f t="shared" si="43"/>
        <v>中级神器2配件2-手镖Lvs3</v>
      </c>
      <c r="AL376" s="60" t="s">
        <v>645</v>
      </c>
      <c r="AM376" s="15">
        <f t="shared" si="44"/>
        <v>3</v>
      </c>
      <c r="AN376" s="15" t="str">
        <f t="shared" si="45"/>
        <v>中级神器2配件2</v>
      </c>
      <c r="AO376" s="15">
        <f>INDEX(芦花古楼!$BX$19:$BX$58,神器!AM376)</f>
        <v>2</v>
      </c>
      <c r="AP376" s="15" t="s">
        <v>88</v>
      </c>
      <c r="AQ376" s="15">
        <f t="shared" si="46"/>
        <v>400</v>
      </c>
      <c r="AR376" s="15" t="s">
        <v>654</v>
      </c>
      <c r="AS376" s="15">
        <f t="shared" si="47"/>
        <v>12</v>
      </c>
    </row>
    <row r="377" spans="35:45" ht="16.5" x14ac:dyDescent="0.2">
      <c r="AI377" s="60">
        <v>364</v>
      </c>
      <c r="AJ377" s="15">
        <f t="shared" si="42"/>
        <v>1606012</v>
      </c>
      <c r="AK377" s="15" t="str">
        <f t="shared" si="43"/>
        <v>中级神器2配件2-手镖Lvs4</v>
      </c>
      <c r="AL377" s="60" t="s">
        <v>645</v>
      </c>
      <c r="AM377" s="15">
        <f t="shared" si="44"/>
        <v>4</v>
      </c>
      <c r="AN377" s="15" t="str">
        <f t="shared" si="45"/>
        <v>中级神器2配件2</v>
      </c>
      <c r="AO377" s="15">
        <f>INDEX(芦花古楼!$BX$19:$BX$58,神器!AM377)</f>
        <v>3</v>
      </c>
      <c r="AP377" s="15" t="s">
        <v>88</v>
      </c>
      <c r="AQ377" s="15">
        <f t="shared" si="46"/>
        <v>500</v>
      </c>
      <c r="AR377" s="15" t="s">
        <v>654</v>
      </c>
      <c r="AS377" s="15">
        <f t="shared" si="47"/>
        <v>15</v>
      </c>
    </row>
    <row r="378" spans="35:45" ht="16.5" x14ac:dyDescent="0.2">
      <c r="AI378" s="60">
        <v>365</v>
      </c>
      <c r="AJ378" s="15">
        <f t="shared" si="42"/>
        <v>1606012</v>
      </c>
      <c r="AK378" s="15" t="str">
        <f t="shared" si="43"/>
        <v>中级神器2配件2-手镖Lvs5</v>
      </c>
      <c r="AL378" s="60" t="s">
        <v>645</v>
      </c>
      <c r="AM378" s="15">
        <f t="shared" si="44"/>
        <v>5</v>
      </c>
      <c r="AN378" s="15" t="str">
        <f t="shared" si="45"/>
        <v>中级神器2配件2</v>
      </c>
      <c r="AO378" s="15">
        <f>INDEX(芦花古楼!$BX$19:$BX$58,神器!AM378)</f>
        <v>3</v>
      </c>
      <c r="AP378" s="15" t="s">
        <v>88</v>
      </c>
      <c r="AQ378" s="15">
        <f t="shared" si="46"/>
        <v>600</v>
      </c>
      <c r="AR378" s="15" t="s">
        <v>654</v>
      </c>
      <c r="AS378" s="15">
        <f t="shared" si="47"/>
        <v>18</v>
      </c>
    </row>
    <row r="379" spans="35:45" ht="16.5" x14ac:dyDescent="0.2">
      <c r="AI379" s="60">
        <v>366</v>
      </c>
      <c r="AJ379" s="15">
        <f t="shared" si="42"/>
        <v>1606012</v>
      </c>
      <c r="AK379" s="15" t="str">
        <f t="shared" si="43"/>
        <v>中级神器2配件2-手镖Lvs6</v>
      </c>
      <c r="AL379" s="60" t="s">
        <v>645</v>
      </c>
      <c r="AM379" s="15">
        <f t="shared" si="44"/>
        <v>6</v>
      </c>
      <c r="AN379" s="15" t="str">
        <f t="shared" si="45"/>
        <v>中级神器2配件2</v>
      </c>
      <c r="AO379" s="15">
        <f>INDEX(芦花古楼!$BX$19:$BX$58,神器!AM379)</f>
        <v>5</v>
      </c>
      <c r="AP379" s="15" t="s">
        <v>88</v>
      </c>
      <c r="AQ379" s="15">
        <f t="shared" si="46"/>
        <v>700</v>
      </c>
      <c r="AR379" s="15" t="s">
        <v>654</v>
      </c>
      <c r="AS379" s="15">
        <f t="shared" si="47"/>
        <v>21</v>
      </c>
    </row>
    <row r="380" spans="35:45" ht="16.5" x14ac:dyDescent="0.2">
      <c r="AI380" s="60">
        <v>367</v>
      </c>
      <c r="AJ380" s="15">
        <f t="shared" si="42"/>
        <v>1606012</v>
      </c>
      <c r="AK380" s="15" t="str">
        <f t="shared" si="43"/>
        <v>中级神器2配件2-手镖Lvs7</v>
      </c>
      <c r="AL380" s="60" t="s">
        <v>645</v>
      </c>
      <c r="AM380" s="15">
        <f t="shared" si="44"/>
        <v>7</v>
      </c>
      <c r="AN380" s="15" t="str">
        <f t="shared" si="45"/>
        <v>中级神器2配件2</v>
      </c>
      <c r="AO380" s="15">
        <f>INDEX(芦花古楼!$BX$19:$BX$58,神器!AM380)</f>
        <v>5</v>
      </c>
      <c r="AP380" s="15" t="s">
        <v>88</v>
      </c>
      <c r="AQ380" s="15">
        <f t="shared" si="46"/>
        <v>800</v>
      </c>
      <c r="AR380" s="15" t="s">
        <v>654</v>
      </c>
      <c r="AS380" s="15">
        <f t="shared" si="47"/>
        <v>24</v>
      </c>
    </row>
    <row r="381" spans="35:45" ht="16.5" x14ac:dyDescent="0.2">
      <c r="AI381" s="60">
        <v>368</v>
      </c>
      <c r="AJ381" s="15">
        <f t="shared" si="42"/>
        <v>1606012</v>
      </c>
      <c r="AK381" s="15" t="str">
        <f t="shared" si="43"/>
        <v>中级神器2配件2-手镖Lvs8</v>
      </c>
      <c r="AL381" s="60" t="s">
        <v>645</v>
      </c>
      <c r="AM381" s="15">
        <f t="shared" si="44"/>
        <v>8</v>
      </c>
      <c r="AN381" s="15" t="str">
        <f t="shared" si="45"/>
        <v>中级神器2配件2</v>
      </c>
      <c r="AO381" s="15">
        <f>INDEX(芦花古楼!$BX$19:$BX$58,神器!AM381)</f>
        <v>5</v>
      </c>
      <c r="AP381" s="15" t="s">
        <v>88</v>
      </c>
      <c r="AQ381" s="15">
        <f t="shared" si="46"/>
        <v>900</v>
      </c>
      <c r="AR381" s="15" t="s">
        <v>654</v>
      </c>
      <c r="AS381" s="15">
        <f t="shared" si="47"/>
        <v>27</v>
      </c>
    </row>
    <row r="382" spans="35:45" ht="16.5" x14ac:dyDescent="0.2">
      <c r="AI382" s="60">
        <v>369</v>
      </c>
      <c r="AJ382" s="15">
        <f t="shared" si="42"/>
        <v>1606012</v>
      </c>
      <c r="AK382" s="15" t="str">
        <f t="shared" si="43"/>
        <v>中级神器2配件2-手镖Lvs9</v>
      </c>
      <c r="AL382" s="60" t="s">
        <v>645</v>
      </c>
      <c r="AM382" s="15">
        <f t="shared" si="44"/>
        <v>9</v>
      </c>
      <c r="AN382" s="15" t="str">
        <f t="shared" si="45"/>
        <v>中级神器2配件2</v>
      </c>
      <c r="AO382" s="15">
        <f>INDEX(芦花古楼!$BX$19:$BX$58,神器!AM382)</f>
        <v>5</v>
      </c>
      <c r="AP382" s="15" t="s">
        <v>88</v>
      </c>
      <c r="AQ382" s="15">
        <f t="shared" si="46"/>
        <v>1000</v>
      </c>
      <c r="AR382" s="15" t="s">
        <v>654</v>
      </c>
      <c r="AS382" s="15">
        <f t="shared" si="47"/>
        <v>30</v>
      </c>
    </row>
    <row r="383" spans="35:45" ht="16.5" x14ac:dyDescent="0.2">
      <c r="AI383" s="60">
        <v>370</v>
      </c>
      <c r="AJ383" s="15">
        <f t="shared" si="42"/>
        <v>1606012</v>
      </c>
      <c r="AK383" s="15" t="str">
        <f t="shared" si="43"/>
        <v>中级神器2配件2-手镖Lvs10</v>
      </c>
      <c r="AL383" s="60" t="s">
        <v>645</v>
      </c>
      <c r="AM383" s="15">
        <f t="shared" si="44"/>
        <v>10</v>
      </c>
      <c r="AN383" s="15" t="str">
        <f t="shared" si="45"/>
        <v>中级神器2配件2</v>
      </c>
      <c r="AO383" s="15">
        <f>INDEX(芦花古楼!$BX$19:$BX$58,神器!AM383)</f>
        <v>7</v>
      </c>
      <c r="AP383" s="15" t="s">
        <v>88</v>
      </c>
      <c r="AQ383" s="15">
        <f t="shared" si="46"/>
        <v>1205</v>
      </c>
      <c r="AR383" s="15" t="s">
        <v>654</v>
      </c>
      <c r="AS383" s="15">
        <f t="shared" si="47"/>
        <v>34</v>
      </c>
    </row>
    <row r="384" spans="35:45" ht="16.5" x14ac:dyDescent="0.2">
      <c r="AI384" s="60">
        <v>371</v>
      </c>
      <c r="AJ384" s="15">
        <f t="shared" si="42"/>
        <v>1606012</v>
      </c>
      <c r="AK384" s="15" t="str">
        <f t="shared" si="43"/>
        <v>中级神器2配件2-手镖Lvs11</v>
      </c>
      <c r="AL384" s="60" t="s">
        <v>645</v>
      </c>
      <c r="AM384" s="15">
        <f t="shared" si="44"/>
        <v>11</v>
      </c>
      <c r="AN384" s="15" t="str">
        <f t="shared" si="45"/>
        <v>中级神器2配件2</v>
      </c>
      <c r="AO384" s="15">
        <f>INDEX(芦花古楼!$BX$19:$BX$58,神器!AM384)</f>
        <v>7</v>
      </c>
      <c r="AP384" s="15" t="s">
        <v>88</v>
      </c>
      <c r="AQ384" s="15">
        <f t="shared" si="46"/>
        <v>1510</v>
      </c>
      <c r="AR384" s="15" t="s">
        <v>654</v>
      </c>
      <c r="AS384" s="15">
        <f t="shared" si="47"/>
        <v>37</v>
      </c>
    </row>
    <row r="385" spans="35:45" ht="16.5" x14ac:dyDescent="0.2">
      <c r="AI385" s="60">
        <v>372</v>
      </c>
      <c r="AJ385" s="15">
        <f t="shared" si="42"/>
        <v>1606012</v>
      </c>
      <c r="AK385" s="15" t="str">
        <f t="shared" si="43"/>
        <v>中级神器2配件2-手镖Lvs12</v>
      </c>
      <c r="AL385" s="60" t="s">
        <v>645</v>
      </c>
      <c r="AM385" s="15">
        <f t="shared" si="44"/>
        <v>12</v>
      </c>
      <c r="AN385" s="15" t="str">
        <f t="shared" si="45"/>
        <v>中级神器2配件2</v>
      </c>
      <c r="AO385" s="15">
        <f>INDEX(芦花古楼!$BX$19:$BX$58,神器!AM385)</f>
        <v>7</v>
      </c>
      <c r="AP385" s="15" t="s">
        <v>88</v>
      </c>
      <c r="AQ385" s="15">
        <f t="shared" si="46"/>
        <v>1760</v>
      </c>
      <c r="AR385" s="15" t="s">
        <v>654</v>
      </c>
      <c r="AS385" s="15">
        <f t="shared" si="47"/>
        <v>41</v>
      </c>
    </row>
    <row r="386" spans="35:45" ht="16.5" x14ac:dyDescent="0.2">
      <c r="AI386" s="60">
        <v>373</v>
      </c>
      <c r="AJ386" s="15">
        <f t="shared" si="42"/>
        <v>1606012</v>
      </c>
      <c r="AK386" s="15" t="str">
        <f t="shared" si="43"/>
        <v>中级神器2配件2-手镖Lvs13</v>
      </c>
      <c r="AL386" s="60" t="s">
        <v>645</v>
      </c>
      <c r="AM386" s="15">
        <f t="shared" si="44"/>
        <v>13</v>
      </c>
      <c r="AN386" s="15" t="str">
        <f t="shared" si="45"/>
        <v>中级神器2配件2</v>
      </c>
      <c r="AO386" s="15">
        <f>INDEX(芦花古楼!$BX$19:$BX$58,神器!AM386)</f>
        <v>7</v>
      </c>
      <c r="AP386" s="15" t="s">
        <v>88</v>
      </c>
      <c r="AQ386" s="15">
        <f t="shared" si="46"/>
        <v>2015</v>
      </c>
      <c r="AR386" s="15" t="s">
        <v>654</v>
      </c>
      <c r="AS386" s="15">
        <f t="shared" si="47"/>
        <v>45</v>
      </c>
    </row>
    <row r="387" spans="35:45" ht="16.5" x14ac:dyDescent="0.2">
      <c r="AI387" s="60">
        <v>374</v>
      </c>
      <c r="AJ387" s="15">
        <f t="shared" si="42"/>
        <v>1606012</v>
      </c>
      <c r="AK387" s="15" t="str">
        <f t="shared" si="43"/>
        <v>中级神器2配件2-手镖Lvs14</v>
      </c>
      <c r="AL387" s="60" t="s">
        <v>645</v>
      </c>
      <c r="AM387" s="15">
        <f t="shared" si="44"/>
        <v>14</v>
      </c>
      <c r="AN387" s="15" t="str">
        <f t="shared" si="45"/>
        <v>中级神器2配件2</v>
      </c>
      <c r="AO387" s="15">
        <f>INDEX(芦花古楼!$BX$19:$BX$58,神器!AM387)</f>
        <v>7</v>
      </c>
      <c r="AP387" s="15" t="s">
        <v>88</v>
      </c>
      <c r="AQ387" s="15">
        <f t="shared" si="46"/>
        <v>2265</v>
      </c>
      <c r="AR387" s="15" t="s">
        <v>654</v>
      </c>
      <c r="AS387" s="15">
        <f t="shared" si="47"/>
        <v>50</v>
      </c>
    </row>
    <row r="388" spans="35:45" ht="16.5" x14ac:dyDescent="0.2">
      <c r="AI388" s="60">
        <v>375</v>
      </c>
      <c r="AJ388" s="15">
        <f t="shared" si="42"/>
        <v>1606012</v>
      </c>
      <c r="AK388" s="15" t="str">
        <f t="shared" si="43"/>
        <v>中级神器2配件2-手镖Lvs15</v>
      </c>
      <c r="AL388" s="60" t="s">
        <v>645</v>
      </c>
      <c r="AM388" s="15">
        <f t="shared" si="44"/>
        <v>15</v>
      </c>
      <c r="AN388" s="15" t="str">
        <f t="shared" si="45"/>
        <v>中级神器2配件2</v>
      </c>
      <c r="AO388" s="15">
        <f>INDEX(芦花古楼!$BX$19:$BX$58,神器!AM388)</f>
        <v>10</v>
      </c>
      <c r="AP388" s="15" t="s">
        <v>88</v>
      </c>
      <c r="AQ388" s="15">
        <f t="shared" si="46"/>
        <v>2520</v>
      </c>
      <c r="AR388" s="15" t="s">
        <v>654</v>
      </c>
      <c r="AS388" s="15">
        <f t="shared" si="47"/>
        <v>54</v>
      </c>
    </row>
    <row r="389" spans="35:45" ht="16.5" x14ac:dyDescent="0.2">
      <c r="AI389" s="60">
        <v>376</v>
      </c>
      <c r="AJ389" s="15">
        <f t="shared" si="42"/>
        <v>1606012</v>
      </c>
      <c r="AK389" s="15" t="str">
        <f t="shared" si="43"/>
        <v>中级神器2配件2-手镖Lvs16</v>
      </c>
      <c r="AL389" s="60" t="s">
        <v>645</v>
      </c>
      <c r="AM389" s="15">
        <f t="shared" si="44"/>
        <v>16</v>
      </c>
      <c r="AN389" s="15" t="str">
        <f t="shared" si="45"/>
        <v>中级神器2配件2</v>
      </c>
      <c r="AO389" s="15">
        <f>INDEX(芦花古楼!$BX$19:$BX$58,神器!AM389)</f>
        <v>10</v>
      </c>
      <c r="AP389" s="15" t="s">
        <v>88</v>
      </c>
      <c r="AQ389" s="15">
        <f t="shared" si="46"/>
        <v>2770</v>
      </c>
      <c r="AR389" s="15" t="s">
        <v>654</v>
      </c>
      <c r="AS389" s="15">
        <f t="shared" si="47"/>
        <v>59</v>
      </c>
    </row>
    <row r="390" spans="35:45" ht="16.5" x14ac:dyDescent="0.2">
      <c r="AI390" s="60">
        <v>377</v>
      </c>
      <c r="AJ390" s="15">
        <f t="shared" si="42"/>
        <v>1606012</v>
      </c>
      <c r="AK390" s="15" t="str">
        <f t="shared" si="43"/>
        <v>中级神器2配件2-手镖Lvs17</v>
      </c>
      <c r="AL390" s="60" t="s">
        <v>645</v>
      </c>
      <c r="AM390" s="15">
        <f t="shared" si="44"/>
        <v>17</v>
      </c>
      <c r="AN390" s="15" t="str">
        <f t="shared" si="45"/>
        <v>中级神器2配件2</v>
      </c>
      <c r="AO390" s="15">
        <f>INDEX(芦花古楼!$BX$19:$BX$58,神器!AM390)</f>
        <v>10</v>
      </c>
      <c r="AP390" s="15" t="s">
        <v>88</v>
      </c>
      <c r="AQ390" s="15">
        <f t="shared" si="46"/>
        <v>3020</v>
      </c>
      <c r="AR390" s="15" t="s">
        <v>654</v>
      </c>
      <c r="AS390" s="15">
        <f t="shared" si="47"/>
        <v>64</v>
      </c>
    </row>
    <row r="391" spans="35:45" ht="16.5" x14ac:dyDescent="0.2">
      <c r="AI391" s="60">
        <v>378</v>
      </c>
      <c r="AJ391" s="15">
        <f t="shared" si="42"/>
        <v>1606012</v>
      </c>
      <c r="AK391" s="15" t="str">
        <f t="shared" si="43"/>
        <v>中级神器2配件2-手镖Lvs18</v>
      </c>
      <c r="AL391" s="60" t="s">
        <v>645</v>
      </c>
      <c r="AM391" s="15">
        <f t="shared" si="44"/>
        <v>18</v>
      </c>
      <c r="AN391" s="15" t="str">
        <f t="shared" si="45"/>
        <v>中级神器2配件2</v>
      </c>
      <c r="AO391" s="15">
        <f>INDEX(芦花古楼!$BX$19:$BX$58,神器!AM391)</f>
        <v>10</v>
      </c>
      <c r="AP391" s="15" t="s">
        <v>88</v>
      </c>
      <c r="AQ391" s="15">
        <f t="shared" si="46"/>
        <v>3275</v>
      </c>
      <c r="AR391" s="15" t="s">
        <v>654</v>
      </c>
      <c r="AS391" s="15">
        <f t="shared" si="47"/>
        <v>69</v>
      </c>
    </row>
    <row r="392" spans="35:45" ht="16.5" x14ac:dyDescent="0.2">
      <c r="AI392" s="60">
        <v>379</v>
      </c>
      <c r="AJ392" s="15">
        <f t="shared" si="42"/>
        <v>1606012</v>
      </c>
      <c r="AK392" s="15" t="str">
        <f t="shared" si="43"/>
        <v>中级神器2配件2-手镖Lvs19</v>
      </c>
      <c r="AL392" s="60" t="s">
        <v>645</v>
      </c>
      <c r="AM392" s="15">
        <f t="shared" si="44"/>
        <v>19</v>
      </c>
      <c r="AN392" s="15" t="str">
        <f t="shared" si="45"/>
        <v>中级神器2配件2</v>
      </c>
      <c r="AO392" s="15">
        <f>INDEX(芦花古楼!$BX$19:$BX$58,神器!AM392)</f>
        <v>10</v>
      </c>
      <c r="AP392" s="15" t="s">
        <v>88</v>
      </c>
      <c r="AQ392" s="15">
        <f t="shared" si="46"/>
        <v>3525</v>
      </c>
      <c r="AR392" s="15" t="s">
        <v>654</v>
      </c>
      <c r="AS392" s="15">
        <f t="shared" si="47"/>
        <v>74</v>
      </c>
    </row>
    <row r="393" spans="35:45" ht="16.5" x14ac:dyDescent="0.2">
      <c r="AI393" s="60">
        <v>380</v>
      </c>
      <c r="AJ393" s="15">
        <f t="shared" si="42"/>
        <v>1606012</v>
      </c>
      <c r="AK393" s="15" t="str">
        <f t="shared" si="43"/>
        <v>中级神器2配件2-手镖Lvs20</v>
      </c>
      <c r="AL393" s="60" t="s">
        <v>645</v>
      </c>
      <c r="AM393" s="15">
        <f t="shared" si="44"/>
        <v>20</v>
      </c>
      <c r="AN393" s="15" t="str">
        <f t="shared" si="45"/>
        <v>中级神器2配件2</v>
      </c>
      <c r="AO393" s="15">
        <f>INDEX(芦花古楼!$BX$19:$BX$58,神器!AM393)</f>
        <v>10</v>
      </c>
      <c r="AP393" s="15" t="s">
        <v>88</v>
      </c>
      <c r="AQ393" s="15">
        <f t="shared" si="46"/>
        <v>4030</v>
      </c>
      <c r="AR393" s="15" t="s">
        <v>654</v>
      </c>
      <c r="AS393" s="15">
        <f t="shared" si="47"/>
        <v>80</v>
      </c>
    </row>
    <row r="394" spans="35:45" ht="16.5" x14ac:dyDescent="0.2">
      <c r="AI394" s="60">
        <v>381</v>
      </c>
      <c r="AJ394" s="15">
        <f t="shared" si="42"/>
        <v>1606012</v>
      </c>
      <c r="AK394" s="15" t="str">
        <f t="shared" si="43"/>
        <v>中级神器2配件2-手镖Lvs21</v>
      </c>
      <c r="AL394" s="60" t="s">
        <v>645</v>
      </c>
      <c r="AM394" s="15">
        <f t="shared" si="44"/>
        <v>21</v>
      </c>
      <c r="AN394" s="15" t="str">
        <f t="shared" si="45"/>
        <v>中级神器2配件2</v>
      </c>
      <c r="AO394" s="15">
        <f>INDEX(芦花古楼!$BX$19:$BX$58,神器!AM394)</f>
        <v>15</v>
      </c>
      <c r="AP394" s="15" t="s">
        <v>88</v>
      </c>
      <c r="AQ394" s="15">
        <f t="shared" si="46"/>
        <v>4450</v>
      </c>
      <c r="AR394" s="15" t="s">
        <v>654</v>
      </c>
      <c r="AS394" s="15">
        <f t="shared" si="47"/>
        <v>86</v>
      </c>
    </row>
    <row r="395" spans="35:45" ht="16.5" x14ac:dyDescent="0.2">
      <c r="AI395" s="60">
        <v>382</v>
      </c>
      <c r="AJ395" s="15">
        <f t="shared" si="42"/>
        <v>1606012</v>
      </c>
      <c r="AK395" s="15" t="str">
        <f t="shared" si="43"/>
        <v>中级神器2配件2-手镖Lvs22</v>
      </c>
      <c r="AL395" s="60" t="s">
        <v>645</v>
      </c>
      <c r="AM395" s="15">
        <f t="shared" si="44"/>
        <v>22</v>
      </c>
      <c r="AN395" s="15" t="str">
        <f t="shared" si="45"/>
        <v>中级神器2配件2</v>
      </c>
      <c r="AO395" s="15">
        <f>INDEX(芦花古楼!$BX$19:$BX$58,神器!AM395)</f>
        <v>15</v>
      </c>
      <c r="AP395" s="15" t="s">
        <v>88</v>
      </c>
      <c r="AQ395" s="15">
        <f t="shared" si="46"/>
        <v>4675</v>
      </c>
      <c r="AR395" s="15" t="s">
        <v>654</v>
      </c>
      <c r="AS395" s="15">
        <f t="shared" si="47"/>
        <v>92</v>
      </c>
    </row>
    <row r="396" spans="35:45" ht="16.5" x14ac:dyDescent="0.2">
      <c r="AI396" s="60">
        <v>383</v>
      </c>
      <c r="AJ396" s="15">
        <f t="shared" si="42"/>
        <v>1606012</v>
      </c>
      <c r="AK396" s="15" t="str">
        <f t="shared" si="43"/>
        <v>中级神器2配件2-手镖Lvs23</v>
      </c>
      <c r="AL396" s="60" t="s">
        <v>645</v>
      </c>
      <c r="AM396" s="15">
        <f t="shared" si="44"/>
        <v>23</v>
      </c>
      <c r="AN396" s="15" t="str">
        <f t="shared" si="45"/>
        <v>中级神器2配件2</v>
      </c>
      <c r="AO396" s="15">
        <f>INDEX(芦花古楼!$BX$19:$BX$58,神器!AM396)</f>
        <v>15</v>
      </c>
      <c r="AP396" s="15" t="s">
        <v>88</v>
      </c>
      <c r="AQ396" s="15">
        <f t="shared" si="46"/>
        <v>4895</v>
      </c>
      <c r="AR396" s="15" t="s">
        <v>654</v>
      </c>
      <c r="AS396" s="15">
        <f t="shared" si="47"/>
        <v>99</v>
      </c>
    </row>
    <row r="397" spans="35:45" ht="16.5" x14ac:dyDescent="0.2">
      <c r="AI397" s="60">
        <v>384</v>
      </c>
      <c r="AJ397" s="15">
        <f t="shared" si="42"/>
        <v>1606012</v>
      </c>
      <c r="AK397" s="15" t="str">
        <f t="shared" si="43"/>
        <v>中级神器2配件2-手镖Lvs24</v>
      </c>
      <c r="AL397" s="60" t="s">
        <v>645</v>
      </c>
      <c r="AM397" s="15">
        <f t="shared" si="44"/>
        <v>24</v>
      </c>
      <c r="AN397" s="15" t="str">
        <f t="shared" si="45"/>
        <v>中级神器2配件2</v>
      </c>
      <c r="AO397" s="15">
        <f>INDEX(芦花古楼!$BX$19:$BX$58,神器!AM397)</f>
        <v>15</v>
      </c>
      <c r="AP397" s="15" t="s">
        <v>88</v>
      </c>
      <c r="AQ397" s="15">
        <f t="shared" si="46"/>
        <v>5120</v>
      </c>
      <c r="AR397" s="15" t="s">
        <v>654</v>
      </c>
      <c r="AS397" s="15">
        <f t="shared" si="47"/>
        <v>106</v>
      </c>
    </row>
    <row r="398" spans="35:45" ht="16.5" x14ac:dyDescent="0.2">
      <c r="AI398" s="60">
        <v>385</v>
      </c>
      <c r="AJ398" s="15">
        <f t="shared" si="42"/>
        <v>1606012</v>
      </c>
      <c r="AK398" s="15" t="str">
        <f t="shared" si="43"/>
        <v>中级神器2配件2-手镖Lvs25</v>
      </c>
      <c r="AL398" s="60" t="s">
        <v>645</v>
      </c>
      <c r="AM398" s="15">
        <f t="shared" si="44"/>
        <v>25</v>
      </c>
      <c r="AN398" s="15" t="str">
        <f t="shared" si="45"/>
        <v>中级神器2配件2</v>
      </c>
      <c r="AO398" s="15">
        <f>INDEX(芦花古楼!$BX$19:$BX$58,神器!AM398)</f>
        <v>15</v>
      </c>
      <c r="AP398" s="15" t="s">
        <v>88</v>
      </c>
      <c r="AQ398" s="15">
        <f t="shared" si="46"/>
        <v>5340</v>
      </c>
      <c r="AR398" s="15" t="s">
        <v>654</v>
      </c>
      <c r="AS398" s="15">
        <f t="shared" si="47"/>
        <v>113</v>
      </c>
    </row>
    <row r="399" spans="35:45" ht="16.5" x14ac:dyDescent="0.2">
      <c r="AI399" s="60">
        <v>386</v>
      </c>
      <c r="AJ399" s="15">
        <f t="shared" ref="AJ399:AJ462" si="48">INDEX($AC$4:$AC$33,INT((AI399-1)/40)+1)</f>
        <v>1606012</v>
      </c>
      <c r="AK399" s="15" t="str">
        <f t="shared" ref="AK399:AK462" si="49">INDEX($AF$4:$AF$33,INT((AI399-1)/40)+1)&amp;AL399&amp;AM399</f>
        <v>中级神器2配件2-手镖Lvs26</v>
      </c>
      <c r="AL399" s="60" t="s">
        <v>645</v>
      </c>
      <c r="AM399" s="15">
        <f t="shared" ref="AM399:AM462" si="50">MOD(AI399-1,40)+1</f>
        <v>26</v>
      </c>
      <c r="AN399" s="15" t="str">
        <f t="shared" ref="AN399:AN462" si="51">INDEX($AD$4:$AD$33,INT((AI399-1)/40)+1)</f>
        <v>中级神器2配件2</v>
      </c>
      <c r="AO399" s="15">
        <f>INDEX(芦花古楼!$BX$19:$BX$58,神器!AM399)</f>
        <v>25</v>
      </c>
      <c r="AP399" s="15" t="s">
        <v>88</v>
      </c>
      <c r="AQ399" s="15">
        <f t="shared" ref="AQ399:AQ462" si="52">INDEX($F$14:$L$53,AM399,INDEX($AB$4:$AB$33,INT((AI399-1)/40)+1))</f>
        <v>5565</v>
      </c>
      <c r="AR399" s="15" t="s">
        <v>654</v>
      </c>
      <c r="AS399" s="15">
        <f t="shared" ref="AS399:AS462" si="53">INDEX($P$14:$V$53,AM399,INDEX($AB$4:$AB$33,INT((AI399-1)/40)+1))</f>
        <v>121</v>
      </c>
    </row>
    <row r="400" spans="35:45" ht="16.5" x14ac:dyDescent="0.2">
      <c r="AI400" s="60">
        <v>387</v>
      </c>
      <c r="AJ400" s="15">
        <f t="shared" si="48"/>
        <v>1606012</v>
      </c>
      <c r="AK400" s="15" t="str">
        <f t="shared" si="49"/>
        <v>中级神器2配件2-手镖Lvs27</v>
      </c>
      <c r="AL400" s="60" t="s">
        <v>645</v>
      </c>
      <c r="AM400" s="15">
        <f t="shared" si="50"/>
        <v>27</v>
      </c>
      <c r="AN400" s="15" t="str">
        <f t="shared" si="51"/>
        <v>中级神器2配件2</v>
      </c>
      <c r="AO400" s="15">
        <f>INDEX(芦花古楼!$BX$19:$BX$58,神器!AM400)</f>
        <v>25</v>
      </c>
      <c r="AP400" s="15" t="s">
        <v>88</v>
      </c>
      <c r="AQ400" s="15">
        <f t="shared" si="52"/>
        <v>5785</v>
      </c>
      <c r="AR400" s="15" t="s">
        <v>654</v>
      </c>
      <c r="AS400" s="15">
        <f t="shared" si="53"/>
        <v>129</v>
      </c>
    </row>
    <row r="401" spans="35:45" ht="16.5" x14ac:dyDescent="0.2">
      <c r="AI401" s="60">
        <v>388</v>
      </c>
      <c r="AJ401" s="15">
        <f t="shared" si="48"/>
        <v>1606012</v>
      </c>
      <c r="AK401" s="15" t="str">
        <f t="shared" si="49"/>
        <v>中级神器2配件2-手镖Lvs28</v>
      </c>
      <c r="AL401" s="60" t="s">
        <v>645</v>
      </c>
      <c r="AM401" s="15">
        <f t="shared" si="50"/>
        <v>28</v>
      </c>
      <c r="AN401" s="15" t="str">
        <f t="shared" si="51"/>
        <v>中级神器2配件2</v>
      </c>
      <c r="AO401" s="15">
        <f>INDEX(芦花古楼!$BX$19:$BX$58,神器!AM401)</f>
        <v>25</v>
      </c>
      <c r="AP401" s="15" t="s">
        <v>88</v>
      </c>
      <c r="AQ401" s="15">
        <f t="shared" si="52"/>
        <v>6010</v>
      </c>
      <c r="AR401" s="15" t="s">
        <v>654</v>
      </c>
      <c r="AS401" s="15">
        <f t="shared" si="53"/>
        <v>138</v>
      </c>
    </row>
    <row r="402" spans="35:45" ht="16.5" x14ac:dyDescent="0.2">
      <c r="AI402" s="60">
        <v>389</v>
      </c>
      <c r="AJ402" s="15">
        <f t="shared" si="48"/>
        <v>1606012</v>
      </c>
      <c r="AK402" s="15" t="str">
        <f t="shared" si="49"/>
        <v>中级神器2配件2-手镖Lvs29</v>
      </c>
      <c r="AL402" s="60" t="s">
        <v>645</v>
      </c>
      <c r="AM402" s="15">
        <f t="shared" si="50"/>
        <v>29</v>
      </c>
      <c r="AN402" s="15" t="str">
        <f t="shared" si="51"/>
        <v>中级神器2配件2</v>
      </c>
      <c r="AO402" s="15">
        <f>INDEX(芦花古楼!$BX$19:$BX$58,神器!AM402)</f>
        <v>25</v>
      </c>
      <c r="AP402" s="15" t="s">
        <v>88</v>
      </c>
      <c r="AQ402" s="15">
        <f t="shared" si="52"/>
        <v>6230</v>
      </c>
      <c r="AR402" s="15" t="s">
        <v>654</v>
      </c>
      <c r="AS402" s="15">
        <f t="shared" si="53"/>
        <v>146</v>
      </c>
    </row>
    <row r="403" spans="35:45" ht="16.5" x14ac:dyDescent="0.2">
      <c r="AI403" s="60">
        <v>390</v>
      </c>
      <c r="AJ403" s="15">
        <f t="shared" si="48"/>
        <v>1606012</v>
      </c>
      <c r="AK403" s="15" t="str">
        <f t="shared" si="49"/>
        <v>中级神器2配件2-手镖Lvs30</v>
      </c>
      <c r="AL403" s="60" t="s">
        <v>645</v>
      </c>
      <c r="AM403" s="15">
        <f t="shared" si="50"/>
        <v>30</v>
      </c>
      <c r="AN403" s="15" t="str">
        <f t="shared" si="51"/>
        <v>中级神器2配件2</v>
      </c>
      <c r="AO403" s="15">
        <f>INDEX(芦花古楼!$BX$19:$BX$58,神器!AM403)</f>
        <v>25</v>
      </c>
      <c r="AP403" s="15" t="s">
        <v>88</v>
      </c>
      <c r="AQ403" s="15">
        <f t="shared" si="52"/>
        <v>6675</v>
      </c>
      <c r="AR403" s="15" t="s">
        <v>654</v>
      </c>
      <c r="AS403" s="15">
        <f t="shared" si="53"/>
        <v>156</v>
      </c>
    </row>
    <row r="404" spans="35:45" ht="16.5" x14ac:dyDescent="0.2">
      <c r="AI404" s="60">
        <v>391</v>
      </c>
      <c r="AJ404" s="15">
        <f t="shared" si="48"/>
        <v>1606012</v>
      </c>
      <c r="AK404" s="15" t="str">
        <f t="shared" si="49"/>
        <v>中级神器2配件2-手镖Lvs31</v>
      </c>
      <c r="AL404" s="60" t="s">
        <v>645</v>
      </c>
      <c r="AM404" s="15">
        <f t="shared" si="50"/>
        <v>31</v>
      </c>
      <c r="AN404" s="15" t="str">
        <f t="shared" si="51"/>
        <v>中级神器2配件2</v>
      </c>
      <c r="AO404" s="15">
        <f>INDEX(芦花古楼!$BX$19:$BX$58,神器!AM404)</f>
        <v>30</v>
      </c>
      <c r="AP404" s="15" t="s">
        <v>88</v>
      </c>
      <c r="AQ404" s="15">
        <f t="shared" si="52"/>
        <v>6510</v>
      </c>
      <c r="AR404" s="15" t="s">
        <v>654</v>
      </c>
      <c r="AS404" s="15">
        <f t="shared" si="53"/>
        <v>166</v>
      </c>
    </row>
    <row r="405" spans="35:45" ht="16.5" x14ac:dyDescent="0.2">
      <c r="AI405" s="60">
        <v>392</v>
      </c>
      <c r="AJ405" s="15">
        <f t="shared" si="48"/>
        <v>1606012</v>
      </c>
      <c r="AK405" s="15" t="str">
        <f t="shared" si="49"/>
        <v>中级神器2配件2-手镖Lvs32</v>
      </c>
      <c r="AL405" s="60" t="s">
        <v>645</v>
      </c>
      <c r="AM405" s="15">
        <f t="shared" si="50"/>
        <v>32</v>
      </c>
      <c r="AN405" s="15" t="str">
        <f t="shared" si="51"/>
        <v>中级神器2配件2</v>
      </c>
      <c r="AO405" s="15">
        <f>INDEX(芦花古楼!$BX$19:$BX$58,神器!AM405)</f>
        <v>30</v>
      </c>
      <c r="AP405" s="15" t="s">
        <v>88</v>
      </c>
      <c r="AQ405" s="15">
        <f t="shared" si="52"/>
        <v>9765</v>
      </c>
      <c r="AR405" s="15" t="s">
        <v>654</v>
      </c>
      <c r="AS405" s="15">
        <f t="shared" si="53"/>
        <v>176</v>
      </c>
    </row>
    <row r="406" spans="35:45" ht="16.5" x14ac:dyDescent="0.2">
      <c r="AI406" s="60">
        <v>393</v>
      </c>
      <c r="AJ406" s="15">
        <f t="shared" si="48"/>
        <v>1606012</v>
      </c>
      <c r="AK406" s="15" t="str">
        <f t="shared" si="49"/>
        <v>中级神器2配件2-手镖Lvs33</v>
      </c>
      <c r="AL406" s="60" t="s">
        <v>645</v>
      </c>
      <c r="AM406" s="15">
        <f t="shared" si="50"/>
        <v>33</v>
      </c>
      <c r="AN406" s="15" t="str">
        <f t="shared" si="51"/>
        <v>中级神器2配件2</v>
      </c>
      <c r="AO406" s="15">
        <f>INDEX(芦花古楼!$BX$19:$BX$58,神器!AM406)</f>
        <v>30</v>
      </c>
      <c r="AP406" s="15" t="s">
        <v>88</v>
      </c>
      <c r="AQ406" s="15">
        <f t="shared" si="52"/>
        <v>13020</v>
      </c>
      <c r="AR406" s="15" t="s">
        <v>654</v>
      </c>
      <c r="AS406" s="15">
        <f t="shared" si="53"/>
        <v>187</v>
      </c>
    </row>
    <row r="407" spans="35:45" ht="16.5" x14ac:dyDescent="0.2">
      <c r="AI407" s="60">
        <v>394</v>
      </c>
      <c r="AJ407" s="15">
        <f t="shared" si="48"/>
        <v>1606012</v>
      </c>
      <c r="AK407" s="15" t="str">
        <f t="shared" si="49"/>
        <v>中级神器2配件2-手镖Lvs34</v>
      </c>
      <c r="AL407" s="60" t="s">
        <v>645</v>
      </c>
      <c r="AM407" s="15">
        <f t="shared" si="50"/>
        <v>34</v>
      </c>
      <c r="AN407" s="15" t="str">
        <f t="shared" si="51"/>
        <v>中级神器2配件2</v>
      </c>
      <c r="AO407" s="15">
        <f>INDEX(芦花古楼!$BX$19:$BX$58,神器!AM407)</f>
        <v>30</v>
      </c>
      <c r="AP407" s="15" t="s">
        <v>88</v>
      </c>
      <c r="AQ407" s="15">
        <f t="shared" si="52"/>
        <v>16275</v>
      </c>
      <c r="AR407" s="15" t="s">
        <v>654</v>
      </c>
      <c r="AS407" s="15">
        <f t="shared" si="53"/>
        <v>198</v>
      </c>
    </row>
    <row r="408" spans="35:45" ht="16.5" x14ac:dyDescent="0.2">
      <c r="AI408" s="60">
        <v>395</v>
      </c>
      <c r="AJ408" s="15">
        <f t="shared" si="48"/>
        <v>1606012</v>
      </c>
      <c r="AK408" s="15" t="str">
        <f t="shared" si="49"/>
        <v>中级神器2配件2-手镖Lvs35</v>
      </c>
      <c r="AL408" s="60" t="s">
        <v>645</v>
      </c>
      <c r="AM408" s="15">
        <f t="shared" si="50"/>
        <v>35</v>
      </c>
      <c r="AN408" s="15" t="str">
        <f t="shared" si="51"/>
        <v>中级神器2配件2</v>
      </c>
      <c r="AO408" s="15">
        <f>INDEX(芦花古楼!$BX$19:$BX$58,神器!AM408)</f>
        <v>30</v>
      </c>
      <c r="AP408" s="15" t="s">
        <v>88</v>
      </c>
      <c r="AQ408" s="15">
        <f t="shared" si="52"/>
        <v>19530</v>
      </c>
      <c r="AR408" s="15" t="s">
        <v>654</v>
      </c>
      <c r="AS408" s="15">
        <f t="shared" si="53"/>
        <v>210</v>
      </c>
    </row>
    <row r="409" spans="35:45" ht="16.5" x14ac:dyDescent="0.2">
      <c r="AI409" s="60">
        <v>396</v>
      </c>
      <c r="AJ409" s="15">
        <f t="shared" si="48"/>
        <v>1606012</v>
      </c>
      <c r="AK409" s="15" t="str">
        <f t="shared" si="49"/>
        <v>中级神器2配件2-手镖Lvs36</v>
      </c>
      <c r="AL409" s="60" t="s">
        <v>645</v>
      </c>
      <c r="AM409" s="15">
        <f t="shared" si="50"/>
        <v>36</v>
      </c>
      <c r="AN409" s="15" t="str">
        <f t="shared" si="51"/>
        <v>中级神器2配件2</v>
      </c>
      <c r="AO409" s="15">
        <f>INDEX(芦花古楼!$BX$19:$BX$58,神器!AM409)</f>
        <v>40</v>
      </c>
      <c r="AP409" s="15" t="s">
        <v>88</v>
      </c>
      <c r="AQ409" s="15">
        <f t="shared" si="52"/>
        <v>22785</v>
      </c>
      <c r="AR409" s="15" t="s">
        <v>654</v>
      </c>
      <c r="AS409" s="15">
        <f t="shared" si="53"/>
        <v>222</v>
      </c>
    </row>
    <row r="410" spans="35:45" ht="16.5" x14ac:dyDescent="0.2">
      <c r="AI410" s="60">
        <v>397</v>
      </c>
      <c r="AJ410" s="15">
        <f t="shared" si="48"/>
        <v>1606012</v>
      </c>
      <c r="AK410" s="15" t="str">
        <f t="shared" si="49"/>
        <v>中级神器2配件2-手镖Lvs37</v>
      </c>
      <c r="AL410" s="60" t="s">
        <v>645</v>
      </c>
      <c r="AM410" s="15">
        <f t="shared" si="50"/>
        <v>37</v>
      </c>
      <c r="AN410" s="15" t="str">
        <f t="shared" si="51"/>
        <v>中级神器2配件2</v>
      </c>
      <c r="AO410" s="15">
        <f>INDEX(芦花古楼!$BX$19:$BX$58,神器!AM410)</f>
        <v>40</v>
      </c>
      <c r="AP410" s="15" t="s">
        <v>88</v>
      </c>
      <c r="AQ410" s="15">
        <f t="shared" si="52"/>
        <v>26040</v>
      </c>
      <c r="AR410" s="15" t="s">
        <v>654</v>
      </c>
      <c r="AS410" s="15">
        <f t="shared" si="53"/>
        <v>236</v>
      </c>
    </row>
    <row r="411" spans="35:45" ht="16.5" x14ac:dyDescent="0.2">
      <c r="AI411" s="60">
        <v>398</v>
      </c>
      <c r="AJ411" s="15">
        <f t="shared" si="48"/>
        <v>1606012</v>
      </c>
      <c r="AK411" s="15" t="str">
        <f t="shared" si="49"/>
        <v>中级神器2配件2-手镖Lvs38</v>
      </c>
      <c r="AL411" s="60" t="s">
        <v>645</v>
      </c>
      <c r="AM411" s="15">
        <f t="shared" si="50"/>
        <v>38</v>
      </c>
      <c r="AN411" s="15" t="str">
        <f t="shared" si="51"/>
        <v>中级神器2配件2</v>
      </c>
      <c r="AO411" s="15">
        <f>INDEX(芦花古楼!$BX$19:$BX$58,神器!AM411)</f>
        <v>40</v>
      </c>
      <c r="AP411" s="15" t="s">
        <v>88</v>
      </c>
      <c r="AQ411" s="15">
        <f t="shared" si="52"/>
        <v>29295</v>
      </c>
      <c r="AR411" s="15" t="s">
        <v>654</v>
      </c>
      <c r="AS411" s="15">
        <f t="shared" si="53"/>
        <v>249</v>
      </c>
    </row>
    <row r="412" spans="35:45" ht="16.5" x14ac:dyDescent="0.2">
      <c r="AI412" s="60">
        <v>399</v>
      </c>
      <c r="AJ412" s="15">
        <f t="shared" si="48"/>
        <v>1606012</v>
      </c>
      <c r="AK412" s="15" t="str">
        <f t="shared" si="49"/>
        <v>中级神器2配件2-手镖Lvs39</v>
      </c>
      <c r="AL412" s="60" t="s">
        <v>645</v>
      </c>
      <c r="AM412" s="15">
        <f t="shared" si="50"/>
        <v>39</v>
      </c>
      <c r="AN412" s="15" t="str">
        <f t="shared" si="51"/>
        <v>中级神器2配件2</v>
      </c>
      <c r="AO412" s="15">
        <f>INDEX(芦花古楼!$BX$19:$BX$58,神器!AM412)</f>
        <v>40</v>
      </c>
      <c r="AP412" s="15" t="s">
        <v>88</v>
      </c>
      <c r="AQ412" s="15">
        <f t="shared" si="52"/>
        <v>32550</v>
      </c>
      <c r="AR412" s="15" t="s">
        <v>654</v>
      </c>
      <c r="AS412" s="15">
        <f t="shared" si="53"/>
        <v>264</v>
      </c>
    </row>
    <row r="413" spans="35:45" ht="16.5" x14ac:dyDescent="0.2">
      <c r="AI413" s="60">
        <v>400</v>
      </c>
      <c r="AJ413" s="15">
        <f t="shared" si="48"/>
        <v>1606012</v>
      </c>
      <c r="AK413" s="15" t="str">
        <f t="shared" si="49"/>
        <v>中级神器2配件2-手镖Lvs40</v>
      </c>
      <c r="AL413" s="60" t="s">
        <v>645</v>
      </c>
      <c r="AM413" s="15">
        <f t="shared" si="50"/>
        <v>40</v>
      </c>
      <c r="AN413" s="15" t="str">
        <f t="shared" si="51"/>
        <v>中级神器2配件2</v>
      </c>
      <c r="AO413" s="15">
        <f>INDEX(芦花古楼!$BX$19:$BX$58,神器!AM413)</f>
        <v>40</v>
      </c>
      <c r="AP413" s="15" t="s">
        <v>88</v>
      </c>
      <c r="AQ413" s="15">
        <f t="shared" si="52"/>
        <v>39060</v>
      </c>
      <c r="AR413" s="15" t="s">
        <v>654</v>
      </c>
      <c r="AS413" s="15">
        <f t="shared" si="53"/>
        <v>279</v>
      </c>
    </row>
    <row r="414" spans="35:45" ht="16.5" x14ac:dyDescent="0.2">
      <c r="AI414" s="60">
        <v>401</v>
      </c>
      <c r="AJ414" s="15">
        <f t="shared" si="48"/>
        <v>1606013</v>
      </c>
      <c r="AK414" s="15" t="str">
        <f t="shared" si="49"/>
        <v>中级神器2配件3-雷钻Lvs1</v>
      </c>
      <c r="AL414" s="60" t="s">
        <v>645</v>
      </c>
      <c r="AM414" s="15">
        <f t="shared" si="50"/>
        <v>1</v>
      </c>
      <c r="AN414" s="15" t="str">
        <f t="shared" si="51"/>
        <v>中级神器2配件3</v>
      </c>
      <c r="AO414" s="15">
        <f>INDEX(芦花古楼!$BX$19:$BX$58,神器!AM414)</f>
        <v>1</v>
      </c>
      <c r="AP414" s="15" t="s">
        <v>88</v>
      </c>
      <c r="AQ414" s="15">
        <f t="shared" si="52"/>
        <v>330</v>
      </c>
      <c r="AR414" s="15" t="s">
        <v>654</v>
      </c>
      <c r="AS414" s="15">
        <f t="shared" si="53"/>
        <v>13</v>
      </c>
    </row>
    <row r="415" spans="35:45" ht="16.5" x14ac:dyDescent="0.2">
      <c r="AI415" s="60">
        <v>402</v>
      </c>
      <c r="AJ415" s="15">
        <f t="shared" si="48"/>
        <v>1606013</v>
      </c>
      <c r="AK415" s="15" t="str">
        <f t="shared" si="49"/>
        <v>中级神器2配件3-雷钻Lvs2</v>
      </c>
      <c r="AL415" s="60" t="s">
        <v>645</v>
      </c>
      <c r="AM415" s="15">
        <f t="shared" si="50"/>
        <v>2</v>
      </c>
      <c r="AN415" s="15" t="str">
        <f t="shared" si="51"/>
        <v>中级神器2配件3</v>
      </c>
      <c r="AO415" s="15">
        <f>INDEX(芦花古楼!$BX$19:$BX$58,神器!AM415)</f>
        <v>1</v>
      </c>
      <c r="AP415" s="15" t="s">
        <v>88</v>
      </c>
      <c r="AQ415" s="15">
        <f t="shared" si="52"/>
        <v>500</v>
      </c>
      <c r="AR415" s="15" t="s">
        <v>654</v>
      </c>
      <c r="AS415" s="15">
        <f t="shared" si="53"/>
        <v>17</v>
      </c>
    </row>
    <row r="416" spans="35:45" ht="16.5" x14ac:dyDescent="0.2">
      <c r="AI416" s="60">
        <v>403</v>
      </c>
      <c r="AJ416" s="15">
        <f t="shared" si="48"/>
        <v>1606013</v>
      </c>
      <c r="AK416" s="15" t="str">
        <f t="shared" si="49"/>
        <v>中级神器2配件3-雷钻Lvs3</v>
      </c>
      <c r="AL416" s="60" t="s">
        <v>645</v>
      </c>
      <c r="AM416" s="15">
        <f t="shared" si="50"/>
        <v>3</v>
      </c>
      <c r="AN416" s="15" t="str">
        <f t="shared" si="51"/>
        <v>中级神器2配件3</v>
      </c>
      <c r="AO416" s="15">
        <f>INDEX(芦花古楼!$BX$19:$BX$58,神器!AM416)</f>
        <v>2</v>
      </c>
      <c r="AP416" s="15" t="s">
        <v>88</v>
      </c>
      <c r="AQ416" s="15">
        <f t="shared" si="52"/>
        <v>665</v>
      </c>
      <c r="AR416" s="15" t="s">
        <v>654</v>
      </c>
      <c r="AS416" s="15">
        <f t="shared" si="53"/>
        <v>21</v>
      </c>
    </row>
    <row r="417" spans="35:45" ht="16.5" x14ac:dyDescent="0.2">
      <c r="AI417" s="60">
        <v>404</v>
      </c>
      <c r="AJ417" s="15">
        <f t="shared" si="48"/>
        <v>1606013</v>
      </c>
      <c r="AK417" s="15" t="str">
        <f t="shared" si="49"/>
        <v>中级神器2配件3-雷钻Lvs4</v>
      </c>
      <c r="AL417" s="60" t="s">
        <v>645</v>
      </c>
      <c r="AM417" s="15">
        <f t="shared" si="50"/>
        <v>4</v>
      </c>
      <c r="AN417" s="15" t="str">
        <f t="shared" si="51"/>
        <v>中级神器2配件3</v>
      </c>
      <c r="AO417" s="15">
        <f>INDEX(芦花古楼!$BX$19:$BX$58,神器!AM417)</f>
        <v>3</v>
      </c>
      <c r="AP417" s="15" t="s">
        <v>88</v>
      </c>
      <c r="AQ417" s="15">
        <f t="shared" si="52"/>
        <v>835</v>
      </c>
      <c r="AR417" s="15" t="s">
        <v>654</v>
      </c>
      <c r="AS417" s="15">
        <f t="shared" si="53"/>
        <v>25</v>
      </c>
    </row>
    <row r="418" spans="35:45" ht="16.5" x14ac:dyDescent="0.2">
      <c r="AI418" s="60">
        <v>405</v>
      </c>
      <c r="AJ418" s="15">
        <f t="shared" si="48"/>
        <v>1606013</v>
      </c>
      <c r="AK418" s="15" t="str">
        <f t="shared" si="49"/>
        <v>中级神器2配件3-雷钻Lvs5</v>
      </c>
      <c r="AL418" s="60" t="s">
        <v>645</v>
      </c>
      <c r="AM418" s="15">
        <f t="shared" si="50"/>
        <v>5</v>
      </c>
      <c r="AN418" s="15" t="str">
        <f t="shared" si="51"/>
        <v>中级神器2配件3</v>
      </c>
      <c r="AO418" s="15">
        <f>INDEX(芦花古楼!$BX$19:$BX$58,神器!AM418)</f>
        <v>3</v>
      </c>
      <c r="AP418" s="15" t="s">
        <v>88</v>
      </c>
      <c r="AQ418" s="15">
        <f t="shared" si="52"/>
        <v>1000</v>
      </c>
      <c r="AR418" s="15" t="s">
        <v>654</v>
      </c>
      <c r="AS418" s="15">
        <f t="shared" si="53"/>
        <v>30</v>
      </c>
    </row>
    <row r="419" spans="35:45" ht="16.5" x14ac:dyDescent="0.2">
      <c r="AI419" s="60">
        <v>406</v>
      </c>
      <c r="AJ419" s="15">
        <f t="shared" si="48"/>
        <v>1606013</v>
      </c>
      <c r="AK419" s="15" t="str">
        <f t="shared" si="49"/>
        <v>中级神器2配件3-雷钻Lvs6</v>
      </c>
      <c r="AL419" s="60" t="s">
        <v>645</v>
      </c>
      <c r="AM419" s="15">
        <f t="shared" si="50"/>
        <v>6</v>
      </c>
      <c r="AN419" s="15" t="str">
        <f t="shared" si="51"/>
        <v>中级神器2配件3</v>
      </c>
      <c r="AO419" s="15">
        <f>INDEX(芦花古楼!$BX$19:$BX$58,神器!AM419)</f>
        <v>5</v>
      </c>
      <c r="AP419" s="15" t="s">
        <v>88</v>
      </c>
      <c r="AQ419" s="15">
        <f t="shared" si="52"/>
        <v>1170</v>
      </c>
      <c r="AR419" s="15" t="s">
        <v>654</v>
      </c>
      <c r="AS419" s="15">
        <f t="shared" si="53"/>
        <v>35</v>
      </c>
    </row>
    <row r="420" spans="35:45" ht="16.5" x14ac:dyDescent="0.2">
      <c r="AI420" s="60">
        <v>407</v>
      </c>
      <c r="AJ420" s="15">
        <f t="shared" si="48"/>
        <v>1606013</v>
      </c>
      <c r="AK420" s="15" t="str">
        <f t="shared" si="49"/>
        <v>中级神器2配件3-雷钻Lvs7</v>
      </c>
      <c r="AL420" s="60" t="s">
        <v>645</v>
      </c>
      <c r="AM420" s="15">
        <f t="shared" si="50"/>
        <v>7</v>
      </c>
      <c r="AN420" s="15" t="str">
        <f t="shared" si="51"/>
        <v>中级神器2配件3</v>
      </c>
      <c r="AO420" s="15">
        <f>INDEX(芦花古楼!$BX$19:$BX$58,神器!AM420)</f>
        <v>5</v>
      </c>
      <c r="AP420" s="15" t="s">
        <v>88</v>
      </c>
      <c r="AQ420" s="15">
        <f t="shared" si="52"/>
        <v>1335</v>
      </c>
      <c r="AR420" s="15" t="s">
        <v>654</v>
      </c>
      <c r="AS420" s="15">
        <f t="shared" si="53"/>
        <v>40</v>
      </c>
    </row>
    <row r="421" spans="35:45" ht="16.5" x14ac:dyDescent="0.2">
      <c r="AI421" s="60">
        <v>408</v>
      </c>
      <c r="AJ421" s="15">
        <f t="shared" si="48"/>
        <v>1606013</v>
      </c>
      <c r="AK421" s="15" t="str">
        <f t="shared" si="49"/>
        <v>中级神器2配件3-雷钻Lvs8</v>
      </c>
      <c r="AL421" s="60" t="s">
        <v>645</v>
      </c>
      <c r="AM421" s="15">
        <f t="shared" si="50"/>
        <v>8</v>
      </c>
      <c r="AN421" s="15" t="str">
        <f t="shared" si="51"/>
        <v>中级神器2配件3</v>
      </c>
      <c r="AO421" s="15">
        <f>INDEX(芦花古楼!$BX$19:$BX$58,神器!AM421)</f>
        <v>5</v>
      </c>
      <c r="AP421" s="15" t="s">
        <v>88</v>
      </c>
      <c r="AQ421" s="15">
        <f t="shared" si="52"/>
        <v>1505</v>
      </c>
      <c r="AR421" s="15" t="s">
        <v>654</v>
      </c>
      <c r="AS421" s="15">
        <f t="shared" si="53"/>
        <v>45</v>
      </c>
    </row>
    <row r="422" spans="35:45" ht="16.5" x14ac:dyDescent="0.2">
      <c r="AI422" s="60">
        <v>409</v>
      </c>
      <c r="AJ422" s="15">
        <f t="shared" si="48"/>
        <v>1606013</v>
      </c>
      <c r="AK422" s="15" t="str">
        <f t="shared" si="49"/>
        <v>中级神器2配件3-雷钻Lvs9</v>
      </c>
      <c r="AL422" s="60" t="s">
        <v>645</v>
      </c>
      <c r="AM422" s="15">
        <f t="shared" si="50"/>
        <v>9</v>
      </c>
      <c r="AN422" s="15" t="str">
        <f t="shared" si="51"/>
        <v>中级神器2配件3</v>
      </c>
      <c r="AO422" s="15">
        <f>INDEX(芦花古楼!$BX$19:$BX$58,神器!AM422)</f>
        <v>5</v>
      </c>
      <c r="AP422" s="15" t="s">
        <v>88</v>
      </c>
      <c r="AQ422" s="15">
        <f t="shared" si="52"/>
        <v>1670</v>
      </c>
      <c r="AR422" s="15" t="s">
        <v>654</v>
      </c>
      <c r="AS422" s="15">
        <f t="shared" si="53"/>
        <v>51</v>
      </c>
    </row>
    <row r="423" spans="35:45" ht="16.5" x14ac:dyDescent="0.2">
      <c r="AI423" s="60">
        <v>410</v>
      </c>
      <c r="AJ423" s="15">
        <f t="shared" si="48"/>
        <v>1606013</v>
      </c>
      <c r="AK423" s="15" t="str">
        <f t="shared" si="49"/>
        <v>中级神器2配件3-雷钻Lvs10</v>
      </c>
      <c r="AL423" s="60" t="s">
        <v>645</v>
      </c>
      <c r="AM423" s="15">
        <f t="shared" si="50"/>
        <v>10</v>
      </c>
      <c r="AN423" s="15" t="str">
        <f t="shared" si="51"/>
        <v>中级神器2配件3</v>
      </c>
      <c r="AO423" s="15">
        <f>INDEX(芦花古楼!$BX$19:$BX$58,神器!AM423)</f>
        <v>7</v>
      </c>
      <c r="AP423" s="15" t="s">
        <v>88</v>
      </c>
      <c r="AQ423" s="15">
        <f t="shared" si="52"/>
        <v>2005</v>
      </c>
      <c r="AR423" s="15" t="s">
        <v>654</v>
      </c>
      <c r="AS423" s="15">
        <f t="shared" si="53"/>
        <v>56</v>
      </c>
    </row>
    <row r="424" spans="35:45" ht="16.5" x14ac:dyDescent="0.2">
      <c r="AI424" s="60">
        <v>411</v>
      </c>
      <c r="AJ424" s="15">
        <f t="shared" si="48"/>
        <v>1606013</v>
      </c>
      <c r="AK424" s="15" t="str">
        <f t="shared" si="49"/>
        <v>中级神器2配件3-雷钻Lvs11</v>
      </c>
      <c r="AL424" s="60" t="s">
        <v>645</v>
      </c>
      <c r="AM424" s="15">
        <f t="shared" si="50"/>
        <v>11</v>
      </c>
      <c r="AN424" s="15" t="str">
        <f t="shared" si="51"/>
        <v>中级神器2配件3</v>
      </c>
      <c r="AO424" s="15">
        <f>INDEX(芦花古楼!$BX$19:$BX$58,神器!AM424)</f>
        <v>7</v>
      </c>
      <c r="AP424" s="15" t="s">
        <v>88</v>
      </c>
      <c r="AQ424" s="15">
        <f t="shared" si="52"/>
        <v>2520</v>
      </c>
      <c r="AR424" s="15" t="s">
        <v>654</v>
      </c>
      <c r="AS424" s="15">
        <f t="shared" si="53"/>
        <v>63</v>
      </c>
    </row>
    <row r="425" spans="35:45" ht="16.5" x14ac:dyDescent="0.2">
      <c r="AI425" s="60">
        <v>412</v>
      </c>
      <c r="AJ425" s="15">
        <f t="shared" si="48"/>
        <v>1606013</v>
      </c>
      <c r="AK425" s="15" t="str">
        <f t="shared" si="49"/>
        <v>中级神器2配件3-雷钻Lvs12</v>
      </c>
      <c r="AL425" s="60" t="s">
        <v>645</v>
      </c>
      <c r="AM425" s="15">
        <f t="shared" si="50"/>
        <v>12</v>
      </c>
      <c r="AN425" s="15" t="str">
        <f t="shared" si="51"/>
        <v>中级神器2配件3</v>
      </c>
      <c r="AO425" s="15">
        <f>INDEX(芦花古楼!$BX$19:$BX$58,神器!AM425)</f>
        <v>7</v>
      </c>
      <c r="AP425" s="15" t="s">
        <v>88</v>
      </c>
      <c r="AQ425" s="15">
        <f t="shared" si="52"/>
        <v>2940</v>
      </c>
      <c r="AR425" s="15" t="s">
        <v>654</v>
      </c>
      <c r="AS425" s="15">
        <f t="shared" si="53"/>
        <v>69</v>
      </c>
    </row>
    <row r="426" spans="35:45" ht="16.5" x14ac:dyDescent="0.2">
      <c r="AI426" s="60">
        <v>413</v>
      </c>
      <c r="AJ426" s="15">
        <f t="shared" si="48"/>
        <v>1606013</v>
      </c>
      <c r="AK426" s="15" t="str">
        <f t="shared" si="49"/>
        <v>中级神器2配件3-雷钻Lvs13</v>
      </c>
      <c r="AL426" s="60" t="s">
        <v>645</v>
      </c>
      <c r="AM426" s="15">
        <f t="shared" si="50"/>
        <v>13</v>
      </c>
      <c r="AN426" s="15" t="str">
        <f t="shared" si="51"/>
        <v>中级神器2配件3</v>
      </c>
      <c r="AO426" s="15">
        <f>INDEX(芦花古楼!$BX$19:$BX$58,神器!AM426)</f>
        <v>7</v>
      </c>
      <c r="AP426" s="15" t="s">
        <v>88</v>
      </c>
      <c r="AQ426" s="15">
        <f t="shared" si="52"/>
        <v>3360</v>
      </c>
      <c r="AR426" s="15" t="s">
        <v>654</v>
      </c>
      <c r="AS426" s="15">
        <f t="shared" si="53"/>
        <v>76</v>
      </c>
    </row>
    <row r="427" spans="35:45" ht="16.5" x14ac:dyDescent="0.2">
      <c r="AI427" s="60">
        <v>414</v>
      </c>
      <c r="AJ427" s="15">
        <f t="shared" si="48"/>
        <v>1606013</v>
      </c>
      <c r="AK427" s="15" t="str">
        <f t="shared" si="49"/>
        <v>中级神器2配件3-雷钻Lvs14</v>
      </c>
      <c r="AL427" s="60" t="s">
        <v>645</v>
      </c>
      <c r="AM427" s="15">
        <f t="shared" si="50"/>
        <v>14</v>
      </c>
      <c r="AN427" s="15" t="str">
        <f t="shared" si="51"/>
        <v>中级神器2配件3</v>
      </c>
      <c r="AO427" s="15">
        <f>INDEX(芦花古楼!$BX$19:$BX$58,神器!AM427)</f>
        <v>7</v>
      </c>
      <c r="AP427" s="15" t="s">
        <v>88</v>
      </c>
      <c r="AQ427" s="15">
        <f t="shared" si="52"/>
        <v>3780</v>
      </c>
      <c r="AR427" s="15" t="s">
        <v>654</v>
      </c>
      <c r="AS427" s="15">
        <f t="shared" si="53"/>
        <v>83</v>
      </c>
    </row>
    <row r="428" spans="35:45" ht="16.5" x14ac:dyDescent="0.2">
      <c r="AI428" s="60">
        <v>415</v>
      </c>
      <c r="AJ428" s="15">
        <f t="shared" si="48"/>
        <v>1606013</v>
      </c>
      <c r="AK428" s="15" t="str">
        <f t="shared" si="49"/>
        <v>中级神器2配件3-雷钻Lvs15</v>
      </c>
      <c r="AL428" s="60" t="s">
        <v>645</v>
      </c>
      <c r="AM428" s="15">
        <f t="shared" si="50"/>
        <v>15</v>
      </c>
      <c r="AN428" s="15" t="str">
        <f t="shared" si="51"/>
        <v>中级神器2配件3</v>
      </c>
      <c r="AO428" s="15">
        <f>INDEX(芦花古楼!$BX$19:$BX$58,神器!AM428)</f>
        <v>10</v>
      </c>
      <c r="AP428" s="15" t="s">
        <v>88</v>
      </c>
      <c r="AQ428" s="15">
        <f t="shared" si="52"/>
        <v>4200</v>
      </c>
      <c r="AR428" s="15" t="s">
        <v>654</v>
      </c>
      <c r="AS428" s="15">
        <f t="shared" si="53"/>
        <v>90</v>
      </c>
    </row>
    <row r="429" spans="35:45" ht="16.5" x14ac:dyDescent="0.2">
      <c r="AI429" s="60">
        <v>416</v>
      </c>
      <c r="AJ429" s="15">
        <f t="shared" si="48"/>
        <v>1606013</v>
      </c>
      <c r="AK429" s="15" t="str">
        <f t="shared" si="49"/>
        <v>中级神器2配件3-雷钻Lvs16</v>
      </c>
      <c r="AL429" s="60" t="s">
        <v>645</v>
      </c>
      <c r="AM429" s="15">
        <f t="shared" si="50"/>
        <v>16</v>
      </c>
      <c r="AN429" s="15" t="str">
        <f t="shared" si="51"/>
        <v>中级神器2配件3</v>
      </c>
      <c r="AO429" s="15">
        <f>INDEX(芦花古楼!$BX$19:$BX$58,神器!AM429)</f>
        <v>10</v>
      </c>
      <c r="AP429" s="15" t="s">
        <v>88</v>
      </c>
      <c r="AQ429" s="15">
        <f t="shared" si="52"/>
        <v>4620</v>
      </c>
      <c r="AR429" s="15" t="s">
        <v>654</v>
      </c>
      <c r="AS429" s="15">
        <f t="shared" si="53"/>
        <v>98</v>
      </c>
    </row>
    <row r="430" spans="35:45" ht="16.5" x14ac:dyDescent="0.2">
      <c r="AI430" s="60">
        <v>417</v>
      </c>
      <c r="AJ430" s="15">
        <f t="shared" si="48"/>
        <v>1606013</v>
      </c>
      <c r="AK430" s="15" t="str">
        <f t="shared" si="49"/>
        <v>中级神器2配件3-雷钻Lvs17</v>
      </c>
      <c r="AL430" s="60" t="s">
        <v>645</v>
      </c>
      <c r="AM430" s="15">
        <f t="shared" si="50"/>
        <v>17</v>
      </c>
      <c r="AN430" s="15" t="str">
        <f t="shared" si="51"/>
        <v>中级神器2配件3</v>
      </c>
      <c r="AO430" s="15">
        <f>INDEX(芦花古楼!$BX$19:$BX$58,神器!AM430)</f>
        <v>10</v>
      </c>
      <c r="AP430" s="15" t="s">
        <v>88</v>
      </c>
      <c r="AQ430" s="15">
        <f t="shared" si="52"/>
        <v>5040</v>
      </c>
      <c r="AR430" s="15" t="s">
        <v>654</v>
      </c>
      <c r="AS430" s="15">
        <f t="shared" si="53"/>
        <v>107</v>
      </c>
    </row>
    <row r="431" spans="35:45" ht="16.5" x14ac:dyDescent="0.2">
      <c r="AI431" s="60">
        <v>418</v>
      </c>
      <c r="AJ431" s="15">
        <f t="shared" si="48"/>
        <v>1606013</v>
      </c>
      <c r="AK431" s="15" t="str">
        <f t="shared" si="49"/>
        <v>中级神器2配件3-雷钻Lvs18</v>
      </c>
      <c r="AL431" s="60" t="s">
        <v>645</v>
      </c>
      <c r="AM431" s="15">
        <f t="shared" si="50"/>
        <v>18</v>
      </c>
      <c r="AN431" s="15" t="str">
        <f t="shared" si="51"/>
        <v>中级神器2配件3</v>
      </c>
      <c r="AO431" s="15">
        <f>INDEX(芦花古楼!$BX$19:$BX$58,神器!AM431)</f>
        <v>10</v>
      </c>
      <c r="AP431" s="15" t="s">
        <v>88</v>
      </c>
      <c r="AQ431" s="15">
        <f t="shared" si="52"/>
        <v>5460</v>
      </c>
      <c r="AR431" s="15" t="s">
        <v>654</v>
      </c>
      <c r="AS431" s="15">
        <f t="shared" si="53"/>
        <v>115</v>
      </c>
    </row>
    <row r="432" spans="35:45" ht="16.5" x14ac:dyDescent="0.2">
      <c r="AI432" s="60">
        <v>419</v>
      </c>
      <c r="AJ432" s="15">
        <f t="shared" si="48"/>
        <v>1606013</v>
      </c>
      <c r="AK432" s="15" t="str">
        <f t="shared" si="49"/>
        <v>中级神器2配件3-雷钻Lvs19</v>
      </c>
      <c r="AL432" s="60" t="s">
        <v>645</v>
      </c>
      <c r="AM432" s="15">
        <f t="shared" si="50"/>
        <v>19</v>
      </c>
      <c r="AN432" s="15" t="str">
        <f t="shared" si="51"/>
        <v>中级神器2配件3</v>
      </c>
      <c r="AO432" s="15">
        <f>INDEX(芦花古楼!$BX$19:$BX$58,神器!AM432)</f>
        <v>10</v>
      </c>
      <c r="AP432" s="15" t="s">
        <v>88</v>
      </c>
      <c r="AQ432" s="15">
        <f t="shared" si="52"/>
        <v>5880</v>
      </c>
      <c r="AR432" s="15" t="s">
        <v>654</v>
      </c>
      <c r="AS432" s="15">
        <f t="shared" si="53"/>
        <v>124</v>
      </c>
    </row>
    <row r="433" spans="35:45" ht="16.5" x14ac:dyDescent="0.2">
      <c r="AI433" s="60">
        <v>420</v>
      </c>
      <c r="AJ433" s="15">
        <f t="shared" si="48"/>
        <v>1606013</v>
      </c>
      <c r="AK433" s="15" t="str">
        <f t="shared" si="49"/>
        <v>中级神器2配件3-雷钻Lvs20</v>
      </c>
      <c r="AL433" s="60" t="s">
        <v>645</v>
      </c>
      <c r="AM433" s="15">
        <f t="shared" si="50"/>
        <v>20</v>
      </c>
      <c r="AN433" s="15" t="str">
        <f t="shared" si="51"/>
        <v>中级神器2配件3</v>
      </c>
      <c r="AO433" s="15">
        <f>INDEX(芦花古楼!$BX$19:$BX$58,神器!AM433)</f>
        <v>10</v>
      </c>
      <c r="AP433" s="15" t="s">
        <v>88</v>
      </c>
      <c r="AQ433" s="15">
        <f t="shared" si="52"/>
        <v>6720</v>
      </c>
      <c r="AR433" s="15" t="s">
        <v>654</v>
      </c>
      <c r="AS433" s="15">
        <f t="shared" si="53"/>
        <v>134</v>
      </c>
    </row>
    <row r="434" spans="35:45" ht="16.5" x14ac:dyDescent="0.2">
      <c r="AI434" s="60">
        <v>421</v>
      </c>
      <c r="AJ434" s="15">
        <f t="shared" si="48"/>
        <v>1606013</v>
      </c>
      <c r="AK434" s="15" t="str">
        <f t="shared" si="49"/>
        <v>中级神器2配件3-雷钻Lvs21</v>
      </c>
      <c r="AL434" s="60" t="s">
        <v>645</v>
      </c>
      <c r="AM434" s="15">
        <f t="shared" si="50"/>
        <v>21</v>
      </c>
      <c r="AN434" s="15" t="str">
        <f t="shared" si="51"/>
        <v>中级神器2配件3</v>
      </c>
      <c r="AO434" s="15">
        <f>INDEX(芦花古楼!$BX$19:$BX$58,神器!AM434)</f>
        <v>15</v>
      </c>
      <c r="AP434" s="15" t="s">
        <v>88</v>
      </c>
      <c r="AQ434" s="15">
        <f t="shared" si="52"/>
        <v>7420</v>
      </c>
      <c r="AR434" s="15" t="s">
        <v>654</v>
      </c>
      <c r="AS434" s="15">
        <f t="shared" si="53"/>
        <v>144</v>
      </c>
    </row>
    <row r="435" spans="35:45" ht="16.5" x14ac:dyDescent="0.2">
      <c r="AI435" s="60">
        <v>422</v>
      </c>
      <c r="AJ435" s="15">
        <f t="shared" si="48"/>
        <v>1606013</v>
      </c>
      <c r="AK435" s="15" t="str">
        <f t="shared" si="49"/>
        <v>中级神器2配件3-雷钻Lvs22</v>
      </c>
      <c r="AL435" s="60" t="s">
        <v>645</v>
      </c>
      <c r="AM435" s="15">
        <f t="shared" si="50"/>
        <v>22</v>
      </c>
      <c r="AN435" s="15" t="str">
        <f t="shared" si="51"/>
        <v>中级神器2配件3</v>
      </c>
      <c r="AO435" s="15">
        <f>INDEX(芦花古楼!$BX$19:$BX$58,神器!AM435)</f>
        <v>15</v>
      </c>
      <c r="AP435" s="15" t="s">
        <v>88</v>
      </c>
      <c r="AQ435" s="15">
        <f t="shared" si="52"/>
        <v>7790</v>
      </c>
      <c r="AR435" s="15" t="s">
        <v>654</v>
      </c>
      <c r="AS435" s="15">
        <f t="shared" si="53"/>
        <v>154</v>
      </c>
    </row>
    <row r="436" spans="35:45" ht="16.5" x14ac:dyDescent="0.2">
      <c r="AI436" s="60">
        <v>423</v>
      </c>
      <c r="AJ436" s="15">
        <f t="shared" si="48"/>
        <v>1606013</v>
      </c>
      <c r="AK436" s="15" t="str">
        <f t="shared" si="49"/>
        <v>中级神器2配件3-雷钻Lvs23</v>
      </c>
      <c r="AL436" s="60" t="s">
        <v>645</v>
      </c>
      <c r="AM436" s="15">
        <f t="shared" si="50"/>
        <v>23</v>
      </c>
      <c r="AN436" s="15" t="str">
        <f t="shared" si="51"/>
        <v>中级神器2配件3</v>
      </c>
      <c r="AO436" s="15">
        <f>INDEX(芦花古楼!$BX$19:$BX$58,神器!AM436)</f>
        <v>15</v>
      </c>
      <c r="AP436" s="15" t="s">
        <v>88</v>
      </c>
      <c r="AQ436" s="15">
        <f t="shared" si="52"/>
        <v>8160</v>
      </c>
      <c r="AR436" s="15" t="s">
        <v>654</v>
      </c>
      <c r="AS436" s="15">
        <f t="shared" si="53"/>
        <v>166</v>
      </c>
    </row>
    <row r="437" spans="35:45" ht="16.5" x14ac:dyDescent="0.2">
      <c r="AI437" s="60">
        <v>424</v>
      </c>
      <c r="AJ437" s="15">
        <f t="shared" si="48"/>
        <v>1606013</v>
      </c>
      <c r="AK437" s="15" t="str">
        <f t="shared" si="49"/>
        <v>中级神器2配件3-雷钻Lvs24</v>
      </c>
      <c r="AL437" s="60" t="s">
        <v>645</v>
      </c>
      <c r="AM437" s="15">
        <f t="shared" si="50"/>
        <v>24</v>
      </c>
      <c r="AN437" s="15" t="str">
        <f t="shared" si="51"/>
        <v>中级神器2配件3</v>
      </c>
      <c r="AO437" s="15">
        <f>INDEX(芦花古楼!$BX$19:$BX$58,神器!AM437)</f>
        <v>15</v>
      </c>
      <c r="AP437" s="15" t="s">
        <v>88</v>
      </c>
      <c r="AQ437" s="15">
        <f t="shared" si="52"/>
        <v>8535</v>
      </c>
      <c r="AR437" s="15" t="s">
        <v>654</v>
      </c>
      <c r="AS437" s="15">
        <f t="shared" si="53"/>
        <v>177</v>
      </c>
    </row>
    <row r="438" spans="35:45" ht="16.5" x14ac:dyDescent="0.2">
      <c r="AI438" s="60">
        <v>425</v>
      </c>
      <c r="AJ438" s="15">
        <f t="shared" si="48"/>
        <v>1606013</v>
      </c>
      <c r="AK438" s="15" t="str">
        <f t="shared" si="49"/>
        <v>中级神器2配件3-雷钻Lvs25</v>
      </c>
      <c r="AL438" s="60" t="s">
        <v>645</v>
      </c>
      <c r="AM438" s="15">
        <f t="shared" si="50"/>
        <v>25</v>
      </c>
      <c r="AN438" s="15" t="str">
        <f t="shared" si="51"/>
        <v>中级神器2配件3</v>
      </c>
      <c r="AO438" s="15">
        <f>INDEX(芦花古楼!$BX$19:$BX$58,神器!AM438)</f>
        <v>15</v>
      </c>
      <c r="AP438" s="15" t="s">
        <v>88</v>
      </c>
      <c r="AQ438" s="15">
        <f t="shared" si="52"/>
        <v>8905</v>
      </c>
      <c r="AR438" s="15" t="s">
        <v>654</v>
      </c>
      <c r="AS438" s="15">
        <f t="shared" si="53"/>
        <v>189</v>
      </c>
    </row>
    <row r="439" spans="35:45" ht="16.5" x14ac:dyDescent="0.2">
      <c r="AI439" s="60">
        <v>426</v>
      </c>
      <c r="AJ439" s="15">
        <f t="shared" si="48"/>
        <v>1606013</v>
      </c>
      <c r="AK439" s="15" t="str">
        <f t="shared" si="49"/>
        <v>中级神器2配件3-雷钻Lvs26</v>
      </c>
      <c r="AL439" s="60" t="s">
        <v>645</v>
      </c>
      <c r="AM439" s="15">
        <f t="shared" si="50"/>
        <v>26</v>
      </c>
      <c r="AN439" s="15" t="str">
        <f t="shared" si="51"/>
        <v>中级神器2配件3</v>
      </c>
      <c r="AO439" s="15">
        <f>INDEX(芦花古楼!$BX$19:$BX$58,神器!AM439)</f>
        <v>25</v>
      </c>
      <c r="AP439" s="15" t="s">
        <v>88</v>
      </c>
      <c r="AQ439" s="15">
        <f t="shared" si="52"/>
        <v>9275</v>
      </c>
      <c r="AR439" s="15" t="s">
        <v>654</v>
      </c>
      <c r="AS439" s="15">
        <f t="shared" si="53"/>
        <v>202</v>
      </c>
    </row>
    <row r="440" spans="35:45" ht="16.5" x14ac:dyDescent="0.2">
      <c r="AI440" s="60">
        <v>427</v>
      </c>
      <c r="AJ440" s="15">
        <f t="shared" si="48"/>
        <v>1606013</v>
      </c>
      <c r="AK440" s="15" t="str">
        <f t="shared" si="49"/>
        <v>中级神器2配件3-雷钻Lvs27</v>
      </c>
      <c r="AL440" s="60" t="s">
        <v>645</v>
      </c>
      <c r="AM440" s="15">
        <f t="shared" si="50"/>
        <v>27</v>
      </c>
      <c r="AN440" s="15" t="str">
        <f t="shared" si="51"/>
        <v>中级神器2配件3</v>
      </c>
      <c r="AO440" s="15">
        <f>INDEX(芦花古楼!$BX$19:$BX$58,神器!AM440)</f>
        <v>25</v>
      </c>
      <c r="AP440" s="15" t="s">
        <v>88</v>
      </c>
      <c r="AQ440" s="15">
        <f t="shared" si="52"/>
        <v>9645</v>
      </c>
      <c r="AR440" s="15" t="s">
        <v>654</v>
      </c>
      <c r="AS440" s="15">
        <f t="shared" si="53"/>
        <v>216</v>
      </c>
    </row>
    <row r="441" spans="35:45" ht="16.5" x14ac:dyDescent="0.2">
      <c r="AI441" s="60">
        <v>428</v>
      </c>
      <c r="AJ441" s="15">
        <f t="shared" si="48"/>
        <v>1606013</v>
      </c>
      <c r="AK441" s="15" t="str">
        <f t="shared" si="49"/>
        <v>中级神器2配件3-雷钻Lvs28</v>
      </c>
      <c r="AL441" s="60" t="s">
        <v>645</v>
      </c>
      <c r="AM441" s="15">
        <f t="shared" si="50"/>
        <v>28</v>
      </c>
      <c r="AN441" s="15" t="str">
        <f t="shared" si="51"/>
        <v>中级神器2配件3</v>
      </c>
      <c r="AO441" s="15">
        <f>INDEX(芦花古楼!$BX$19:$BX$58,神器!AM441)</f>
        <v>25</v>
      </c>
      <c r="AP441" s="15" t="s">
        <v>88</v>
      </c>
      <c r="AQ441" s="15">
        <f t="shared" si="52"/>
        <v>10015</v>
      </c>
      <c r="AR441" s="15" t="s">
        <v>654</v>
      </c>
      <c r="AS441" s="15">
        <f t="shared" si="53"/>
        <v>230</v>
      </c>
    </row>
    <row r="442" spans="35:45" ht="16.5" x14ac:dyDescent="0.2">
      <c r="AI442" s="60">
        <v>429</v>
      </c>
      <c r="AJ442" s="15">
        <f t="shared" si="48"/>
        <v>1606013</v>
      </c>
      <c r="AK442" s="15" t="str">
        <f t="shared" si="49"/>
        <v>中级神器2配件3-雷钻Lvs29</v>
      </c>
      <c r="AL442" s="60" t="s">
        <v>645</v>
      </c>
      <c r="AM442" s="15">
        <f t="shared" si="50"/>
        <v>29</v>
      </c>
      <c r="AN442" s="15" t="str">
        <f t="shared" si="51"/>
        <v>中级神器2配件3</v>
      </c>
      <c r="AO442" s="15">
        <f>INDEX(芦花古楼!$BX$19:$BX$58,神器!AM442)</f>
        <v>25</v>
      </c>
      <c r="AP442" s="15" t="s">
        <v>88</v>
      </c>
      <c r="AQ442" s="15">
        <f t="shared" si="52"/>
        <v>10390</v>
      </c>
      <c r="AR442" s="15" t="s">
        <v>654</v>
      </c>
      <c r="AS442" s="15">
        <f t="shared" si="53"/>
        <v>244</v>
      </c>
    </row>
    <row r="443" spans="35:45" ht="16.5" x14ac:dyDescent="0.2">
      <c r="AI443" s="60">
        <v>430</v>
      </c>
      <c r="AJ443" s="15">
        <f t="shared" si="48"/>
        <v>1606013</v>
      </c>
      <c r="AK443" s="15" t="str">
        <f t="shared" si="49"/>
        <v>中级神器2配件3-雷钻Lvs30</v>
      </c>
      <c r="AL443" s="60" t="s">
        <v>645</v>
      </c>
      <c r="AM443" s="15">
        <f t="shared" si="50"/>
        <v>30</v>
      </c>
      <c r="AN443" s="15" t="str">
        <f t="shared" si="51"/>
        <v>中级神器2配件3</v>
      </c>
      <c r="AO443" s="15">
        <f>INDEX(芦花古楼!$BX$19:$BX$58,神器!AM443)</f>
        <v>25</v>
      </c>
      <c r="AP443" s="15" t="s">
        <v>88</v>
      </c>
      <c r="AQ443" s="15">
        <f t="shared" si="52"/>
        <v>11130</v>
      </c>
      <c r="AR443" s="15" t="s">
        <v>654</v>
      </c>
      <c r="AS443" s="15">
        <f t="shared" si="53"/>
        <v>260</v>
      </c>
    </row>
    <row r="444" spans="35:45" ht="16.5" x14ac:dyDescent="0.2">
      <c r="AI444" s="60">
        <v>431</v>
      </c>
      <c r="AJ444" s="15">
        <f t="shared" si="48"/>
        <v>1606013</v>
      </c>
      <c r="AK444" s="15" t="str">
        <f t="shared" si="49"/>
        <v>中级神器2配件3-雷钻Lvs31</v>
      </c>
      <c r="AL444" s="60" t="s">
        <v>645</v>
      </c>
      <c r="AM444" s="15">
        <f t="shared" si="50"/>
        <v>31</v>
      </c>
      <c r="AN444" s="15" t="str">
        <f t="shared" si="51"/>
        <v>中级神器2配件3</v>
      </c>
      <c r="AO444" s="15">
        <f>INDEX(芦花古楼!$BX$19:$BX$58,神器!AM444)</f>
        <v>30</v>
      </c>
      <c r="AP444" s="15" t="s">
        <v>88</v>
      </c>
      <c r="AQ444" s="15">
        <f t="shared" si="52"/>
        <v>10850</v>
      </c>
      <c r="AR444" s="15" t="s">
        <v>654</v>
      </c>
      <c r="AS444" s="15">
        <f t="shared" si="53"/>
        <v>276</v>
      </c>
    </row>
    <row r="445" spans="35:45" ht="16.5" x14ac:dyDescent="0.2">
      <c r="AI445" s="60">
        <v>432</v>
      </c>
      <c r="AJ445" s="15">
        <f t="shared" si="48"/>
        <v>1606013</v>
      </c>
      <c r="AK445" s="15" t="str">
        <f t="shared" si="49"/>
        <v>中级神器2配件3-雷钻Lvs32</v>
      </c>
      <c r="AL445" s="60" t="s">
        <v>645</v>
      </c>
      <c r="AM445" s="15">
        <f t="shared" si="50"/>
        <v>32</v>
      </c>
      <c r="AN445" s="15" t="str">
        <f t="shared" si="51"/>
        <v>中级神器2配件3</v>
      </c>
      <c r="AO445" s="15">
        <f>INDEX(芦花古楼!$BX$19:$BX$58,神器!AM445)</f>
        <v>30</v>
      </c>
      <c r="AP445" s="15" t="s">
        <v>88</v>
      </c>
      <c r="AQ445" s="15">
        <f t="shared" si="52"/>
        <v>16275</v>
      </c>
      <c r="AR445" s="15" t="s">
        <v>654</v>
      </c>
      <c r="AS445" s="15">
        <f t="shared" si="53"/>
        <v>293</v>
      </c>
    </row>
    <row r="446" spans="35:45" ht="16.5" x14ac:dyDescent="0.2">
      <c r="AI446" s="60">
        <v>433</v>
      </c>
      <c r="AJ446" s="15">
        <f t="shared" si="48"/>
        <v>1606013</v>
      </c>
      <c r="AK446" s="15" t="str">
        <f t="shared" si="49"/>
        <v>中级神器2配件3-雷钻Lvs33</v>
      </c>
      <c r="AL446" s="60" t="s">
        <v>645</v>
      </c>
      <c r="AM446" s="15">
        <f t="shared" si="50"/>
        <v>33</v>
      </c>
      <c r="AN446" s="15" t="str">
        <f t="shared" si="51"/>
        <v>中级神器2配件3</v>
      </c>
      <c r="AO446" s="15">
        <f>INDEX(芦花古楼!$BX$19:$BX$58,神器!AM446)</f>
        <v>30</v>
      </c>
      <c r="AP446" s="15" t="s">
        <v>88</v>
      </c>
      <c r="AQ446" s="15">
        <f t="shared" si="52"/>
        <v>21700</v>
      </c>
      <c r="AR446" s="15" t="s">
        <v>654</v>
      </c>
      <c r="AS446" s="15">
        <f t="shared" si="53"/>
        <v>312</v>
      </c>
    </row>
    <row r="447" spans="35:45" ht="16.5" x14ac:dyDescent="0.2">
      <c r="AI447" s="60">
        <v>434</v>
      </c>
      <c r="AJ447" s="15">
        <f t="shared" si="48"/>
        <v>1606013</v>
      </c>
      <c r="AK447" s="15" t="str">
        <f t="shared" si="49"/>
        <v>中级神器2配件3-雷钻Lvs34</v>
      </c>
      <c r="AL447" s="60" t="s">
        <v>645</v>
      </c>
      <c r="AM447" s="15">
        <f t="shared" si="50"/>
        <v>34</v>
      </c>
      <c r="AN447" s="15" t="str">
        <f t="shared" si="51"/>
        <v>中级神器2配件3</v>
      </c>
      <c r="AO447" s="15">
        <f>INDEX(芦花古楼!$BX$19:$BX$58,神器!AM447)</f>
        <v>30</v>
      </c>
      <c r="AP447" s="15" t="s">
        <v>88</v>
      </c>
      <c r="AQ447" s="15">
        <f t="shared" si="52"/>
        <v>27125</v>
      </c>
      <c r="AR447" s="15" t="s">
        <v>654</v>
      </c>
      <c r="AS447" s="15">
        <f t="shared" si="53"/>
        <v>330</v>
      </c>
    </row>
    <row r="448" spans="35:45" ht="16.5" x14ac:dyDescent="0.2">
      <c r="AI448" s="60">
        <v>435</v>
      </c>
      <c r="AJ448" s="15">
        <f t="shared" si="48"/>
        <v>1606013</v>
      </c>
      <c r="AK448" s="15" t="str">
        <f t="shared" si="49"/>
        <v>中级神器2配件3-雷钻Lvs35</v>
      </c>
      <c r="AL448" s="60" t="s">
        <v>645</v>
      </c>
      <c r="AM448" s="15">
        <f t="shared" si="50"/>
        <v>35</v>
      </c>
      <c r="AN448" s="15" t="str">
        <f t="shared" si="51"/>
        <v>中级神器2配件3</v>
      </c>
      <c r="AO448" s="15">
        <f>INDEX(芦花古楼!$BX$19:$BX$58,神器!AM448)</f>
        <v>30</v>
      </c>
      <c r="AP448" s="15" t="s">
        <v>88</v>
      </c>
      <c r="AQ448" s="15">
        <f t="shared" si="52"/>
        <v>32550</v>
      </c>
      <c r="AR448" s="15" t="s">
        <v>654</v>
      </c>
      <c r="AS448" s="15">
        <f t="shared" si="53"/>
        <v>350</v>
      </c>
    </row>
    <row r="449" spans="35:45" ht="16.5" x14ac:dyDescent="0.2">
      <c r="AI449" s="60">
        <v>436</v>
      </c>
      <c r="AJ449" s="15">
        <f t="shared" si="48"/>
        <v>1606013</v>
      </c>
      <c r="AK449" s="15" t="str">
        <f t="shared" si="49"/>
        <v>中级神器2配件3-雷钻Lvs36</v>
      </c>
      <c r="AL449" s="60" t="s">
        <v>645</v>
      </c>
      <c r="AM449" s="15">
        <f t="shared" si="50"/>
        <v>36</v>
      </c>
      <c r="AN449" s="15" t="str">
        <f t="shared" si="51"/>
        <v>中级神器2配件3</v>
      </c>
      <c r="AO449" s="15">
        <f>INDEX(芦花古楼!$BX$19:$BX$58,神器!AM449)</f>
        <v>40</v>
      </c>
      <c r="AP449" s="15" t="s">
        <v>88</v>
      </c>
      <c r="AQ449" s="15">
        <f t="shared" si="52"/>
        <v>37975</v>
      </c>
      <c r="AR449" s="15" t="s">
        <v>654</v>
      </c>
      <c r="AS449" s="15">
        <f t="shared" si="53"/>
        <v>371</v>
      </c>
    </row>
    <row r="450" spans="35:45" ht="16.5" x14ac:dyDescent="0.2">
      <c r="AI450" s="60">
        <v>437</v>
      </c>
      <c r="AJ450" s="15">
        <f t="shared" si="48"/>
        <v>1606013</v>
      </c>
      <c r="AK450" s="15" t="str">
        <f t="shared" si="49"/>
        <v>中级神器2配件3-雷钻Lvs37</v>
      </c>
      <c r="AL450" s="60" t="s">
        <v>645</v>
      </c>
      <c r="AM450" s="15">
        <f t="shared" si="50"/>
        <v>37</v>
      </c>
      <c r="AN450" s="15" t="str">
        <f t="shared" si="51"/>
        <v>中级神器2配件3</v>
      </c>
      <c r="AO450" s="15">
        <f>INDEX(芦花古楼!$BX$19:$BX$58,神器!AM450)</f>
        <v>40</v>
      </c>
      <c r="AP450" s="15" t="s">
        <v>88</v>
      </c>
      <c r="AQ450" s="15">
        <f t="shared" si="52"/>
        <v>43400</v>
      </c>
      <c r="AR450" s="15" t="s">
        <v>654</v>
      </c>
      <c r="AS450" s="15">
        <f t="shared" si="53"/>
        <v>393</v>
      </c>
    </row>
    <row r="451" spans="35:45" ht="16.5" x14ac:dyDescent="0.2">
      <c r="AI451" s="60">
        <v>438</v>
      </c>
      <c r="AJ451" s="15">
        <f t="shared" si="48"/>
        <v>1606013</v>
      </c>
      <c r="AK451" s="15" t="str">
        <f t="shared" si="49"/>
        <v>中级神器2配件3-雷钻Lvs38</v>
      </c>
      <c r="AL451" s="60" t="s">
        <v>645</v>
      </c>
      <c r="AM451" s="15">
        <f t="shared" si="50"/>
        <v>38</v>
      </c>
      <c r="AN451" s="15" t="str">
        <f t="shared" si="51"/>
        <v>中级神器2配件3</v>
      </c>
      <c r="AO451" s="15">
        <f>INDEX(芦花古楼!$BX$19:$BX$58,神器!AM451)</f>
        <v>40</v>
      </c>
      <c r="AP451" s="15" t="s">
        <v>88</v>
      </c>
      <c r="AQ451" s="15">
        <f t="shared" si="52"/>
        <v>48825</v>
      </c>
      <c r="AR451" s="15" t="s">
        <v>654</v>
      </c>
      <c r="AS451" s="15">
        <f t="shared" si="53"/>
        <v>416</v>
      </c>
    </row>
    <row r="452" spans="35:45" ht="16.5" x14ac:dyDescent="0.2">
      <c r="AI452" s="60">
        <v>439</v>
      </c>
      <c r="AJ452" s="15">
        <f t="shared" si="48"/>
        <v>1606013</v>
      </c>
      <c r="AK452" s="15" t="str">
        <f t="shared" si="49"/>
        <v>中级神器2配件3-雷钻Lvs39</v>
      </c>
      <c r="AL452" s="60" t="s">
        <v>645</v>
      </c>
      <c r="AM452" s="15">
        <f t="shared" si="50"/>
        <v>39</v>
      </c>
      <c r="AN452" s="15" t="str">
        <f t="shared" si="51"/>
        <v>中级神器2配件3</v>
      </c>
      <c r="AO452" s="15">
        <f>INDEX(芦花古楼!$BX$19:$BX$58,神器!AM452)</f>
        <v>40</v>
      </c>
      <c r="AP452" s="15" t="s">
        <v>88</v>
      </c>
      <c r="AQ452" s="15">
        <f t="shared" si="52"/>
        <v>54250</v>
      </c>
      <c r="AR452" s="15" t="s">
        <v>654</v>
      </c>
      <c r="AS452" s="15">
        <f t="shared" si="53"/>
        <v>440</v>
      </c>
    </row>
    <row r="453" spans="35:45" ht="16.5" x14ac:dyDescent="0.2">
      <c r="AI453" s="60">
        <v>440</v>
      </c>
      <c r="AJ453" s="15">
        <f t="shared" si="48"/>
        <v>1606013</v>
      </c>
      <c r="AK453" s="15" t="str">
        <f t="shared" si="49"/>
        <v>中级神器2配件3-雷钻Lvs40</v>
      </c>
      <c r="AL453" s="60" t="s">
        <v>645</v>
      </c>
      <c r="AM453" s="15">
        <f t="shared" si="50"/>
        <v>40</v>
      </c>
      <c r="AN453" s="15" t="str">
        <f t="shared" si="51"/>
        <v>中级神器2配件3</v>
      </c>
      <c r="AO453" s="15">
        <f>INDEX(芦花古楼!$BX$19:$BX$58,神器!AM453)</f>
        <v>40</v>
      </c>
      <c r="AP453" s="15" t="s">
        <v>88</v>
      </c>
      <c r="AQ453" s="15">
        <f t="shared" si="52"/>
        <v>65100</v>
      </c>
      <c r="AR453" s="15" t="s">
        <v>654</v>
      </c>
      <c r="AS453" s="15">
        <f t="shared" si="53"/>
        <v>465</v>
      </c>
    </row>
    <row r="454" spans="35:45" ht="16.5" x14ac:dyDescent="0.2">
      <c r="AI454" s="60">
        <v>441</v>
      </c>
      <c r="AJ454" s="15">
        <f t="shared" si="48"/>
        <v>1606014</v>
      </c>
      <c r="AK454" s="15" t="str">
        <f t="shared" si="49"/>
        <v>中级神器2配件4-臂刃Lvs1</v>
      </c>
      <c r="AL454" s="60" t="s">
        <v>645</v>
      </c>
      <c r="AM454" s="15">
        <f t="shared" si="50"/>
        <v>1</v>
      </c>
      <c r="AN454" s="15" t="str">
        <f t="shared" si="51"/>
        <v>中级神器2配件4</v>
      </c>
      <c r="AO454" s="15">
        <f>INDEX(芦花古楼!$BX$19:$BX$58,神器!AM454)</f>
        <v>1</v>
      </c>
      <c r="AP454" s="15" t="s">
        <v>88</v>
      </c>
      <c r="AQ454" s="15">
        <f t="shared" si="52"/>
        <v>465</v>
      </c>
      <c r="AR454" s="15" t="s">
        <v>654</v>
      </c>
      <c r="AS454" s="15">
        <f t="shared" si="53"/>
        <v>18</v>
      </c>
    </row>
    <row r="455" spans="35:45" ht="16.5" x14ac:dyDescent="0.2">
      <c r="AI455" s="60">
        <v>442</v>
      </c>
      <c r="AJ455" s="15">
        <f t="shared" si="48"/>
        <v>1606014</v>
      </c>
      <c r="AK455" s="15" t="str">
        <f t="shared" si="49"/>
        <v>中级神器2配件4-臂刃Lvs2</v>
      </c>
      <c r="AL455" s="60" t="s">
        <v>645</v>
      </c>
      <c r="AM455" s="15">
        <f t="shared" si="50"/>
        <v>2</v>
      </c>
      <c r="AN455" s="15" t="str">
        <f t="shared" si="51"/>
        <v>中级神器2配件4</v>
      </c>
      <c r="AO455" s="15">
        <f>INDEX(芦花古楼!$BX$19:$BX$58,神器!AM455)</f>
        <v>1</v>
      </c>
      <c r="AP455" s="15" t="s">
        <v>88</v>
      </c>
      <c r="AQ455" s="15">
        <f t="shared" si="52"/>
        <v>700</v>
      </c>
      <c r="AR455" s="15" t="s">
        <v>654</v>
      </c>
      <c r="AS455" s="15">
        <f t="shared" si="53"/>
        <v>24</v>
      </c>
    </row>
    <row r="456" spans="35:45" ht="16.5" x14ac:dyDescent="0.2">
      <c r="AI456" s="60">
        <v>443</v>
      </c>
      <c r="AJ456" s="15">
        <f t="shared" si="48"/>
        <v>1606014</v>
      </c>
      <c r="AK456" s="15" t="str">
        <f t="shared" si="49"/>
        <v>中级神器2配件4-臂刃Lvs3</v>
      </c>
      <c r="AL456" s="60" t="s">
        <v>645</v>
      </c>
      <c r="AM456" s="15">
        <f t="shared" si="50"/>
        <v>3</v>
      </c>
      <c r="AN456" s="15" t="str">
        <f t="shared" si="51"/>
        <v>中级神器2配件4</v>
      </c>
      <c r="AO456" s="15">
        <f>INDEX(芦花古楼!$BX$19:$BX$58,神器!AM456)</f>
        <v>2</v>
      </c>
      <c r="AP456" s="15" t="s">
        <v>88</v>
      </c>
      <c r="AQ456" s="15">
        <f t="shared" si="52"/>
        <v>935</v>
      </c>
      <c r="AR456" s="15" t="s">
        <v>654</v>
      </c>
      <c r="AS456" s="15">
        <f t="shared" si="53"/>
        <v>29</v>
      </c>
    </row>
    <row r="457" spans="35:45" ht="16.5" x14ac:dyDescent="0.2">
      <c r="AI457" s="60">
        <v>444</v>
      </c>
      <c r="AJ457" s="15">
        <f t="shared" si="48"/>
        <v>1606014</v>
      </c>
      <c r="AK457" s="15" t="str">
        <f t="shared" si="49"/>
        <v>中级神器2配件4-臂刃Lvs4</v>
      </c>
      <c r="AL457" s="60" t="s">
        <v>645</v>
      </c>
      <c r="AM457" s="15">
        <f t="shared" si="50"/>
        <v>4</v>
      </c>
      <c r="AN457" s="15" t="str">
        <f t="shared" si="51"/>
        <v>中级神器2配件4</v>
      </c>
      <c r="AO457" s="15">
        <f>INDEX(芦花古楼!$BX$19:$BX$58,神器!AM457)</f>
        <v>3</v>
      </c>
      <c r="AP457" s="15" t="s">
        <v>88</v>
      </c>
      <c r="AQ457" s="15">
        <f t="shared" si="52"/>
        <v>1170</v>
      </c>
      <c r="AR457" s="15" t="s">
        <v>654</v>
      </c>
      <c r="AS457" s="15">
        <f t="shared" si="53"/>
        <v>36</v>
      </c>
    </row>
    <row r="458" spans="35:45" ht="16.5" x14ac:dyDescent="0.2">
      <c r="AI458" s="60">
        <v>445</v>
      </c>
      <c r="AJ458" s="15">
        <f t="shared" si="48"/>
        <v>1606014</v>
      </c>
      <c r="AK458" s="15" t="str">
        <f t="shared" si="49"/>
        <v>中级神器2配件4-臂刃Lvs5</v>
      </c>
      <c r="AL458" s="60" t="s">
        <v>645</v>
      </c>
      <c r="AM458" s="15">
        <f t="shared" si="50"/>
        <v>5</v>
      </c>
      <c r="AN458" s="15" t="str">
        <f t="shared" si="51"/>
        <v>中级神器2配件4</v>
      </c>
      <c r="AO458" s="15">
        <f>INDEX(芦花古楼!$BX$19:$BX$58,神器!AM458)</f>
        <v>3</v>
      </c>
      <c r="AP458" s="15" t="s">
        <v>88</v>
      </c>
      <c r="AQ458" s="15">
        <f t="shared" si="52"/>
        <v>1405</v>
      </c>
      <c r="AR458" s="15" t="s">
        <v>654</v>
      </c>
      <c r="AS458" s="15">
        <f t="shared" si="53"/>
        <v>42</v>
      </c>
    </row>
    <row r="459" spans="35:45" ht="16.5" x14ac:dyDescent="0.2">
      <c r="AI459" s="60">
        <v>446</v>
      </c>
      <c r="AJ459" s="15">
        <f t="shared" si="48"/>
        <v>1606014</v>
      </c>
      <c r="AK459" s="15" t="str">
        <f t="shared" si="49"/>
        <v>中级神器2配件4-臂刃Lvs6</v>
      </c>
      <c r="AL459" s="60" t="s">
        <v>645</v>
      </c>
      <c r="AM459" s="15">
        <f t="shared" si="50"/>
        <v>6</v>
      </c>
      <c r="AN459" s="15" t="str">
        <f t="shared" si="51"/>
        <v>中级神器2配件4</v>
      </c>
      <c r="AO459" s="15">
        <f>INDEX(芦花古楼!$BX$19:$BX$58,神器!AM459)</f>
        <v>5</v>
      </c>
      <c r="AP459" s="15" t="s">
        <v>88</v>
      </c>
      <c r="AQ459" s="15">
        <f t="shared" si="52"/>
        <v>1640</v>
      </c>
      <c r="AR459" s="15" t="s">
        <v>654</v>
      </c>
      <c r="AS459" s="15">
        <f t="shared" si="53"/>
        <v>49</v>
      </c>
    </row>
    <row r="460" spans="35:45" ht="16.5" x14ac:dyDescent="0.2">
      <c r="AI460" s="60">
        <v>447</v>
      </c>
      <c r="AJ460" s="15">
        <f t="shared" si="48"/>
        <v>1606014</v>
      </c>
      <c r="AK460" s="15" t="str">
        <f t="shared" si="49"/>
        <v>中级神器2配件4-臂刃Lvs7</v>
      </c>
      <c r="AL460" s="60" t="s">
        <v>645</v>
      </c>
      <c r="AM460" s="15">
        <f t="shared" si="50"/>
        <v>7</v>
      </c>
      <c r="AN460" s="15" t="str">
        <f t="shared" si="51"/>
        <v>中级神器2配件4</v>
      </c>
      <c r="AO460" s="15">
        <f>INDEX(芦花古楼!$BX$19:$BX$58,神器!AM460)</f>
        <v>5</v>
      </c>
      <c r="AP460" s="15" t="s">
        <v>88</v>
      </c>
      <c r="AQ460" s="15">
        <f t="shared" si="52"/>
        <v>1870</v>
      </c>
      <c r="AR460" s="15" t="s">
        <v>654</v>
      </c>
      <c r="AS460" s="15">
        <f t="shared" si="53"/>
        <v>56</v>
      </c>
    </row>
    <row r="461" spans="35:45" ht="16.5" x14ac:dyDescent="0.2">
      <c r="AI461" s="60">
        <v>448</v>
      </c>
      <c r="AJ461" s="15">
        <f t="shared" si="48"/>
        <v>1606014</v>
      </c>
      <c r="AK461" s="15" t="str">
        <f t="shared" si="49"/>
        <v>中级神器2配件4-臂刃Lvs8</v>
      </c>
      <c r="AL461" s="60" t="s">
        <v>645</v>
      </c>
      <c r="AM461" s="15">
        <f t="shared" si="50"/>
        <v>8</v>
      </c>
      <c r="AN461" s="15" t="str">
        <f t="shared" si="51"/>
        <v>中级神器2配件4</v>
      </c>
      <c r="AO461" s="15">
        <f>INDEX(芦花古楼!$BX$19:$BX$58,神器!AM461)</f>
        <v>5</v>
      </c>
      <c r="AP461" s="15" t="s">
        <v>88</v>
      </c>
      <c r="AQ461" s="15">
        <f t="shared" si="52"/>
        <v>2105</v>
      </c>
      <c r="AR461" s="15" t="s">
        <v>654</v>
      </c>
      <c r="AS461" s="15">
        <f t="shared" si="53"/>
        <v>63</v>
      </c>
    </row>
    <row r="462" spans="35:45" ht="16.5" x14ac:dyDescent="0.2">
      <c r="AI462" s="60">
        <v>449</v>
      </c>
      <c r="AJ462" s="15">
        <f t="shared" si="48"/>
        <v>1606014</v>
      </c>
      <c r="AK462" s="15" t="str">
        <f t="shared" si="49"/>
        <v>中级神器2配件4-臂刃Lvs9</v>
      </c>
      <c r="AL462" s="60" t="s">
        <v>645</v>
      </c>
      <c r="AM462" s="15">
        <f t="shared" si="50"/>
        <v>9</v>
      </c>
      <c r="AN462" s="15" t="str">
        <f t="shared" si="51"/>
        <v>中级神器2配件4</v>
      </c>
      <c r="AO462" s="15">
        <f>INDEX(芦花古楼!$BX$19:$BX$58,神器!AM462)</f>
        <v>5</v>
      </c>
      <c r="AP462" s="15" t="s">
        <v>88</v>
      </c>
      <c r="AQ462" s="15">
        <f t="shared" si="52"/>
        <v>2340</v>
      </c>
      <c r="AR462" s="15" t="s">
        <v>654</v>
      </c>
      <c r="AS462" s="15">
        <f t="shared" si="53"/>
        <v>71</v>
      </c>
    </row>
    <row r="463" spans="35:45" ht="16.5" x14ac:dyDescent="0.2">
      <c r="AI463" s="60">
        <v>450</v>
      </c>
      <c r="AJ463" s="15">
        <f t="shared" ref="AJ463:AJ526" si="54">INDEX($AC$4:$AC$33,INT((AI463-1)/40)+1)</f>
        <v>1606014</v>
      </c>
      <c r="AK463" s="15" t="str">
        <f t="shared" ref="AK463:AK526" si="55">INDEX($AF$4:$AF$33,INT((AI463-1)/40)+1)&amp;AL463&amp;AM463</f>
        <v>中级神器2配件4-臂刃Lvs10</v>
      </c>
      <c r="AL463" s="60" t="s">
        <v>645</v>
      </c>
      <c r="AM463" s="15">
        <f t="shared" ref="AM463:AM526" si="56">MOD(AI463-1,40)+1</f>
        <v>10</v>
      </c>
      <c r="AN463" s="15" t="str">
        <f t="shared" ref="AN463:AN526" si="57">INDEX($AD$4:$AD$33,INT((AI463-1)/40)+1)</f>
        <v>中级神器2配件4</v>
      </c>
      <c r="AO463" s="15">
        <f>INDEX(芦花古楼!$BX$19:$BX$58,神器!AM463)</f>
        <v>7</v>
      </c>
      <c r="AP463" s="15" t="s">
        <v>88</v>
      </c>
      <c r="AQ463" s="15">
        <f t="shared" ref="AQ463:AQ526" si="58">INDEX($F$14:$L$53,AM463,INDEX($AB$4:$AB$33,INT((AI463-1)/40)+1))</f>
        <v>2810</v>
      </c>
      <c r="AR463" s="15" t="s">
        <v>654</v>
      </c>
      <c r="AS463" s="15">
        <f t="shared" ref="AS463:AS526" si="59">INDEX($P$14:$V$53,AM463,INDEX($AB$4:$AB$33,INT((AI463-1)/40)+1))</f>
        <v>79</v>
      </c>
    </row>
    <row r="464" spans="35:45" ht="16.5" x14ac:dyDescent="0.2">
      <c r="AI464" s="60">
        <v>451</v>
      </c>
      <c r="AJ464" s="15">
        <f t="shared" si="54"/>
        <v>1606014</v>
      </c>
      <c r="AK464" s="15" t="str">
        <f t="shared" si="55"/>
        <v>中级神器2配件4-臂刃Lvs11</v>
      </c>
      <c r="AL464" s="60" t="s">
        <v>645</v>
      </c>
      <c r="AM464" s="15">
        <f t="shared" si="56"/>
        <v>11</v>
      </c>
      <c r="AN464" s="15" t="str">
        <f t="shared" si="57"/>
        <v>中级神器2配件4</v>
      </c>
      <c r="AO464" s="15">
        <f>INDEX(芦花古楼!$BX$19:$BX$58,神器!AM464)</f>
        <v>7</v>
      </c>
      <c r="AP464" s="15" t="s">
        <v>88</v>
      </c>
      <c r="AQ464" s="15">
        <f t="shared" si="58"/>
        <v>3525</v>
      </c>
      <c r="AR464" s="15" t="s">
        <v>654</v>
      </c>
      <c r="AS464" s="15">
        <f t="shared" si="59"/>
        <v>88</v>
      </c>
    </row>
    <row r="465" spans="35:45" ht="16.5" x14ac:dyDescent="0.2">
      <c r="AI465" s="60">
        <v>452</v>
      </c>
      <c r="AJ465" s="15">
        <f t="shared" si="54"/>
        <v>1606014</v>
      </c>
      <c r="AK465" s="15" t="str">
        <f t="shared" si="55"/>
        <v>中级神器2配件4-臂刃Lvs12</v>
      </c>
      <c r="AL465" s="60" t="s">
        <v>645</v>
      </c>
      <c r="AM465" s="15">
        <f t="shared" si="56"/>
        <v>12</v>
      </c>
      <c r="AN465" s="15" t="str">
        <f t="shared" si="57"/>
        <v>中级神器2配件4</v>
      </c>
      <c r="AO465" s="15">
        <f>INDEX(芦花古楼!$BX$19:$BX$58,神器!AM465)</f>
        <v>7</v>
      </c>
      <c r="AP465" s="15" t="s">
        <v>88</v>
      </c>
      <c r="AQ465" s="15">
        <f t="shared" si="58"/>
        <v>4115</v>
      </c>
      <c r="AR465" s="15" t="s">
        <v>654</v>
      </c>
      <c r="AS465" s="15">
        <f t="shared" si="59"/>
        <v>97</v>
      </c>
    </row>
    <row r="466" spans="35:45" ht="16.5" x14ac:dyDescent="0.2">
      <c r="AI466" s="60">
        <v>453</v>
      </c>
      <c r="AJ466" s="15">
        <f t="shared" si="54"/>
        <v>1606014</v>
      </c>
      <c r="AK466" s="15" t="str">
        <f t="shared" si="55"/>
        <v>中级神器2配件4-臂刃Lvs13</v>
      </c>
      <c r="AL466" s="60" t="s">
        <v>645</v>
      </c>
      <c r="AM466" s="15">
        <f t="shared" si="56"/>
        <v>13</v>
      </c>
      <c r="AN466" s="15" t="str">
        <f t="shared" si="57"/>
        <v>中级神器2配件4</v>
      </c>
      <c r="AO466" s="15">
        <f>INDEX(芦花古楼!$BX$19:$BX$58,神器!AM466)</f>
        <v>7</v>
      </c>
      <c r="AP466" s="15" t="s">
        <v>88</v>
      </c>
      <c r="AQ466" s="15">
        <f t="shared" si="58"/>
        <v>4705</v>
      </c>
      <c r="AR466" s="15" t="s">
        <v>654</v>
      </c>
      <c r="AS466" s="15">
        <f t="shared" si="59"/>
        <v>106</v>
      </c>
    </row>
    <row r="467" spans="35:45" ht="16.5" x14ac:dyDescent="0.2">
      <c r="AI467" s="60">
        <v>454</v>
      </c>
      <c r="AJ467" s="15">
        <f t="shared" si="54"/>
        <v>1606014</v>
      </c>
      <c r="AK467" s="15" t="str">
        <f t="shared" si="55"/>
        <v>中级神器2配件4-臂刃Lvs14</v>
      </c>
      <c r="AL467" s="60" t="s">
        <v>645</v>
      </c>
      <c r="AM467" s="15">
        <f t="shared" si="56"/>
        <v>14</v>
      </c>
      <c r="AN467" s="15" t="str">
        <f t="shared" si="57"/>
        <v>中级神器2配件4</v>
      </c>
      <c r="AO467" s="15">
        <f>INDEX(芦花古楼!$BX$19:$BX$58,神器!AM467)</f>
        <v>7</v>
      </c>
      <c r="AP467" s="15" t="s">
        <v>88</v>
      </c>
      <c r="AQ467" s="15">
        <f t="shared" si="58"/>
        <v>5290</v>
      </c>
      <c r="AR467" s="15" t="s">
        <v>654</v>
      </c>
      <c r="AS467" s="15">
        <f t="shared" si="59"/>
        <v>116</v>
      </c>
    </row>
    <row r="468" spans="35:45" ht="16.5" x14ac:dyDescent="0.2">
      <c r="AI468" s="60">
        <v>455</v>
      </c>
      <c r="AJ468" s="15">
        <f t="shared" si="54"/>
        <v>1606014</v>
      </c>
      <c r="AK468" s="15" t="str">
        <f t="shared" si="55"/>
        <v>中级神器2配件4-臂刃Lvs15</v>
      </c>
      <c r="AL468" s="60" t="s">
        <v>645</v>
      </c>
      <c r="AM468" s="15">
        <f t="shared" si="56"/>
        <v>15</v>
      </c>
      <c r="AN468" s="15" t="str">
        <f t="shared" si="57"/>
        <v>中级神器2配件4</v>
      </c>
      <c r="AO468" s="15">
        <f>INDEX(芦花古楼!$BX$19:$BX$58,神器!AM468)</f>
        <v>10</v>
      </c>
      <c r="AP468" s="15" t="s">
        <v>88</v>
      </c>
      <c r="AQ468" s="15">
        <f t="shared" si="58"/>
        <v>5880</v>
      </c>
      <c r="AR468" s="15" t="s">
        <v>654</v>
      </c>
      <c r="AS468" s="15">
        <f t="shared" si="59"/>
        <v>127</v>
      </c>
    </row>
    <row r="469" spans="35:45" ht="16.5" x14ac:dyDescent="0.2">
      <c r="AI469" s="60">
        <v>456</v>
      </c>
      <c r="AJ469" s="15">
        <f t="shared" si="54"/>
        <v>1606014</v>
      </c>
      <c r="AK469" s="15" t="str">
        <f t="shared" si="55"/>
        <v>中级神器2配件4-臂刃Lvs16</v>
      </c>
      <c r="AL469" s="60" t="s">
        <v>645</v>
      </c>
      <c r="AM469" s="15">
        <f t="shared" si="56"/>
        <v>16</v>
      </c>
      <c r="AN469" s="15" t="str">
        <f t="shared" si="57"/>
        <v>中级神器2配件4</v>
      </c>
      <c r="AO469" s="15">
        <f>INDEX(芦花古楼!$BX$19:$BX$58,神器!AM469)</f>
        <v>10</v>
      </c>
      <c r="AP469" s="15" t="s">
        <v>88</v>
      </c>
      <c r="AQ469" s="15">
        <f t="shared" si="58"/>
        <v>6465</v>
      </c>
      <c r="AR469" s="15" t="s">
        <v>654</v>
      </c>
      <c r="AS469" s="15">
        <f t="shared" si="59"/>
        <v>138</v>
      </c>
    </row>
    <row r="470" spans="35:45" ht="16.5" x14ac:dyDescent="0.2">
      <c r="AI470" s="60">
        <v>457</v>
      </c>
      <c r="AJ470" s="15">
        <f t="shared" si="54"/>
        <v>1606014</v>
      </c>
      <c r="AK470" s="15" t="str">
        <f t="shared" si="55"/>
        <v>中级神器2配件4-臂刃Lvs17</v>
      </c>
      <c r="AL470" s="60" t="s">
        <v>645</v>
      </c>
      <c r="AM470" s="15">
        <f t="shared" si="56"/>
        <v>17</v>
      </c>
      <c r="AN470" s="15" t="str">
        <f t="shared" si="57"/>
        <v>中级神器2配件4</v>
      </c>
      <c r="AO470" s="15">
        <f>INDEX(芦花古楼!$BX$19:$BX$58,神器!AM470)</f>
        <v>10</v>
      </c>
      <c r="AP470" s="15" t="s">
        <v>88</v>
      </c>
      <c r="AQ470" s="15">
        <f t="shared" si="58"/>
        <v>7055</v>
      </c>
      <c r="AR470" s="15" t="s">
        <v>654</v>
      </c>
      <c r="AS470" s="15">
        <f t="shared" si="59"/>
        <v>149</v>
      </c>
    </row>
    <row r="471" spans="35:45" ht="16.5" x14ac:dyDescent="0.2">
      <c r="AI471" s="60">
        <v>458</v>
      </c>
      <c r="AJ471" s="15">
        <f t="shared" si="54"/>
        <v>1606014</v>
      </c>
      <c r="AK471" s="15" t="str">
        <f t="shared" si="55"/>
        <v>中级神器2配件4-臂刃Lvs18</v>
      </c>
      <c r="AL471" s="60" t="s">
        <v>645</v>
      </c>
      <c r="AM471" s="15">
        <f t="shared" si="56"/>
        <v>18</v>
      </c>
      <c r="AN471" s="15" t="str">
        <f t="shared" si="57"/>
        <v>中级神器2配件4</v>
      </c>
      <c r="AO471" s="15">
        <f>INDEX(芦花古楼!$BX$19:$BX$58,神器!AM471)</f>
        <v>10</v>
      </c>
      <c r="AP471" s="15" t="s">
        <v>88</v>
      </c>
      <c r="AQ471" s="15">
        <f t="shared" si="58"/>
        <v>7645</v>
      </c>
      <c r="AR471" s="15" t="s">
        <v>654</v>
      </c>
      <c r="AS471" s="15">
        <f t="shared" si="59"/>
        <v>162</v>
      </c>
    </row>
    <row r="472" spans="35:45" ht="16.5" x14ac:dyDescent="0.2">
      <c r="AI472" s="60">
        <v>459</v>
      </c>
      <c r="AJ472" s="15">
        <f t="shared" si="54"/>
        <v>1606014</v>
      </c>
      <c r="AK472" s="15" t="str">
        <f t="shared" si="55"/>
        <v>中级神器2配件4-臂刃Lvs19</v>
      </c>
      <c r="AL472" s="60" t="s">
        <v>645</v>
      </c>
      <c r="AM472" s="15">
        <f t="shared" si="56"/>
        <v>19</v>
      </c>
      <c r="AN472" s="15" t="str">
        <f t="shared" si="57"/>
        <v>中级神器2配件4</v>
      </c>
      <c r="AO472" s="15">
        <f>INDEX(芦花古楼!$BX$19:$BX$58,神器!AM472)</f>
        <v>10</v>
      </c>
      <c r="AP472" s="15" t="s">
        <v>88</v>
      </c>
      <c r="AQ472" s="15">
        <f t="shared" si="58"/>
        <v>8230</v>
      </c>
      <c r="AR472" s="15" t="s">
        <v>654</v>
      </c>
      <c r="AS472" s="15">
        <f t="shared" si="59"/>
        <v>174</v>
      </c>
    </row>
    <row r="473" spans="35:45" ht="16.5" x14ac:dyDescent="0.2">
      <c r="AI473" s="60">
        <v>460</v>
      </c>
      <c r="AJ473" s="15">
        <f t="shared" si="54"/>
        <v>1606014</v>
      </c>
      <c r="AK473" s="15" t="str">
        <f t="shared" si="55"/>
        <v>中级神器2配件4-臂刃Lvs20</v>
      </c>
      <c r="AL473" s="60" t="s">
        <v>645</v>
      </c>
      <c r="AM473" s="15">
        <f t="shared" si="56"/>
        <v>20</v>
      </c>
      <c r="AN473" s="15" t="str">
        <f t="shared" si="57"/>
        <v>中级神器2配件4</v>
      </c>
      <c r="AO473" s="15">
        <f>INDEX(芦花古楼!$BX$19:$BX$58,神器!AM473)</f>
        <v>10</v>
      </c>
      <c r="AP473" s="15" t="s">
        <v>88</v>
      </c>
      <c r="AQ473" s="15">
        <f t="shared" si="58"/>
        <v>9410</v>
      </c>
      <c r="AR473" s="15" t="s">
        <v>654</v>
      </c>
      <c r="AS473" s="15">
        <f t="shared" si="59"/>
        <v>188</v>
      </c>
    </row>
    <row r="474" spans="35:45" ht="16.5" x14ac:dyDescent="0.2">
      <c r="AI474" s="60">
        <v>461</v>
      </c>
      <c r="AJ474" s="15">
        <f t="shared" si="54"/>
        <v>1606014</v>
      </c>
      <c r="AK474" s="15" t="str">
        <f t="shared" si="55"/>
        <v>中级神器2配件4-臂刃Lvs21</v>
      </c>
      <c r="AL474" s="60" t="s">
        <v>645</v>
      </c>
      <c r="AM474" s="15">
        <f t="shared" si="56"/>
        <v>21</v>
      </c>
      <c r="AN474" s="15" t="str">
        <f t="shared" si="57"/>
        <v>中级神器2配件4</v>
      </c>
      <c r="AO474" s="15">
        <f>INDEX(芦花古楼!$BX$19:$BX$58,神器!AM474)</f>
        <v>15</v>
      </c>
      <c r="AP474" s="15" t="s">
        <v>88</v>
      </c>
      <c r="AQ474" s="15">
        <f t="shared" si="58"/>
        <v>10390</v>
      </c>
      <c r="AR474" s="15" t="s">
        <v>654</v>
      </c>
      <c r="AS474" s="15">
        <f t="shared" si="59"/>
        <v>202</v>
      </c>
    </row>
    <row r="475" spans="35:45" ht="16.5" x14ac:dyDescent="0.2">
      <c r="AI475" s="60">
        <v>462</v>
      </c>
      <c r="AJ475" s="15">
        <f t="shared" si="54"/>
        <v>1606014</v>
      </c>
      <c r="AK475" s="15" t="str">
        <f t="shared" si="55"/>
        <v>中级神器2配件4-臂刃Lvs22</v>
      </c>
      <c r="AL475" s="60" t="s">
        <v>645</v>
      </c>
      <c r="AM475" s="15">
        <f t="shared" si="56"/>
        <v>22</v>
      </c>
      <c r="AN475" s="15" t="str">
        <f t="shared" si="57"/>
        <v>中级神器2配件4</v>
      </c>
      <c r="AO475" s="15">
        <f>INDEX(芦花古楼!$BX$19:$BX$58,神器!AM475)</f>
        <v>15</v>
      </c>
      <c r="AP475" s="15" t="s">
        <v>88</v>
      </c>
      <c r="AQ475" s="15">
        <f t="shared" si="58"/>
        <v>10910</v>
      </c>
      <c r="AR475" s="15" t="s">
        <v>654</v>
      </c>
      <c r="AS475" s="15">
        <f t="shared" si="59"/>
        <v>216</v>
      </c>
    </row>
    <row r="476" spans="35:45" ht="16.5" x14ac:dyDescent="0.2">
      <c r="AI476" s="60">
        <v>463</v>
      </c>
      <c r="AJ476" s="15">
        <f t="shared" si="54"/>
        <v>1606014</v>
      </c>
      <c r="AK476" s="15" t="str">
        <f t="shared" si="55"/>
        <v>中级神器2配件4-臂刃Lvs23</v>
      </c>
      <c r="AL476" s="60" t="s">
        <v>645</v>
      </c>
      <c r="AM476" s="15">
        <f t="shared" si="56"/>
        <v>23</v>
      </c>
      <c r="AN476" s="15" t="str">
        <f t="shared" si="57"/>
        <v>中级神器2配件4</v>
      </c>
      <c r="AO476" s="15">
        <f>INDEX(芦花古楼!$BX$19:$BX$58,神器!AM476)</f>
        <v>15</v>
      </c>
      <c r="AP476" s="15" t="s">
        <v>88</v>
      </c>
      <c r="AQ476" s="15">
        <f t="shared" si="58"/>
        <v>11425</v>
      </c>
      <c r="AR476" s="15" t="s">
        <v>654</v>
      </c>
      <c r="AS476" s="15">
        <f t="shared" si="59"/>
        <v>232</v>
      </c>
    </row>
    <row r="477" spans="35:45" ht="16.5" x14ac:dyDescent="0.2">
      <c r="AI477" s="60">
        <v>464</v>
      </c>
      <c r="AJ477" s="15">
        <f t="shared" si="54"/>
        <v>1606014</v>
      </c>
      <c r="AK477" s="15" t="str">
        <f t="shared" si="55"/>
        <v>中级神器2配件4-臂刃Lvs24</v>
      </c>
      <c r="AL477" s="60" t="s">
        <v>645</v>
      </c>
      <c r="AM477" s="15">
        <f t="shared" si="56"/>
        <v>24</v>
      </c>
      <c r="AN477" s="15" t="str">
        <f t="shared" si="57"/>
        <v>中级神器2配件4</v>
      </c>
      <c r="AO477" s="15">
        <f>INDEX(芦花古楼!$BX$19:$BX$58,神器!AM477)</f>
        <v>15</v>
      </c>
      <c r="AP477" s="15" t="s">
        <v>88</v>
      </c>
      <c r="AQ477" s="15">
        <f t="shared" si="58"/>
        <v>11945</v>
      </c>
      <c r="AR477" s="15" t="s">
        <v>654</v>
      </c>
      <c r="AS477" s="15">
        <f t="shared" si="59"/>
        <v>248</v>
      </c>
    </row>
    <row r="478" spans="35:45" ht="16.5" x14ac:dyDescent="0.2">
      <c r="AI478" s="60">
        <v>465</v>
      </c>
      <c r="AJ478" s="15">
        <f t="shared" si="54"/>
        <v>1606014</v>
      </c>
      <c r="AK478" s="15" t="str">
        <f t="shared" si="55"/>
        <v>中级神器2配件4-臂刃Lvs25</v>
      </c>
      <c r="AL478" s="60" t="s">
        <v>645</v>
      </c>
      <c r="AM478" s="15">
        <f t="shared" si="56"/>
        <v>25</v>
      </c>
      <c r="AN478" s="15" t="str">
        <f t="shared" si="57"/>
        <v>中级神器2配件4</v>
      </c>
      <c r="AO478" s="15">
        <f>INDEX(芦花古楼!$BX$19:$BX$58,神器!AM478)</f>
        <v>15</v>
      </c>
      <c r="AP478" s="15" t="s">
        <v>88</v>
      </c>
      <c r="AQ478" s="15">
        <f t="shared" si="58"/>
        <v>12465</v>
      </c>
      <c r="AR478" s="15" t="s">
        <v>654</v>
      </c>
      <c r="AS478" s="15">
        <f t="shared" si="59"/>
        <v>265</v>
      </c>
    </row>
    <row r="479" spans="35:45" ht="16.5" x14ac:dyDescent="0.2">
      <c r="AI479" s="60">
        <v>466</v>
      </c>
      <c r="AJ479" s="15">
        <f t="shared" si="54"/>
        <v>1606014</v>
      </c>
      <c r="AK479" s="15" t="str">
        <f t="shared" si="55"/>
        <v>中级神器2配件4-臂刃Lvs26</v>
      </c>
      <c r="AL479" s="60" t="s">
        <v>645</v>
      </c>
      <c r="AM479" s="15">
        <f t="shared" si="56"/>
        <v>26</v>
      </c>
      <c r="AN479" s="15" t="str">
        <f t="shared" si="57"/>
        <v>中级神器2配件4</v>
      </c>
      <c r="AO479" s="15">
        <f>INDEX(芦花古楼!$BX$19:$BX$58,神器!AM479)</f>
        <v>25</v>
      </c>
      <c r="AP479" s="15" t="s">
        <v>88</v>
      </c>
      <c r="AQ479" s="15">
        <f t="shared" si="58"/>
        <v>12985</v>
      </c>
      <c r="AR479" s="15" t="s">
        <v>654</v>
      </c>
      <c r="AS479" s="15">
        <f t="shared" si="59"/>
        <v>283</v>
      </c>
    </row>
    <row r="480" spans="35:45" ht="16.5" x14ac:dyDescent="0.2">
      <c r="AI480" s="60">
        <v>467</v>
      </c>
      <c r="AJ480" s="15">
        <f t="shared" si="54"/>
        <v>1606014</v>
      </c>
      <c r="AK480" s="15" t="str">
        <f t="shared" si="55"/>
        <v>中级神器2配件4-臂刃Lvs27</v>
      </c>
      <c r="AL480" s="60" t="s">
        <v>645</v>
      </c>
      <c r="AM480" s="15">
        <f t="shared" si="56"/>
        <v>27</v>
      </c>
      <c r="AN480" s="15" t="str">
        <f t="shared" si="57"/>
        <v>中级神器2配件4</v>
      </c>
      <c r="AO480" s="15">
        <f>INDEX(芦花古楼!$BX$19:$BX$58,神器!AM480)</f>
        <v>25</v>
      </c>
      <c r="AP480" s="15" t="s">
        <v>88</v>
      </c>
      <c r="AQ480" s="15">
        <f t="shared" si="58"/>
        <v>13505</v>
      </c>
      <c r="AR480" s="15" t="s">
        <v>654</v>
      </c>
      <c r="AS480" s="15">
        <f t="shared" si="59"/>
        <v>302</v>
      </c>
    </row>
    <row r="481" spans="35:45" ht="16.5" x14ac:dyDescent="0.2">
      <c r="AI481" s="60">
        <v>468</v>
      </c>
      <c r="AJ481" s="15">
        <f t="shared" si="54"/>
        <v>1606014</v>
      </c>
      <c r="AK481" s="15" t="str">
        <f t="shared" si="55"/>
        <v>中级神器2配件4-臂刃Lvs28</v>
      </c>
      <c r="AL481" s="60" t="s">
        <v>645</v>
      </c>
      <c r="AM481" s="15">
        <f t="shared" si="56"/>
        <v>28</v>
      </c>
      <c r="AN481" s="15" t="str">
        <f t="shared" si="57"/>
        <v>中级神器2配件4</v>
      </c>
      <c r="AO481" s="15">
        <f>INDEX(芦花古楼!$BX$19:$BX$58,神器!AM481)</f>
        <v>25</v>
      </c>
      <c r="AP481" s="15" t="s">
        <v>88</v>
      </c>
      <c r="AQ481" s="15">
        <f t="shared" si="58"/>
        <v>14025</v>
      </c>
      <c r="AR481" s="15" t="s">
        <v>654</v>
      </c>
      <c r="AS481" s="15">
        <f t="shared" si="59"/>
        <v>322</v>
      </c>
    </row>
    <row r="482" spans="35:45" ht="16.5" x14ac:dyDescent="0.2">
      <c r="AI482" s="60">
        <v>469</v>
      </c>
      <c r="AJ482" s="15">
        <f t="shared" si="54"/>
        <v>1606014</v>
      </c>
      <c r="AK482" s="15" t="str">
        <f t="shared" si="55"/>
        <v>中级神器2配件4-臂刃Lvs29</v>
      </c>
      <c r="AL482" s="60" t="s">
        <v>645</v>
      </c>
      <c r="AM482" s="15">
        <f t="shared" si="56"/>
        <v>29</v>
      </c>
      <c r="AN482" s="15" t="str">
        <f t="shared" si="57"/>
        <v>中级神器2配件4</v>
      </c>
      <c r="AO482" s="15">
        <f>INDEX(芦花古楼!$BX$19:$BX$58,神器!AM482)</f>
        <v>25</v>
      </c>
      <c r="AP482" s="15" t="s">
        <v>88</v>
      </c>
      <c r="AQ482" s="15">
        <f t="shared" si="58"/>
        <v>14545</v>
      </c>
      <c r="AR482" s="15" t="s">
        <v>654</v>
      </c>
      <c r="AS482" s="15">
        <f t="shared" si="59"/>
        <v>342</v>
      </c>
    </row>
    <row r="483" spans="35:45" ht="16.5" x14ac:dyDescent="0.2">
      <c r="AI483" s="60">
        <v>470</v>
      </c>
      <c r="AJ483" s="15">
        <f t="shared" si="54"/>
        <v>1606014</v>
      </c>
      <c r="AK483" s="15" t="str">
        <f t="shared" si="55"/>
        <v>中级神器2配件4-臂刃Lvs30</v>
      </c>
      <c r="AL483" s="60" t="s">
        <v>645</v>
      </c>
      <c r="AM483" s="15">
        <f t="shared" si="56"/>
        <v>30</v>
      </c>
      <c r="AN483" s="15" t="str">
        <f t="shared" si="57"/>
        <v>中级神器2配件4</v>
      </c>
      <c r="AO483" s="15">
        <f>INDEX(芦花古楼!$BX$19:$BX$58,神器!AM483)</f>
        <v>25</v>
      </c>
      <c r="AP483" s="15" t="s">
        <v>88</v>
      </c>
      <c r="AQ483" s="15">
        <f t="shared" si="58"/>
        <v>15585</v>
      </c>
      <c r="AR483" s="15" t="s">
        <v>654</v>
      </c>
      <c r="AS483" s="15">
        <f t="shared" si="59"/>
        <v>364</v>
      </c>
    </row>
    <row r="484" spans="35:45" ht="16.5" x14ac:dyDescent="0.2">
      <c r="AI484" s="60">
        <v>471</v>
      </c>
      <c r="AJ484" s="15">
        <f t="shared" si="54"/>
        <v>1606014</v>
      </c>
      <c r="AK484" s="15" t="str">
        <f t="shared" si="55"/>
        <v>中级神器2配件4-臂刃Lvs31</v>
      </c>
      <c r="AL484" s="60" t="s">
        <v>645</v>
      </c>
      <c r="AM484" s="15">
        <f t="shared" si="56"/>
        <v>31</v>
      </c>
      <c r="AN484" s="15" t="str">
        <f t="shared" si="57"/>
        <v>中级神器2配件4</v>
      </c>
      <c r="AO484" s="15">
        <f>INDEX(芦花古楼!$BX$19:$BX$58,神器!AM484)</f>
        <v>30</v>
      </c>
      <c r="AP484" s="15" t="s">
        <v>88</v>
      </c>
      <c r="AQ484" s="15">
        <f t="shared" si="58"/>
        <v>15190</v>
      </c>
      <c r="AR484" s="15" t="s">
        <v>654</v>
      </c>
      <c r="AS484" s="15">
        <f t="shared" si="59"/>
        <v>387</v>
      </c>
    </row>
    <row r="485" spans="35:45" ht="16.5" x14ac:dyDescent="0.2">
      <c r="AI485" s="60">
        <v>472</v>
      </c>
      <c r="AJ485" s="15">
        <f t="shared" si="54"/>
        <v>1606014</v>
      </c>
      <c r="AK485" s="15" t="str">
        <f t="shared" si="55"/>
        <v>中级神器2配件4-臂刃Lvs32</v>
      </c>
      <c r="AL485" s="60" t="s">
        <v>645</v>
      </c>
      <c r="AM485" s="15">
        <f t="shared" si="56"/>
        <v>32</v>
      </c>
      <c r="AN485" s="15" t="str">
        <f t="shared" si="57"/>
        <v>中级神器2配件4</v>
      </c>
      <c r="AO485" s="15">
        <f>INDEX(芦花古楼!$BX$19:$BX$58,神器!AM485)</f>
        <v>30</v>
      </c>
      <c r="AP485" s="15" t="s">
        <v>88</v>
      </c>
      <c r="AQ485" s="15">
        <f t="shared" si="58"/>
        <v>22785</v>
      </c>
      <c r="AR485" s="15" t="s">
        <v>654</v>
      </c>
      <c r="AS485" s="15">
        <f t="shared" si="59"/>
        <v>411</v>
      </c>
    </row>
    <row r="486" spans="35:45" ht="16.5" x14ac:dyDescent="0.2">
      <c r="AI486" s="60">
        <v>473</v>
      </c>
      <c r="AJ486" s="15">
        <f t="shared" si="54"/>
        <v>1606014</v>
      </c>
      <c r="AK486" s="15" t="str">
        <f t="shared" si="55"/>
        <v>中级神器2配件4-臂刃Lvs33</v>
      </c>
      <c r="AL486" s="60" t="s">
        <v>645</v>
      </c>
      <c r="AM486" s="15">
        <f t="shared" si="56"/>
        <v>33</v>
      </c>
      <c r="AN486" s="15" t="str">
        <f t="shared" si="57"/>
        <v>中级神器2配件4</v>
      </c>
      <c r="AO486" s="15">
        <f>INDEX(芦花古楼!$BX$19:$BX$58,神器!AM486)</f>
        <v>30</v>
      </c>
      <c r="AP486" s="15" t="s">
        <v>88</v>
      </c>
      <c r="AQ486" s="15">
        <f t="shared" si="58"/>
        <v>30380</v>
      </c>
      <c r="AR486" s="15" t="s">
        <v>654</v>
      </c>
      <c r="AS486" s="15">
        <f t="shared" si="59"/>
        <v>436</v>
      </c>
    </row>
    <row r="487" spans="35:45" ht="16.5" x14ac:dyDescent="0.2">
      <c r="AI487" s="60">
        <v>474</v>
      </c>
      <c r="AJ487" s="15">
        <f t="shared" si="54"/>
        <v>1606014</v>
      </c>
      <c r="AK487" s="15" t="str">
        <f t="shared" si="55"/>
        <v>中级神器2配件4-臂刃Lvs34</v>
      </c>
      <c r="AL487" s="60" t="s">
        <v>645</v>
      </c>
      <c r="AM487" s="15">
        <f t="shared" si="56"/>
        <v>34</v>
      </c>
      <c r="AN487" s="15" t="str">
        <f t="shared" si="57"/>
        <v>中级神器2配件4</v>
      </c>
      <c r="AO487" s="15">
        <f>INDEX(芦花古楼!$BX$19:$BX$58,神器!AM487)</f>
        <v>30</v>
      </c>
      <c r="AP487" s="15" t="s">
        <v>88</v>
      </c>
      <c r="AQ487" s="15">
        <f t="shared" si="58"/>
        <v>37975</v>
      </c>
      <c r="AR487" s="15" t="s">
        <v>654</v>
      </c>
      <c r="AS487" s="15">
        <f t="shared" si="59"/>
        <v>463</v>
      </c>
    </row>
    <row r="488" spans="35:45" ht="16.5" x14ac:dyDescent="0.2">
      <c r="AI488" s="60">
        <v>475</v>
      </c>
      <c r="AJ488" s="15">
        <f t="shared" si="54"/>
        <v>1606014</v>
      </c>
      <c r="AK488" s="15" t="str">
        <f t="shared" si="55"/>
        <v>中级神器2配件4-臂刃Lvs35</v>
      </c>
      <c r="AL488" s="60" t="s">
        <v>645</v>
      </c>
      <c r="AM488" s="15">
        <f t="shared" si="56"/>
        <v>35</v>
      </c>
      <c r="AN488" s="15" t="str">
        <f t="shared" si="57"/>
        <v>中级神器2配件4</v>
      </c>
      <c r="AO488" s="15">
        <f>INDEX(芦花古楼!$BX$19:$BX$58,神器!AM488)</f>
        <v>30</v>
      </c>
      <c r="AP488" s="15" t="s">
        <v>88</v>
      </c>
      <c r="AQ488" s="15">
        <f t="shared" si="58"/>
        <v>45570</v>
      </c>
      <c r="AR488" s="15" t="s">
        <v>654</v>
      </c>
      <c r="AS488" s="15">
        <f t="shared" si="59"/>
        <v>491</v>
      </c>
    </row>
    <row r="489" spans="35:45" ht="16.5" x14ac:dyDescent="0.2">
      <c r="AI489" s="60">
        <v>476</v>
      </c>
      <c r="AJ489" s="15">
        <f t="shared" si="54"/>
        <v>1606014</v>
      </c>
      <c r="AK489" s="15" t="str">
        <f t="shared" si="55"/>
        <v>中级神器2配件4-臂刃Lvs36</v>
      </c>
      <c r="AL489" s="60" t="s">
        <v>645</v>
      </c>
      <c r="AM489" s="15">
        <f t="shared" si="56"/>
        <v>36</v>
      </c>
      <c r="AN489" s="15" t="str">
        <f t="shared" si="57"/>
        <v>中级神器2配件4</v>
      </c>
      <c r="AO489" s="15">
        <f>INDEX(芦花古楼!$BX$19:$BX$58,神器!AM489)</f>
        <v>40</v>
      </c>
      <c r="AP489" s="15" t="s">
        <v>88</v>
      </c>
      <c r="AQ489" s="15">
        <f t="shared" si="58"/>
        <v>53165</v>
      </c>
      <c r="AR489" s="15" t="s">
        <v>654</v>
      </c>
      <c r="AS489" s="15">
        <f t="shared" si="59"/>
        <v>520</v>
      </c>
    </row>
    <row r="490" spans="35:45" ht="16.5" x14ac:dyDescent="0.2">
      <c r="AI490" s="60">
        <v>477</v>
      </c>
      <c r="AJ490" s="15">
        <f t="shared" si="54"/>
        <v>1606014</v>
      </c>
      <c r="AK490" s="15" t="str">
        <f t="shared" si="55"/>
        <v>中级神器2配件4-臂刃Lvs37</v>
      </c>
      <c r="AL490" s="60" t="s">
        <v>645</v>
      </c>
      <c r="AM490" s="15">
        <f t="shared" si="56"/>
        <v>37</v>
      </c>
      <c r="AN490" s="15" t="str">
        <f t="shared" si="57"/>
        <v>中级神器2配件4</v>
      </c>
      <c r="AO490" s="15">
        <f>INDEX(芦花古楼!$BX$19:$BX$58,神器!AM490)</f>
        <v>40</v>
      </c>
      <c r="AP490" s="15" t="s">
        <v>88</v>
      </c>
      <c r="AQ490" s="15">
        <f t="shared" si="58"/>
        <v>60760</v>
      </c>
      <c r="AR490" s="15" t="s">
        <v>654</v>
      </c>
      <c r="AS490" s="15">
        <f t="shared" si="59"/>
        <v>550</v>
      </c>
    </row>
    <row r="491" spans="35:45" ht="16.5" x14ac:dyDescent="0.2">
      <c r="AI491" s="60">
        <v>478</v>
      </c>
      <c r="AJ491" s="15">
        <f t="shared" si="54"/>
        <v>1606014</v>
      </c>
      <c r="AK491" s="15" t="str">
        <f t="shared" si="55"/>
        <v>中级神器2配件4-臂刃Lvs38</v>
      </c>
      <c r="AL491" s="60" t="s">
        <v>645</v>
      </c>
      <c r="AM491" s="15">
        <f t="shared" si="56"/>
        <v>38</v>
      </c>
      <c r="AN491" s="15" t="str">
        <f t="shared" si="57"/>
        <v>中级神器2配件4</v>
      </c>
      <c r="AO491" s="15">
        <f>INDEX(芦花古楼!$BX$19:$BX$58,神器!AM491)</f>
        <v>40</v>
      </c>
      <c r="AP491" s="15" t="s">
        <v>88</v>
      </c>
      <c r="AQ491" s="15">
        <f t="shared" si="58"/>
        <v>68355</v>
      </c>
      <c r="AR491" s="15" t="s">
        <v>654</v>
      </c>
      <c r="AS491" s="15">
        <f t="shared" si="59"/>
        <v>583</v>
      </c>
    </row>
    <row r="492" spans="35:45" ht="16.5" x14ac:dyDescent="0.2">
      <c r="AI492" s="60">
        <v>479</v>
      </c>
      <c r="AJ492" s="15">
        <f t="shared" si="54"/>
        <v>1606014</v>
      </c>
      <c r="AK492" s="15" t="str">
        <f t="shared" si="55"/>
        <v>中级神器2配件4-臂刃Lvs39</v>
      </c>
      <c r="AL492" s="60" t="s">
        <v>645</v>
      </c>
      <c r="AM492" s="15">
        <f t="shared" si="56"/>
        <v>39</v>
      </c>
      <c r="AN492" s="15" t="str">
        <f t="shared" si="57"/>
        <v>中级神器2配件4</v>
      </c>
      <c r="AO492" s="15">
        <f>INDEX(芦花古楼!$BX$19:$BX$58,神器!AM492)</f>
        <v>40</v>
      </c>
      <c r="AP492" s="15" t="s">
        <v>88</v>
      </c>
      <c r="AQ492" s="15">
        <f t="shared" si="58"/>
        <v>75950</v>
      </c>
      <c r="AR492" s="15" t="s">
        <v>654</v>
      </c>
      <c r="AS492" s="15">
        <f t="shared" si="59"/>
        <v>616</v>
      </c>
    </row>
    <row r="493" spans="35:45" ht="16.5" x14ac:dyDescent="0.2">
      <c r="AI493" s="60">
        <v>480</v>
      </c>
      <c r="AJ493" s="15">
        <f t="shared" si="54"/>
        <v>1606014</v>
      </c>
      <c r="AK493" s="15" t="str">
        <f t="shared" si="55"/>
        <v>中级神器2配件4-臂刃Lvs40</v>
      </c>
      <c r="AL493" s="60" t="s">
        <v>645</v>
      </c>
      <c r="AM493" s="15">
        <f t="shared" si="56"/>
        <v>40</v>
      </c>
      <c r="AN493" s="15" t="str">
        <f t="shared" si="57"/>
        <v>中级神器2配件4</v>
      </c>
      <c r="AO493" s="15">
        <f>INDEX(芦花古楼!$BX$19:$BX$58,神器!AM493)</f>
        <v>40</v>
      </c>
      <c r="AP493" s="15" t="s">
        <v>88</v>
      </c>
      <c r="AQ493" s="15">
        <f t="shared" si="58"/>
        <v>91145</v>
      </c>
      <c r="AR493" s="15" t="s">
        <v>654</v>
      </c>
      <c r="AS493" s="15">
        <f t="shared" si="59"/>
        <v>652</v>
      </c>
    </row>
    <row r="494" spans="35:45" ht="16.5" x14ac:dyDescent="0.2">
      <c r="AI494" s="60">
        <v>481</v>
      </c>
      <c r="AJ494" s="15">
        <f t="shared" si="54"/>
        <v>1606015</v>
      </c>
      <c r="AK494" s="15" t="str">
        <f t="shared" si="55"/>
        <v>高级神器1配件1-鬼王咒Lvs1</v>
      </c>
      <c r="AL494" s="60" t="s">
        <v>645</v>
      </c>
      <c r="AM494" s="15">
        <f t="shared" si="56"/>
        <v>1</v>
      </c>
      <c r="AN494" s="15" t="str">
        <f t="shared" si="57"/>
        <v>高级神器1配件1</v>
      </c>
      <c r="AO494" s="15">
        <f>INDEX(芦花古楼!$BX$19:$BX$58,神器!AM494)</f>
        <v>1</v>
      </c>
      <c r="AP494" s="15" t="s">
        <v>88</v>
      </c>
      <c r="AQ494" s="15">
        <f t="shared" si="58"/>
        <v>130</v>
      </c>
      <c r="AR494" s="15" t="s">
        <v>654</v>
      </c>
      <c r="AS494" s="15">
        <f t="shared" si="59"/>
        <v>5</v>
      </c>
    </row>
    <row r="495" spans="35:45" ht="16.5" x14ac:dyDescent="0.2">
      <c r="AI495" s="60">
        <v>482</v>
      </c>
      <c r="AJ495" s="15">
        <f t="shared" si="54"/>
        <v>1606015</v>
      </c>
      <c r="AK495" s="15" t="str">
        <f t="shared" si="55"/>
        <v>高级神器1配件1-鬼王咒Lvs2</v>
      </c>
      <c r="AL495" s="60" t="s">
        <v>645</v>
      </c>
      <c r="AM495" s="15">
        <f t="shared" si="56"/>
        <v>2</v>
      </c>
      <c r="AN495" s="15" t="str">
        <f t="shared" si="57"/>
        <v>高级神器1配件1</v>
      </c>
      <c r="AO495" s="15">
        <f>INDEX(芦花古楼!$BX$19:$BX$58,神器!AM495)</f>
        <v>1</v>
      </c>
      <c r="AP495" s="15" t="s">
        <v>88</v>
      </c>
      <c r="AQ495" s="15">
        <f t="shared" si="58"/>
        <v>200</v>
      </c>
      <c r="AR495" s="15" t="s">
        <v>654</v>
      </c>
      <c r="AS495" s="15">
        <f t="shared" si="59"/>
        <v>6</v>
      </c>
    </row>
    <row r="496" spans="35:45" ht="16.5" x14ac:dyDescent="0.2">
      <c r="AI496" s="60">
        <v>483</v>
      </c>
      <c r="AJ496" s="15">
        <f t="shared" si="54"/>
        <v>1606015</v>
      </c>
      <c r="AK496" s="15" t="str">
        <f t="shared" si="55"/>
        <v>高级神器1配件1-鬼王咒Lvs3</v>
      </c>
      <c r="AL496" s="60" t="s">
        <v>645</v>
      </c>
      <c r="AM496" s="15">
        <f t="shared" si="56"/>
        <v>3</v>
      </c>
      <c r="AN496" s="15" t="str">
        <f t="shared" si="57"/>
        <v>高级神器1配件1</v>
      </c>
      <c r="AO496" s="15">
        <f>INDEX(芦花古楼!$BX$19:$BX$58,神器!AM496)</f>
        <v>2</v>
      </c>
      <c r="AP496" s="15" t="s">
        <v>88</v>
      </c>
      <c r="AQ496" s="15">
        <f t="shared" si="58"/>
        <v>265</v>
      </c>
      <c r="AR496" s="15" t="s">
        <v>654</v>
      </c>
      <c r="AS496" s="15">
        <f t="shared" si="59"/>
        <v>8</v>
      </c>
    </row>
    <row r="497" spans="35:45" ht="16.5" x14ac:dyDescent="0.2">
      <c r="AI497" s="60">
        <v>484</v>
      </c>
      <c r="AJ497" s="15">
        <f t="shared" si="54"/>
        <v>1606015</v>
      </c>
      <c r="AK497" s="15" t="str">
        <f t="shared" si="55"/>
        <v>高级神器1配件1-鬼王咒Lvs4</v>
      </c>
      <c r="AL497" s="60" t="s">
        <v>645</v>
      </c>
      <c r="AM497" s="15">
        <f t="shared" si="56"/>
        <v>4</v>
      </c>
      <c r="AN497" s="15" t="str">
        <f t="shared" si="57"/>
        <v>高级神器1配件1</v>
      </c>
      <c r="AO497" s="15">
        <f>INDEX(芦花古楼!$BX$19:$BX$58,神器!AM497)</f>
        <v>3</v>
      </c>
      <c r="AP497" s="15" t="s">
        <v>88</v>
      </c>
      <c r="AQ497" s="15">
        <f t="shared" si="58"/>
        <v>330</v>
      </c>
      <c r="AR497" s="15" t="s">
        <v>654</v>
      </c>
      <c r="AS497" s="15">
        <f t="shared" si="59"/>
        <v>10</v>
      </c>
    </row>
    <row r="498" spans="35:45" ht="16.5" x14ac:dyDescent="0.2">
      <c r="AI498" s="60">
        <v>485</v>
      </c>
      <c r="AJ498" s="15">
        <f t="shared" si="54"/>
        <v>1606015</v>
      </c>
      <c r="AK498" s="15" t="str">
        <f t="shared" si="55"/>
        <v>高级神器1配件1-鬼王咒Lvs5</v>
      </c>
      <c r="AL498" s="60" t="s">
        <v>645</v>
      </c>
      <c r="AM498" s="15">
        <f t="shared" si="56"/>
        <v>5</v>
      </c>
      <c r="AN498" s="15" t="str">
        <f t="shared" si="57"/>
        <v>高级神器1配件1</v>
      </c>
      <c r="AO498" s="15">
        <f>INDEX(芦花古楼!$BX$19:$BX$58,神器!AM498)</f>
        <v>3</v>
      </c>
      <c r="AP498" s="15" t="s">
        <v>88</v>
      </c>
      <c r="AQ498" s="15">
        <f t="shared" si="58"/>
        <v>400</v>
      </c>
      <c r="AR498" s="15" t="s">
        <v>654</v>
      </c>
      <c r="AS498" s="15">
        <f t="shared" si="59"/>
        <v>12</v>
      </c>
    </row>
    <row r="499" spans="35:45" ht="16.5" x14ac:dyDescent="0.2">
      <c r="AI499" s="60">
        <v>486</v>
      </c>
      <c r="AJ499" s="15">
        <f t="shared" si="54"/>
        <v>1606015</v>
      </c>
      <c r="AK499" s="15" t="str">
        <f t="shared" si="55"/>
        <v>高级神器1配件1-鬼王咒Lvs6</v>
      </c>
      <c r="AL499" s="60" t="s">
        <v>645</v>
      </c>
      <c r="AM499" s="15">
        <f t="shared" si="56"/>
        <v>6</v>
      </c>
      <c r="AN499" s="15" t="str">
        <f t="shared" si="57"/>
        <v>高级神器1配件1</v>
      </c>
      <c r="AO499" s="15">
        <f>INDEX(芦花古楼!$BX$19:$BX$58,神器!AM499)</f>
        <v>5</v>
      </c>
      <c r="AP499" s="15" t="s">
        <v>88</v>
      </c>
      <c r="AQ499" s="15">
        <f t="shared" si="58"/>
        <v>465</v>
      </c>
      <c r="AR499" s="15" t="s">
        <v>654</v>
      </c>
      <c r="AS499" s="15">
        <f t="shared" si="59"/>
        <v>14</v>
      </c>
    </row>
    <row r="500" spans="35:45" ht="16.5" x14ac:dyDescent="0.2">
      <c r="AI500" s="60">
        <v>487</v>
      </c>
      <c r="AJ500" s="15">
        <f t="shared" si="54"/>
        <v>1606015</v>
      </c>
      <c r="AK500" s="15" t="str">
        <f t="shared" si="55"/>
        <v>高级神器1配件1-鬼王咒Lvs7</v>
      </c>
      <c r="AL500" s="60" t="s">
        <v>645</v>
      </c>
      <c r="AM500" s="15">
        <f t="shared" si="56"/>
        <v>7</v>
      </c>
      <c r="AN500" s="15" t="str">
        <f t="shared" si="57"/>
        <v>高级神器1配件1</v>
      </c>
      <c r="AO500" s="15">
        <f>INDEX(芦花古楼!$BX$19:$BX$58,神器!AM500)</f>
        <v>5</v>
      </c>
      <c r="AP500" s="15" t="s">
        <v>88</v>
      </c>
      <c r="AQ500" s="15">
        <f t="shared" si="58"/>
        <v>535</v>
      </c>
      <c r="AR500" s="15" t="s">
        <v>654</v>
      </c>
      <c r="AS500" s="15">
        <f t="shared" si="59"/>
        <v>16</v>
      </c>
    </row>
    <row r="501" spans="35:45" ht="16.5" x14ac:dyDescent="0.2">
      <c r="AI501" s="60">
        <v>488</v>
      </c>
      <c r="AJ501" s="15">
        <f t="shared" si="54"/>
        <v>1606015</v>
      </c>
      <c r="AK501" s="15" t="str">
        <f t="shared" si="55"/>
        <v>高级神器1配件1-鬼王咒Lvs8</v>
      </c>
      <c r="AL501" s="60" t="s">
        <v>645</v>
      </c>
      <c r="AM501" s="15">
        <f t="shared" si="56"/>
        <v>8</v>
      </c>
      <c r="AN501" s="15" t="str">
        <f t="shared" si="57"/>
        <v>高级神器1配件1</v>
      </c>
      <c r="AO501" s="15">
        <f>INDEX(芦花古楼!$BX$19:$BX$58,神器!AM501)</f>
        <v>5</v>
      </c>
      <c r="AP501" s="15" t="s">
        <v>88</v>
      </c>
      <c r="AQ501" s="15">
        <f t="shared" si="58"/>
        <v>600</v>
      </c>
      <c r="AR501" s="15" t="s">
        <v>654</v>
      </c>
      <c r="AS501" s="15">
        <f t="shared" si="59"/>
        <v>18</v>
      </c>
    </row>
    <row r="502" spans="35:45" ht="16.5" x14ac:dyDescent="0.2">
      <c r="AI502" s="60">
        <v>489</v>
      </c>
      <c r="AJ502" s="15">
        <f t="shared" si="54"/>
        <v>1606015</v>
      </c>
      <c r="AK502" s="15" t="str">
        <f t="shared" si="55"/>
        <v>高级神器1配件1-鬼王咒Lvs9</v>
      </c>
      <c r="AL502" s="60" t="s">
        <v>645</v>
      </c>
      <c r="AM502" s="15">
        <f t="shared" si="56"/>
        <v>9</v>
      </c>
      <c r="AN502" s="15" t="str">
        <f t="shared" si="57"/>
        <v>高级神器1配件1</v>
      </c>
      <c r="AO502" s="15">
        <f>INDEX(芦花古楼!$BX$19:$BX$58,神器!AM502)</f>
        <v>5</v>
      </c>
      <c r="AP502" s="15" t="s">
        <v>88</v>
      </c>
      <c r="AQ502" s="15">
        <f t="shared" si="58"/>
        <v>665</v>
      </c>
      <c r="AR502" s="15" t="s">
        <v>654</v>
      </c>
      <c r="AS502" s="15">
        <f t="shared" si="59"/>
        <v>20</v>
      </c>
    </row>
    <row r="503" spans="35:45" ht="16.5" x14ac:dyDescent="0.2">
      <c r="AI503" s="60">
        <v>490</v>
      </c>
      <c r="AJ503" s="15">
        <f t="shared" si="54"/>
        <v>1606015</v>
      </c>
      <c r="AK503" s="15" t="str">
        <f t="shared" si="55"/>
        <v>高级神器1配件1-鬼王咒Lvs10</v>
      </c>
      <c r="AL503" s="60" t="s">
        <v>645</v>
      </c>
      <c r="AM503" s="15">
        <f t="shared" si="56"/>
        <v>10</v>
      </c>
      <c r="AN503" s="15" t="str">
        <f t="shared" si="57"/>
        <v>高级神器1配件1</v>
      </c>
      <c r="AO503" s="15">
        <f>INDEX(芦花古楼!$BX$19:$BX$58,神器!AM503)</f>
        <v>7</v>
      </c>
      <c r="AP503" s="15" t="s">
        <v>88</v>
      </c>
      <c r="AQ503" s="15">
        <f t="shared" si="58"/>
        <v>800</v>
      </c>
      <c r="AR503" s="15" t="s">
        <v>654</v>
      </c>
      <c r="AS503" s="15">
        <f t="shared" si="59"/>
        <v>22</v>
      </c>
    </row>
    <row r="504" spans="35:45" ht="16.5" x14ac:dyDescent="0.2">
      <c r="AI504" s="60">
        <v>491</v>
      </c>
      <c r="AJ504" s="15">
        <f t="shared" si="54"/>
        <v>1606015</v>
      </c>
      <c r="AK504" s="15" t="str">
        <f t="shared" si="55"/>
        <v>高级神器1配件1-鬼王咒Lvs11</v>
      </c>
      <c r="AL504" s="60" t="s">
        <v>645</v>
      </c>
      <c r="AM504" s="15">
        <f t="shared" si="56"/>
        <v>11</v>
      </c>
      <c r="AN504" s="15" t="str">
        <f t="shared" si="57"/>
        <v>高级神器1配件1</v>
      </c>
      <c r="AO504" s="15">
        <f>INDEX(芦花古楼!$BX$19:$BX$58,神器!AM504)</f>
        <v>7</v>
      </c>
      <c r="AP504" s="15" t="s">
        <v>88</v>
      </c>
      <c r="AQ504" s="15">
        <f t="shared" si="58"/>
        <v>1005</v>
      </c>
      <c r="AR504" s="15" t="s">
        <v>654</v>
      </c>
      <c r="AS504" s="15">
        <f t="shared" si="59"/>
        <v>25</v>
      </c>
    </row>
    <row r="505" spans="35:45" ht="16.5" x14ac:dyDescent="0.2">
      <c r="AI505" s="60">
        <v>492</v>
      </c>
      <c r="AJ505" s="15">
        <f t="shared" si="54"/>
        <v>1606015</v>
      </c>
      <c r="AK505" s="15" t="str">
        <f t="shared" si="55"/>
        <v>高级神器1配件1-鬼王咒Lvs12</v>
      </c>
      <c r="AL505" s="60" t="s">
        <v>645</v>
      </c>
      <c r="AM505" s="15">
        <f t="shared" si="56"/>
        <v>12</v>
      </c>
      <c r="AN505" s="15" t="str">
        <f t="shared" si="57"/>
        <v>高级神器1配件1</v>
      </c>
      <c r="AO505" s="15">
        <f>INDEX(芦花古楼!$BX$19:$BX$58,神器!AM505)</f>
        <v>7</v>
      </c>
      <c r="AP505" s="15" t="s">
        <v>88</v>
      </c>
      <c r="AQ505" s="15">
        <f t="shared" si="58"/>
        <v>1175</v>
      </c>
      <c r="AR505" s="15" t="s">
        <v>654</v>
      </c>
      <c r="AS505" s="15">
        <f t="shared" si="59"/>
        <v>27</v>
      </c>
    </row>
    <row r="506" spans="35:45" ht="16.5" x14ac:dyDescent="0.2">
      <c r="AI506" s="60">
        <v>493</v>
      </c>
      <c r="AJ506" s="15">
        <f t="shared" si="54"/>
        <v>1606015</v>
      </c>
      <c r="AK506" s="15" t="str">
        <f t="shared" si="55"/>
        <v>高级神器1配件1-鬼王咒Lvs13</v>
      </c>
      <c r="AL506" s="60" t="s">
        <v>645</v>
      </c>
      <c r="AM506" s="15">
        <f t="shared" si="56"/>
        <v>13</v>
      </c>
      <c r="AN506" s="15" t="str">
        <f t="shared" si="57"/>
        <v>高级神器1配件1</v>
      </c>
      <c r="AO506" s="15">
        <f>INDEX(芦花古楼!$BX$19:$BX$58,神器!AM506)</f>
        <v>7</v>
      </c>
      <c r="AP506" s="15" t="s">
        <v>88</v>
      </c>
      <c r="AQ506" s="15">
        <f t="shared" si="58"/>
        <v>1340</v>
      </c>
      <c r="AR506" s="15" t="s">
        <v>654</v>
      </c>
      <c r="AS506" s="15">
        <f t="shared" si="59"/>
        <v>30</v>
      </c>
    </row>
    <row r="507" spans="35:45" ht="16.5" x14ac:dyDescent="0.2">
      <c r="AI507" s="60">
        <v>494</v>
      </c>
      <c r="AJ507" s="15">
        <f t="shared" si="54"/>
        <v>1606015</v>
      </c>
      <c r="AK507" s="15" t="str">
        <f t="shared" si="55"/>
        <v>高级神器1配件1-鬼王咒Lvs14</v>
      </c>
      <c r="AL507" s="60" t="s">
        <v>645</v>
      </c>
      <c r="AM507" s="15">
        <f t="shared" si="56"/>
        <v>14</v>
      </c>
      <c r="AN507" s="15" t="str">
        <f t="shared" si="57"/>
        <v>高级神器1配件1</v>
      </c>
      <c r="AO507" s="15">
        <f>INDEX(芦花古楼!$BX$19:$BX$58,神器!AM507)</f>
        <v>7</v>
      </c>
      <c r="AP507" s="15" t="s">
        <v>88</v>
      </c>
      <c r="AQ507" s="15">
        <f t="shared" si="58"/>
        <v>1510</v>
      </c>
      <c r="AR507" s="15" t="s">
        <v>654</v>
      </c>
      <c r="AS507" s="15">
        <f t="shared" si="59"/>
        <v>33</v>
      </c>
    </row>
    <row r="508" spans="35:45" ht="16.5" x14ac:dyDescent="0.2">
      <c r="AI508" s="60">
        <v>495</v>
      </c>
      <c r="AJ508" s="15">
        <f t="shared" si="54"/>
        <v>1606015</v>
      </c>
      <c r="AK508" s="15" t="str">
        <f t="shared" si="55"/>
        <v>高级神器1配件1-鬼王咒Lvs15</v>
      </c>
      <c r="AL508" s="60" t="s">
        <v>645</v>
      </c>
      <c r="AM508" s="15">
        <f t="shared" si="56"/>
        <v>15</v>
      </c>
      <c r="AN508" s="15" t="str">
        <f t="shared" si="57"/>
        <v>高级神器1配件1</v>
      </c>
      <c r="AO508" s="15">
        <f>INDEX(芦花古楼!$BX$19:$BX$58,神器!AM508)</f>
        <v>10</v>
      </c>
      <c r="AP508" s="15" t="s">
        <v>88</v>
      </c>
      <c r="AQ508" s="15">
        <f t="shared" si="58"/>
        <v>1680</v>
      </c>
      <c r="AR508" s="15" t="s">
        <v>654</v>
      </c>
      <c r="AS508" s="15">
        <f t="shared" si="59"/>
        <v>36</v>
      </c>
    </row>
    <row r="509" spans="35:45" ht="16.5" x14ac:dyDescent="0.2">
      <c r="AI509" s="60">
        <v>496</v>
      </c>
      <c r="AJ509" s="15">
        <f t="shared" si="54"/>
        <v>1606015</v>
      </c>
      <c r="AK509" s="15" t="str">
        <f t="shared" si="55"/>
        <v>高级神器1配件1-鬼王咒Lvs16</v>
      </c>
      <c r="AL509" s="60" t="s">
        <v>645</v>
      </c>
      <c r="AM509" s="15">
        <f t="shared" si="56"/>
        <v>16</v>
      </c>
      <c r="AN509" s="15" t="str">
        <f t="shared" si="57"/>
        <v>高级神器1配件1</v>
      </c>
      <c r="AO509" s="15">
        <f>INDEX(芦花古楼!$BX$19:$BX$58,神器!AM509)</f>
        <v>10</v>
      </c>
      <c r="AP509" s="15" t="s">
        <v>88</v>
      </c>
      <c r="AQ509" s="15">
        <f t="shared" si="58"/>
        <v>1845</v>
      </c>
      <c r="AR509" s="15" t="s">
        <v>654</v>
      </c>
      <c r="AS509" s="15">
        <f t="shared" si="59"/>
        <v>39</v>
      </c>
    </row>
    <row r="510" spans="35:45" ht="16.5" x14ac:dyDescent="0.2">
      <c r="AI510" s="60">
        <v>497</v>
      </c>
      <c r="AJ510" s="15">
        <f t="shared" si="54"/>
        <v>1606015</v>
      </c>
      <c r="AK510" s="15" t="str">
        <f t="shared" si="55"/>
        <v>高级神器1配件1-鬼王咒Lvs17</v>
      </c>
      <c r="AL510" s="60" t="s">
        <v>645</v>
      </c>
      <c r="AM510" s="15">
        <f t="shared" si="56"/>
        <v>17</v>
      </c>
      <c r="AN510" s="15" t="str">
        <f t="shared" si="57"/>
        <v>高级神器1配件1</v>
      </c>
      <c r="AO510" s="15">
        <f>INDEX(芦花古楼!$BX$19:$BX$58,神器!AM510)</f>
        <v>10</v>
      </c>
      <c r="AP510" s="15" t="s">
        <v>88</v>
      </c>
      <c r="AQ510" s="15">
        <f t="shared" si="58"/>
        <v>2015</v>
      </c>
      <c r="AR510" s="15" t="s">
        <v>654</v>
      </c>
      <c r="AS510" s="15">
        <f t="shared" si="59"/>
        <v>42</v>
      </c>
    </row>
    <row r="511" spans="35:45" ht="16.5" x14ac:dyDescent="0.2">
      <c r="AI511" s="60">
        <v>498</v>
      </c>
      <c r="AJ511" s="15">
        <f t="shared" si="54"/>
        <v>1606015</v>
      </c>
      <c r="AK511" s="15" t="str">
        <f t="shared" si="55"/>
        <v>高级神器1配件1-鬼王咒Lvs18</v>
      </c>
      <c r="AL511" s="60" t="s">
        <v>645</v>
      </c>
      <c r="AM511" s="15">
        <f t="shared" si="56"/>
        <v>18</v>
      </c>
      <c r="AN511" s="15" t="str">
        <f t="shared" si="57"/>
        <v>高级神器1配件1</v>
      </c>
      <c r="AO511" s="15">
        <f>INDEX(芦花古楼!$BX$19:$BX$58,神器!AM511)</f>
        <v>10</v>
      </c>
      <c r="AP511" s="15" t="s">
        <v>88</v>
      </c>
      <c r="AQ511" s="15">
        <f t="shared" si="58"/>
        <v>2180</v>
      </c>
      <c r="AR511" s="15" t="s">
        <v>654</v>
      </c>
      <c r="AS511" s="15">
        <f t="shared" si="59"/>
        <v>46</v>
      </c>
    </row>
    <row r="512" spans="35:45" ht="16.5" x14ac:dyDescent="0.2">
      <c r="AI512" s="60">
        <v>499</v>
      </c>
      <c r="AJ512" s="15">
        <f t="shared" si="54"/>
        <v>1606015</v>
      </c>
      <c r="AK512" s="15" t="str">
        <f t="shared" si="55"/>
        <v>高级神器1配件1-鬼王咒Lvs19</v>
      </c>
      <c r="AL512" s="60" t="s">
        <v>645</v>
      </c>
      <c r="AM512" s="15">
        <f t="shared" si="56"/>
        <v>19</v>
      </c>
      <c r="AN512" s="15" t="str">
        <f t="shared" si="57"/>
        <v>高级神器1配件1</v>
      </c>
      <c r="AO512" s="15">
        <f>INDEX(芦花古楼!$BX$19:$BX$58,神器!AM512)</f>
        <v>10</v>
      </c>
      <c r="AP512" s="15" t="s">
        <v>88</v>
      </c>
      <c r="AQ512" s="15">
        <f t="shared" si="58"/>
        <v>2350</v>
      </c>
      <c r="AR512" s="15" t="s">
        <v>654</v>
      </c>
      <c r="AS512" s="15">
        <f t="shared" si="59"/>
        <v>49</v>
      </c>
    </row>
    <row r="513" spans="35:45" ht="16.5" x14ac:dyDescent="0.2">
      <c r="AI513" s="60">
        <v>500</v>
      </c>
      <c r="AJ513" s="15">
        <f t="shared" si="54"/>
        <v>1606015</v>
      </c>
      <c r="AK513" s="15" t="str">
        <f t="shared" si="55"/>
        <v>高级神器1配件1-鬼王咒Lvs20</v>
      </c>
      <c r="AL513" s="60" t="s">
        <v>645</v>
      </c>
      <c r="AM513" s="15">
        <f t="shared" si="56"/>
        <v>20</v>
      </c>
      <c r="AN513" s="15" t="str">
        <f t="shared" si="57"/>
        <v>高级神器1配件1</v>
      </c>
      <c r="AO513" s="15">
        <f>INDEX(芦花古楼!$BX$19:$BX$58,神器!AM513)</f>
        <v>10</v>
      </c>
      <c r="AP513" s="15" t="s">
        <v>88</v>
      </c>
      <c r="AQ513" s="15">
        <f t="shared" si="58"/>
        <v>2685</v>
      </c>
      <c r="AR513" s="15" t="s">
        <v>654</v>
      </c>
      <c r="AS513" s="15">
        <f t="shared" si="59"/>
        <v>53</v>
      </c>
    </row>
    <row r="514" spans="35:45" ht="16.5" x14ac:dyDescent="0.2">
      <c r="AI514" s="60">
        <v>501</v>
      </c>
      <c r="AJ514" s="15">
        <f t="shared" si="54"/>
        <v>1606015</v>
      </c>
      <c r="AK514" s="15" t="str">
        <f t="shared" si="55"/>
        <v>高级神器1配件1-鬼王咒Lvs21</v>
      </c>
      <c r="AL514" s="60" t="s">
        <v>645</v>
      </c>
      <c r="AM514" s="15">
        <f t="shared" si="56"/>
        <v>21</v>
      </c>
      <c r="AN514" s="15" t="str">
        <f t="shared" si="57"/>
        <v>高级神器1配件1</v>
      </c>
      <c r="AO514" s="15">
        <f>INDEX(芦花古楼!$BX$19:$BX$58,神器!AM514)</f>
        <v>15</v>
      </c>
      <c r="AP514" s="15" t="s">
        <v>88</v>
      </c>
      <c r="AQ514" s="15">
        <f t="shared" si="58"/>
        <v>2965</v>
      </c>
      <c r="AR514" s="15" t="s">
        <v>654</v>
      </c>
      <c r="AS514" s="15">
        <f t="shared" si="59"/>
        <v>57</v>
      </c>
    </row>
    <row r="515" spans="35:45" ht="16.5" x14ac:dyDescent="0.2">
      <c r="AI515" s="60">
        <v>502</v>
      </c>
      <c r="AJ515" s="15">
        <f t="shared" si="54"/>
        <v>1606015</v>
      </c>
      <c r="AK515" s="15" t="str">
        <f t="shared" si="55"/>
        <v>高级神器1配件1-鬼王咒Lvs22</v>
      </c>
      <c r="AL515" s="60" t="s">
        <v>645</v>
      </c>
      <c r="AM515" s="15">
        <f t="shared" si="56"/>
        <v>22</v>
      </c>
      <c r="AN515" s="15" t="str">
        <f t="shared" si="57"/>
        <v>高级神器1配件1</v>
      </c>
      <c r="AO515" s="15">
        <f>INDEX(芦花古楼!$BX$19:$BX$58,神器!AM515)</f>
        <v>15</v>
      </c>
      <c r="AP515" s="15" t="s">
        <v>88</v>
      </c>
      <c r="AQ515" s="15">
        <f t="shared" si="58"/>
        <v>3115</v>
      </c>
      <c r="AR515" s="15" t="s">
        <v>654</v>
      </c>
      <c r="AS515" s="15">
        <f t="shared" si="59"/>
        <v>61</v>
      </c>
    </row>
    <row r="516" spans="35:45" ht="16.5" x14ac:dyDescent="0.2">
      <c r="AI516" s="60">
        <v>503</v>
      </c>
      <c r="AJ516" s="15">
        <f t="shared" si="54"/>
        <v>1606015</v>
      </c>
      <c r="AK516" s="15" t="str">
        <f t="shared" si="55"/>
        <v>高级神器1配件1-鬼王咒Lvs23</v>
      </c>
      <c r="AL516" s="60" t="s">
        <v>645</v>
      </c>
      <c r="AM516" s="15">
        <f t="shared" si="56"/>
        <v>23</v>
      </c>
      <c r="AN516" s="15" t="str">
        <f t="shared" si="57"/>
        <v>高级神器1配件1</v>
      </c>
      <c r="AO516" s="15">
        <f>INDEX(芦花古楼!$BX$19:$BX$58,神器!AM516)</f>
        <v>15</v>
      </c>
      <c r="AP516" s="15" t="s">
        <v>88</v>
      </c>
      <c r="AQ516" s="15">
        <f t="shared" si="58"/>
        <v>3265</v>
      </c>
      <c r="AR516" s="15" t="s">
        <v>654</v>
      </c>
      <c r="AS516" s="15">
        <f t="shared" si="59"/>
        <v>66</v>
      </c>
    </row>
    <row r="517" spans="35:45" ht="16.5" x14ac:dyDescent="0.2">
      <c r="AI517" s="60">
        <v>504</v>
      </c>
      <c r="AJ517" s="15">
        <f t="shared" si="54"/>
        <v>1606015</v>
      </c>
      <c r="AK517" s="15" t="str">
        <f t="shared" si="55"/>
        <v>高级神器1配件1-鬼王咒Lvs24</v>
      </c>
      <c r="AL517" s="60" t="s">
        <v>645</v>
      </c>
      <c r="AM517" s="15">
        <f t="shared" si="56"/>
        <v>24</v>
      </c>
      <c r="AN517" s="15" t="str">
        <f t="shared" si="57"/>
        <v>高级神器1配件1</v>
      </c>
      <c r="AO517" s="15">
        <f>INDEX(芦花古楼!$BX$19:$BX$58,神器!AM517)</f>
        <v>15</v>
      </c>
      <c r="AP517" s="15" t="s">
        <v>88</v>
      </c>
      <c r="AQ517" s="15">
        <f t="shared" si="58"/>
        <v>3410</v>
      </c>
      <c r="AR517" s="15" t="s">
        <v>654</v>
      </c>
      <c r="AS517" s="15">
        <f t="shared" si="59"/>
        <v>71</v>
      </c>
    </row>
    <row r="518" spans="35:45" ht="16.5" x14ac:dyDescent="0.2">
      <c r="AI518" s="60">
        <v>505</v>
      </c>
      <c r="AJ518" s="15">
        <f t="shared" si="54"/>
        <v>1606015</v>
      </c>
      <c r="AK518" s="15" t="str">
        <f t="shared" si="55"/>
        <v>高级神器1配件1-鬼王咒Lvs25</v>
      </c>
      <c r="AL518" s="60" t="s">
        <v>645</v>
      </c>
      <c r="AM518" s="15">
        <f t="shared" si="56"/>
        <v>25</v>
      </c>
      <c r="AN518" s="15" t="str">
        <f t="shared" si="57"/>
        <v>高级神器1配件1</v>
      </c>
      <c r="AO518" s="15">
        <f>INDEX(芦花古楼!$BX$19:$BX$58,神器!AM518)</f>
        <v>15</v>
      </c>
      <c r="AP518" s="15" t="s">
        <v>88</v>
      </c>
      <c r="AQ518" s="15">
        <f t="shared" si="58"/>
        <v>3560</v>
      </c>
      <c r="AR518" s="15" t="s">
        <v>654</v>
      </c>
      <c r="AS518" s="15">
        <f t="shared" si="59"/>
        <v>75</v>
      </c>
    </row>
    <row r="519" spans="35:45" ht="16.5" x14ac:dyDescent="0.2">
      <c r="AI519" s="60">
        <v>506</v>
      </c>
      <c r="AJ519" s="15">
        <f t="shared" si="54"/>
        <v>1606015</v>
      </c>
      <c r="AK519" s="15" t="str">
        <f t="shared" si="55"/>
        <v>高级神器1配件1-鬼王咒Lvs26</v>
      </c>
      <c r="AL519" s="60" t="s">
        <v>645</v>
      </c>
      <c r="AM519" s="15">
        <f t="shared" si="56"/>
        <v>26</v>
      </c>
      <c r="AN519" s="15" t="str">
        <f t="shared" si="57"/>
        <v>高级神器1配件1</v>
      </c>
      <c r="AO519" s="15">
        <f>INDEX(芦花古楼!$BX$19:$BX$58,神器!AM519)</f>
        <v>25</v>
      </c>
      <c r="AP519" s="15" t="s">
        <v>88</v>
      </c>
      <c r="AQ519" s="15">
        <f t="shared" si="58"/>
        <v>3710</v>
      </c>
      <c r="AR519" s="15" t="s">
        <v>654</v>
      </c>
      <c r="AS519" s="15">
        <f t="shared" si="59"/>
        <v>81</v>
      </c>
    </row>
    <row r="520" spans="35:45" ht="16.5" x14ac:dyDescent="0.2">
      <c r="AI520" s="60">
        <v>507</v>
      </c>
      <c r="AJ520" s="15">
        <f t="shared" si="54"/>
        <v>1606015</v>
      </c>
      <c r="AK520" s="15" t="str">
        <f t="shared" si="55"/>
        <v>高级神器1配件1-鬼王咒Lvs27</v>
      </c>
      <c r="AL520" s="60" t="s">
        <v>645</v>
      </c>
      <c r="AM520" s="15">
        <f t="shared" si="56"/>
        <v>27</v>
      </c>
      <c r="AN520" s="15" t="str">
        <f t="shared" si="57"/>
        <v>高级神器1配件1</v>
      </c>
      <c r="AO520" s="15">
        <f>INDEX(芦花古楼!$BX$19:$BX$58,神器!AM520)</f>
        <v>25</v>
      </c>
      <c r="AP520" s="15" t="s">
        <v>88</v>
      </c>
      <c r="AQ520" s="15">
        <f t="shared" si="58"/>
        <v>3855</v>
      </c>
      <c r="AR520" s="15" t="s">
        <v>654</v>
      </c>
      <c r="AS520" s="15">
        <f t="shared" si="59"/>
        <v>86</v>
      </c>
    </row>
    <row r="521" spans="35:45" ht="16.5" x14ac:dyDescent="0.2">
      <c r="AI521" s="60">
        <v>508</v>
      </c>
      <c r="AJ521" s="15">
        <f t="shared" si="54"/>
        <v>1606015</v>
      </c>
      <c r="AK521" s="15" t="str">
        <f t="shared" si="55"/>
        <v>高级神器1配件1-鬼王咒Lvs28</v>
      </c>
      <c r="AL521" s="60" t="s">
        <v>645</v>
      </c>
      <c r="AM521" s="15">
        <f t="shared" si="56"/>
        <v>28</v>
      </c>
      <c r="AN521" s="15" t="str">
        <f t="shared" si="57"/>
        <v>高级神器1配件1</v>
      </c>
      <c r="AO521" s="15">
        <f>INDEX(芦花古楼!$BX$19:$BX$58,神器!AM521)</f>
        <v>25</v>
      </c>
      <c r="AP521" s="15" t="s">
        <v>88</v>
      </c>
      <c r="AQ521" s="15">
        <f t="shared" si="58"/>
        <v>4005</v>
      </c>
      <c r="AR521" s="15" t="s">
        <v>654</v>
      </c>
      <c r="AS521" s="15">
        <f t="shared" si="59"/>
        <v>92</v>
      </c>
    </row>
    <row r="522" spans="35:45" ht="16.5" x14ac:dyDescent="0.2">
      <c r="AI522" s="60">
        <v>509</v>
      </c>
      <c r="AJ522" s="15">
        <f t="shared" si="54"/>
        <v>1606015</v>
      </c>
      <c r="AK522" s="15" t="str">
        <f t="shared" si="55"/>
        <v>高级神器1配件1-鬼王咒Lvs29</v>
      </c>
      <c r="AL522" s="60" t="s">
        <v>645</v>
      </c>
      <c r="AM522" s="15">
        <f t="shared" si="56"/>
        <v>29</v>
      </c>
      <c r="AN522" s="15" t="str">
        <f t="shared" si="57"/>
        <v>高级神器1配件1</v>
      </c>
      <c r="AO522" s="15">
        <f>INDEX(芦花古楼!$BX$19:$BX$58,神器!AM522)</f>
        <v>25</v>
      </c>
      <c r="AP522" s="15" t="s">
        <v>88</v>
      </c>
      <c r="AQ522" s="15">
        <f t="shared" si="58"/>
        <v>4155</v>
      </c>
      <c r="AR522" s="15" t="s">
        <v>654</v>
      </c>
      <c r="AS522" s="15">
        <f t="shared" si="59"/>
        <v>97</v>
      </c>
    </row>
    <row r="523" spans="35:45" ht="16.5" x14ac:dyDescent="0.2">
      <c r="AI523" s="60">
        <v>510</v>
      </c>
      <c r="AJ523" s="15">
        <f t="shared" si="54"/>
        <v>1606015</v>
      </c>
      <c r="AK523" s="15" t="str">
        <f t="shared" si="55"/>
        <v>高级神器1配件1-鬼王咒Lvs30</v>
      </c>
      <c r="AL523" s="60" t="s">
        <v>645</v>
      </c>
      <c r="AM523" s="15">
        <f t="shared" si="56"/>
        <v>30</v>
      </c>
      <c r="AN523" s="15" t="str">
        <f t="shared" si="57"/>
        <v>高级神器1配件1</v>
      </c>
      <c r="AO523" s="15">
        <f>INDEX(芦花古楼!$BX$19:$BX$58,神器!AM523)</f>
        <v>25</v>
      </c>
      <c r="AP523" s="15" t="s">
        <v>88</v>
      </c>
      <c r="AQ523" s="15">
        <f t="shared" si="58"/>
        <v>4450</v>
      </c>
      <c r="AR523" s="15" t="s">
        <v>654</v>
      </c>
      <c r="AS523" s="15">
        <f t="shared" si="59"/>
        <v>104</v>
      </c>
    </row>
    <row r="524" spans="35:45" ht="16.5" x14ac:dyDescent="0.2">
      <c r="AI524" s="60">
        <v>511</v>
      </c>
      <c r="AJ524" s="15">
        <f t="shared" si="54"/>
        <v>1606015</v>
      </c>
      <c r="AK524" s="15" t="str">
        <f t="shared" si="55"/>
        <v>高级神器1配件1-鬼王咒Lvs31</v>
      </c>
      <c r="AL524" s="60" t="s">
        <v>645</v>
      </c>
      <c r="AM524" s="15">
        <f t="shared" si="56"/>
        <v>31</v>
      </c>
      <c r="AN524" s="15" t="str">
        <f t="shared" si="57"/>
        <v>高级神器1配件1</v>
      </c>
      <c r="AO524" s="15">
        <f>INDEX(芦花古楼!$BX$19:$BX$58,神器!AM524)</f>
        <v>30</v>
      </c>
      <c r="AP524" s="15" t="s">
        <v>88</v>
      </c>
      <c r="AQ524" s="15">
        <f t="shared" si="58"/>
        <v>4340</v>
      </c>
      <c r="AR524" s="15" t="s">
        <v>654</v>
      </c>
      <c r="AS524" s="15">
        <f t="shared" si="59"/>
        <v>110</v>
      </c>
    </row>
    <row r="525" spans="35:45" ht="16.5" x14ac:dyDescent="0.2">
      <c r="AI525" s="60">
        <v>512</v>
      </c>
      <c r="AJ525" s="15">
        <f t="shared" si="54"/>
        <v>1606015</v>
      </c>
      <c r="AK525" s="15" t="str">
        <f t="shared" si="55"/>
        <v>高级神器1配件1-鬼王咒Lvs32</v>
      </c>
      <c r="AL525" s="60" t="s">
        <v>645</v>
      </c>
      <c r="AM525" s="15">
        <f t="shared" si="56"/>
        <v>32</v>
      </c>
      <c r="AN525" s="15" t="str">
        <f t="shared" si="57"/>
        <v>高级神器1配件1</v>
      </c>
      <c r="AO525" s="15">
        <f>INDEX(芦花古楼!$BX$19:$BX$58,神器!AM525)</f>
        <v>30</v>
      </c>
      <c r="AP525" s="15" t="s">
        <v>88</v>
      </c>
      <c r="AQ525" s="15">
        <f t="shared" si="58"/>
        <v>6510</v>
      </c>
      <c r="AR525" s="15" t="s">
        <v>654</v>
      </c>
      <c r="AS525" s="15">
        <f t="shared" si="59"/>
        <v>117</v>
      </c>
    </row>
    <row r="526" spans="35:45" ht="16.5" x14ac:dyDescent="0.2">
      <c r="AI526" s="60">
        <v>513</v>
      </c>
      <c r="AJ526" s="15">
        <f t="shared" si="54"/>
        <v>1606015</v>
      </c>
      <c r="AK526" s="15" t="str">
        <f t="shared" si="55"/>
        <v>高级神器1配件1-鬼王咒Lvs33</v>
      </c>
      <c r="AL526" s="60" t="s">
        <v>645</v>
      </c>
      <c r="AM526" s="15">
        <f t="shared" si="56"/>
        <v>33</v>
      </c>
      <c r="AN526" s="15" t="str">
        <f t="shared" si="57"/>
        <v>高级神器1配件1</v>
      </c>
      <c r="AO526" s="15">
        <f>INDEX(芦花古楼!$BX$19:$BX$58,神器!AM526)</f>
        <v>30</v>
      </c>
      <c r="AP526" s="15" t="s">
        <v>88</v>
      </c>
      <c r="AQ526" s="15">
        <f t="shared" si="58"/>
        <v>8680</v>
      </c>
      <c r="AR526" s="15" t="s">
        <v>654</v>
      </c>
      <c r="AS526" s="15">
        <f t="shared" si="59"/>
        <v>124</v>
      </c>
    </row>
    <row r="527" spans="35:45" ht="16.5" x14ac:dyDescent="0.2">
      <c r="AI527" s="60">
        <v>514</v>
      </c>
      <c r="AJ527" s="15">
        <f t="shared" ref="AJ527:AJ590" si="60">INDEX($AC$4:$AC$33,INT((AI527-1)/40)+1)</f>
        <v>1606015</v>
      </c>
      <c r="AK527" s="15" t="str">
        <f t="shared" ref="AK527:AK590" si="61">INDEX($AF$4:$AF$33,INT((AI527-1)/40)+1)&amp;AL527&amp;AM527</f>
        <v>高级神器1配件1-鬼王咒Lvs34</v>
      </c>
      <c r="AL527" s="60" t="s">
        <v>645</v>
      </c>
      <c r="AM527" s="15">
        <f t="shared" ref="AM527:AM590" si="62">MOD(AI527-1,40)+1</f>
        <v>34</v>
      </c>
      <c r="AN527" s="15" t="str">
        <f t="shared" ref="AN527:AN590" si="63">INDEX($AD$4:$AD$33,INT((AI527-1)/40)+1)</f>
        <v>高级神器1配件1</v>
      </c>
      <c r="AO527" s="15">
        <f>INDEX(芦花古楼!$BX$19:$BX$58,神器!AM527)</f>
        <v>30</v>
      </c>
      <c r="AP527" s="15" t="s">
        <v>88</v>
      </c>
      <c r="AQ527" s="15">
        <f t="shared" ref="AQ527:AQ590" si="64">INDEX($F$14:$L$53,AM527,INDEX($AB$4:$AB$33,INT((AI527-1)/40)+1))</f>
        <v>10850</v>
      </c>
      <c r="AR527" s="15" t="s">
        <v>654</v>
      </c>
      <c r="AS527" s="15">
        <f t="shared" ref="AS527:AS590" si="65">INDEX($P$14:$V$53,AM527,INDEX($AB$4:$AB$33,INT((AI527-1)/40)+1))</f>
        <v>132</v>
      </c>
    </row>
    <row r="528" spans="35:45" ht="16.5" x14ac:dyDescent="0.2">
      <c r="AI528" s="60">
        <v>515</v>
      </c>
      <c r="AJ528" s="15">
        <f t="shared" si="60"/>
        <v>1606015</v>
      </c>
      <c r="AK528" s="15" t="str">
        <f t="shared" si="61"/>
        <v>高级神器1配件1-鬼王咒Lvs35</v>
      </c>
      <c r="AL528" s="60" t="s">
        <v>645</v>
      </c>
      <c r="AM528" s="15">
        <f t="shared" si="62"/>
        <v>35</v>
      </c>
      <c r="AN528" s="15" t="str">
        <f t="shared" si="63"/>
        <v>高级神器1配件1</v>
      </c>
      <c r="AO528" s="15">
        <f>INDEX(芦花古楼!$BX$19:$BX$58,神器!AM528)</f>
        <v>30</v>
      </c>
      <c r="AP528" s="15" t="s">
        <v>88</v>
      </c>
      <c r="AQ528" s="15">
        <f t="shared" si="64"/>
        <v>13020</v>
      </c>
      <c r="AR528" s="15" t="s">
        <v>654</v>
      </c>
      <c r="AS528" s="15">
        <f t="shared" si="65"/>
        <v>140</v>
      </c>
    </row>
    <row r="529" spans="35:45" ht="16.5" x14ac:dyDescent="0.2">
      <c r="AI529" s="60">
        <v>516</v>
      </c>
      <c r="AJ529" s="15">
        <f t="shared" si="60"/>
        <v>1606015</v>
      </c>
      <c r="AK529" s="15" t="str">
        <f t="shared" si="61"/>
        <v>高级神器1配件1-鬼王咒Lvs36</v>
      </c>
      <c r="AL529" s="60" t="s">
        <v>645</v>
      </c>
      <c r="AM529" s="15">
        <f t="shared" si="62"/>
        <v>36</v>
      </c>
      <c r="AN529" s="15" t="str">
        <f t="shared" si="63"/>
        <v>高级神器1配件1</v>
      </c>
      <c r="AO529" s="15">
        <f>INDEX(芦花古楼!$BX$19:$BX$58,神器!AM529)</f>
        <v>40</v>
      </c>
      <c r="AP529" s="15" t="s">
        <v>88</v>
      </c>
      <c r="AQ529" s="15">
        <f t="shared" si="64"/>
        <v>15190</v>
      </c>
      <c r="AR529" s="15" t="s">
        <v>654</v>
      </c>
      <c r="AS529" s="15">
        <f t="shared" si="65"/>
        <v>148</v>
      </c>
    </row>
    <row r="530" spans="35:45" ht="16.5" x14ac:dyDescent="0.2">
      <c r="AI530" s="60">
        <v>517</v>
      </c>
      <c r="AJ530" s="15">
        <f t="shared" si="60"/>
        <v>1606015</v>
      </c>
      <c r="AK530" s="15" t="str">
        <f t="shared" si="61"/>
        <v>高级神器1配件1-鬼王咒Lvs37</v>
      </c>
      <c r="AL530" s="60" t="s">
        <v>645</v>
      </c>
      <c r="AM530" s="15">
        <f t="shared" si="62"/>
        <v>37</v>
      </c>
      <c r="AN530" s="15" t="str">
        <f t="shared" si="63"/>
        <v>高级神器1配件1</v>
      </c>
      <c r="AO530" s="15">
        <f>INDEX(芦花古楼!$BX$19:$BX$58,神器!AM530)</f>
        <v>40</v>
      </c>
      <c r="AP530" s="15" t="s">
        <v>88</v>
      </c>
      <c r="AQ530" s="15">
        <f t="shared" si="64"/>
        <v>17360</v>
      </c>
      <c r="AR530" s="15" t="s">
        <v>654</v>
      </c>
      <c r="AS530" s="15">
        <f t="shared" si="65"/>
        <v>157</v>
      </c>
    </row>
    <row r="531" spans="35:45" ht="16.5" x14ac:dyDescent="0.2">
      <c r="AI531" s="60">
        <v>518</v>
      </c>
      <c r="AJ531" s="15">
        <f t="shared" si="60"/>
        <v>1606015</v>
      </c>
      <c r="AK531" s="15" t="str">
        <f t="shared" si="61"/>
        <v>高级神器1配件1-鬼王咒Lvs38</v>
      </c>
      <c r="AL531" s="60" t="s">
        <v>645</v>
      </c>
      <c r="AM531" s="15">
        <f t="shared" si="62"/>
        <v>38</v>
      </c>
      <c r="AN531" s="15" t="str">
        <f t="shared" si="63"/>
        <v>高级神器1配件1</v>
      </c>
      <c r="AO531" s="15">
        <f>INDEX(芦花古楼!$BX$19:$BX$58,神器!AM531)</f>
        <v>40</v>
      </c>
      <c r="AP531" s="15" t="s">
        <v>88</v>
      </c>
      <c r="AQ531" s="15">
        <f t="shared" si="64"/>
        <v>19530</v>
      </c>
      <c r="AR531" s="15" t="s">
        <v>654</v>
      </c>
      <c r="AS531" s="15">
        <f t="shared" si="65"/>
        <v>166</v>
      </c>
    </row>
    <row r="532" spans="35:45" ht="16.5" x14ac:dyDescent="0.2">
      <c r="AI532" s="60">
        <v>519</v>
      </c>
      <c r="AJ532" s="15">
        <f t="shared" si="60"/>
        <v>1606015</v>
      </c>
      <c r="AK532" s="15" t="str">
        <f t="shared" si="61"/>
        <v>高级神器1配件1-鬼王咒Lvs39</v>
      </c>
      <c r="AL532" s="60" t="s">
        <v>645</v>
      </c>
      <c r="AM532" s="15">
        <f t="shared" si="62"/>
        <v>39</v>
      </c>
      <c r="AN532" s="15" t="str">
        <f t="shared" si="63"/>
        <v>高级神器1配件1</v>
      </c>
      <c r="AO532" s="15">
        <f>INDEX(芦花古楼!$BX$19:$BX$58,神器!AM532)</f>
        <v>40</v>
      </c>
      <c r="AP532" s="15" t="s">
        <v>88</v>
      </c>
      <c r="AQ532" s="15">
        <f t="shared" si="64"/>
        <v>21700</v>
      </c>
      <c r="AR532" s="15" t="s">
        <v>654</v>
      </c>
      <c r="AS532" s="15">
        <f t="shared" si="65"/>
        <v>176</v>
      </c>
    </row>
    <row r="533" spans="35:45" ht="16.5" x14ac:dyDescent="0.2">
      <c r="AI533" s="60">
        <v>520</v>
      </c>
      <c r="AJ533" s="15">
        <f t="shared" si="60"/>
        <v>1606015</v>
      </c>
      <c r="AK533" s="15" t="str">
        <f t="shared" si="61"/>
        <v>高级神器1配件1-鬼王咒Lvs40</v>
      </c>
      <c r="AL533" s="60" t="s">
        <v>645</v>
      </c>
      <c r="AM533" s="15">
        <f t="shared" si="62"/>
        <v>40</v>
      </c>
      <c r="AN533" s="15" t="str">
        <f t="shared" si="63"/>
        <v>高级神器1配件1</v>
      </c>
      <c r="AO533" s="15">
        <f>INDEX(芦花古楼!$BX$19:$BX$58,神器!AM533)</f>
        <v>40</v>
      </c>
      <c r="AP533" s="15" t="s">
        <v>88</v>
      </c>
      <c r="AQ533" s="15">
        <f t="shared" si="64"/>
        <v>26040</v>
      </c>
      <c r="AR533" s="15" t="s">
        <v>654</v>
      </c>
      <c r="AS533" s="15">
        <f t="shared" si="65"/>
        <v>186</v>
      </c>
    </row>
    <row r="534" spans="35:45" ht="16.5" x14ac:dyDescent="0.2">
      <c r="AI534" s="60">
        <v>521</v>
      </c>
      <c r="AJ534" s="15">
        <f t="shared" si="60"/>
        <v>1606016</v>
      </c>
      <c r="AK534" s="15" t="str">
        <f t="shared" si="61"/>
        <v>高级神器1配件2-虎獠Lvs1</v>
      </c>
      <c r="AL534" s="60" t="s">
        <v>645</v>
      </c>
      <c r="AM534" s="15">
        <f t="shared" si="62"/>
        <v>1</v>
      </c>
      <c r="AN534" s="15" t="str">
        <f t="shared" si="63"/>
        <v>高级神器1配件2</v>
      </c>
      <c r="AO534" s="15">
        <f>INDEX(芦花古楼!$BX$19:$BX$58,神器!AM534)</f>
        <v>1</v>
      </c>
      <c r="AP534" s="15" t="s">
        <v>88</v>
      </c>
      <c r="AQ534" s="15">
        <f t="shared" si="64"/>
        <v>200</v>
      </c>
      <c r="AR534" s="15" t="s">
        <v>654</v>
      </c>
      <c r="AS534" s="15">
        <f t="shared" si="65"/>
        <v>7</v>
      </c>
    </row>
    <row r="535" spans="35:45" ht="16.5" x14ac:dyDescent="0.2">
      <c r="AI535" s="60">
        <v>522</v>
      </c>
      <c r="AJ535" s="15">
        <f t="shared" si="60"/>
        <v>1606016</v>
      </c>
      <c r="AK535" s="15" t="str">
        <f t="shared" si="61"/>
        <v>高级神器1配件2-虎獠Lvs2</v>
      </c>
      <c r="AL535" s="60" t="s">
        <v>645</v>
      </c>
      <c r="AM535" s="15">
        <f t="shared" si="62"/>
        <v>2</v>
      </c>
      <c r="AN535" s="15" t="str">
        <f t="shared" si="63"/>
        <v>高级神器1配件2</v>
      </c>
      <c r="AO535" s="15">
        <f>INDEX(芦花古楼!$BX$19:$BX$58,神器!AM535)</f>
        <v>1</v>
      </c>
      <c r="AP535" s="15" t="s">
        <v>88</v>
      </c>
      <c r="AQ535" s="15">
        <f t="shared" si="64"/>
        <v>300</v>
      </c>
      <c r="AR535" s="15" t="s">
        <v>654</v>
      </c>
      <c r="AS535" s="15">
        <f t="shared" si="65"/>
        <v>10</v>
      </c>
    </row>
    <row r="536" spans="35:45" ht="16.5" x14ac:dyDescent="0.2">
      <c r="AI536" s="60">
        <v>523</v>
      </c>
      <c r="AJ536" s="15">
        <f t="shared" si="60"/>
        <v>1606016</v>
      </c>
      <c r="AK536" s="15" t="str">
        <f t="shared" si="61"/>
        <v>高级神器1配件2-虎獠Lvs3</v>
      </c>
      <c r="AL536" s="60" t="s">
        <v>645</v>
      </c>
      <c r="AM536" s="15">
        <f t="shared" si="62"/>
        <v>3</v>
      </c>
      <c r="AN536" s="15" t="str">
        <f t="shared" si="63"/>
        <v>高级神器1配件2</v>
      </c>
      <c r="AO536" s="15">
        <f>INDEX(芦花古楼!$BX$19:$BX$58,神器!AM536)</f>
        <v>2</v>
      </c>
      <c r="AP536" s="15" t="s">
        <v>88</v>
      </c>
      <c r="AQ536" s="15">
        <f t="shared" si="64"/>
        <v>400</v>
      </c>
      <c r="AR536" s="15" t="s">
        <v>654</v>
      </c>
      <c r="AS536" s="15">
        <f t="shared" si="65"/>
        <v>12</v>
      </c>
    </row>
    <row r="537" spans="35:45" ht="16.5" x14ac:dyDescent="0.2">
      <c r="AI537" s="60">
        <v>524</v>
      </c>
      <c r="AJ537" s="15">
        <f t="shared" si="60"/>
        <v>1606016</v>
      </c>
      <c r="AK537" s="15" t="str">
        <f t="shared" si="61"/>
        <v>高级神器1配件2-虎獠Lvs4</v>
      </c>
      <c r="AL537" s="60" t="s">
        <v>645</v>
      </c>
      <c r="AM537" s="15">
        <f t="shared" si="62"/>
        <v>4</v>
      </c>
      <c r="AN537" s="15" t="str">
        <f t="shared" si="63"/>
        <v>高级神器1配件2</v>
      </c>
      <c r="AO537" s="15">
        <f>INDEX(芦花古楼!$BX$19:$BX$58,神器!AM537)</f>
        <v>3</v>
      </c>
      <c r="AP537" s="15" t="s">
        <v>88</v>
      </c>
      <c r="AQ537" s="15">
        <f t="shared" si="64"/>
        <v>500</v>
      </c>
      <c r="AR537" s="15" t="s">
        <v>654</v>
      </c>
      <c r="AS537" s="15">
        <f t="shared" si="65"/>
        <v>15</v>
      </c>
    </row>
    <row r="538" spans="35:45" ht="16.5" x14ac:dyDescent="0.2">
      <c r="AI538" s="60">
        <v>525</v>
      </c>
      <c r="AJ538" s="15">
        <f t="shared" si="60"/>
        <v>1606016</v>
      </c>
      <c r="AK538" s="15" t="str">
        <f t="shared" si="61"/>
        <v>高级神器1配件2-虎獠Lvs5</v>
      </c>
      <c r="AL538" s="60" t="s">
        <v>645</v>
      </c>
      <c r="AM538" s="15">
        <f t="shared" si="62"/>
        <v>5</v>
      </c>
      <c r="AN538" s="15" t="str">
        <f t="shared" si="63"/>
        <v>高级神器1配件2</v>
      </c>
      <c r="AO538" s="15">
        <f>INDEX(芦花古楼!$BX$19:$BX$58,神器!AM538)</f>
        <v>3</v>
      </c>
      <c r="AP538" s="15" t="s">
        <v>88</v>
      </c>
      <c r="AQ538" s="15">
        <f t="shared" si="64"/>
        <v>600</v>
      </c>
      <c r="AR538" s="15" t="s">
        <v>654</v>
      </c>
      <c r="AS538" s="15">
        <f t="shared" si="65"/>
        <v>18</v>
      </c>
    </row>
    <row r="539" spans="35:45" ht="16.5" x14ac:dyDescent="0.2">
      <c r="AI539" s="60">
        <v>526</v>
      </c>
      <c r="AJ539" s="15">
        <f t="shared" si="60"/>
        <v>1606016</v>
      </c>
      <c r="AK539" s="15" t="str">
        <f t="shared" si="61"/>
        <v>高级神器1配件2-虎獠Lvs6</v>
      </c>
      <c r="AL539" s="60" t="s">
        <v>645</v>
      </c>
      <c r="AM539" s="15">
        <f t="shared" si="62"/>
        <v>6</v>
      </c>
      <c r="AN539" s="15" t="str">
        <f t="shared" si="63"/>
        <v>高级神器1配件2</v>
      </c>
      <c r="AO539" s="15">
        <f>INDEX(芦花古楼!$BX$19:$BX$58,神器!AM539)</f>
        <v>5</v>
      </c>
      <c r="AP539" s="15" t="s">
        <v>88</v>
      </c>
      <c r="AQ539" s="15">
        <f t="shared" si="64"/>
        <v>700</v>
      </c>
      <c r="AR539" s="15" t="s">
        <v>654</v>
      </c>
      <c r="AS539" s="15">
        <f t="shared" si="65"/>
        <v>21</v>
      </c>
    </row>
    <row r="540" spans="35:45" ht="16.5" x14ac:dyDescent="0.2">
      <c r="AI540" s="60">
        <v>527</v>
      </c>
      <c r="AJ540" s="15">
        <f t="shared" si="60"/>
        <v>1606016</v>
      </c>
      <c r="AK540" s="15" t="str">
        <f t="shared" si="61"/>
        <v>高级神器1配件2-虎獠Lvs7</v>
      </c>
      <c r="AL540" s="60" t="s">
        <v>645</v>
      </c>
      <c r="AM540" s="15">
        <f t="shared" si="62"/>
        <v>7</v>
      </c>
      <c r="AN540" s="15" t="str">
        <f t="shared" si="63"/>
        <v>高级神器1配件2</v>
      </c>
      <c r="AO540" s="15">
        <f>INDEX(芦花古楼!$BX$19:$BX$58,神器!AM540)</f>
        <v>5</v>
      </c>
      <c r="AP540" s="15" t="s">
        <v>88</v>
      </c>
      <c r="AQ540" s="15">
        <f t="shared" si="64"/>
        <v>800</v>
      </c>
      <c r="AR540" s="15" t="s">
        <v>654</v>
      </c>
      <c r="AS540" s="15">
        <f t="shared" si="65"/>
        <v>24</v>
      </c>
    </row>
    <row r="541" spans="35:45" ht="16.5" x14ac:dyDescent="0.2">
      <c r="AI541" s="60">
        <v>528</v>
      </c>
      <c r="AJ541" s="15">
        <f t="shared" si="60"/>
        <v>1606016</v>
      </c>
      <c r="AK541" s="15" t="str">
        <f t="shared" si="61"/>
        <v>高级神器1配件2-虎獠Lvs8</v>
      </c>
      <c r="AL541" s="60" t="s">
        <v>645</v>
      </c>
      <c r="AM541" s="15">
        <f t="shared" si="62"/>
        <v>8</v>
      </c>
      <c r="AN541" s="15" t="str">
        <f t="shared" si="63"/>
        <v>高级神器1配件2</v>
      </c>
      <c r="AO541" s="15">
        <f>INDEX(芦花古楼!$BX$19:$BX$58,神器!AM541)</f>
        <v>5</v>
      </c>
      <c r="AP541" s="15" t="s">
        <v>88</v>
      </c>
      <c r="AQ541" s="15">
        <f t="shared" si="64"/>
        <v>900</v>
      </c>
      <c r="AR541" s="15" t="s">
        <v>654</v>
      </c>
      <c r="AS541" s="15">
        <f t="shared" si="65"/>
        <v>27</v>
      </c>
    </row>
    <row r="542" spans="35:45" ht="16.5" x14ac:dyDescent="0.2">
      <c r="AI542" s="60">
        <v>529</v>
      </c>
      <c r="AJ542" s="15">
        <f t="shared" si="60"/>
        <v>1606016</v>
      </c>
      <c r="AK542" s="15" t="str">
        <f t="shared" si="61"/>
        <v>高级神器1配件2-虎獠Lvs9</v>
      </c>
      <c r="AL542" s="60" t="s">
        <v>645</v>
      </c>
      <c r="AM542" s="15">
        <f t="shared" si="62"/>
        <v>9</v>
      </c>
      <c r="AN542" s="15" t="str">
        <f t="shared" si="63"/>
        <v>高级神器1配件2</v>
      </c>
      <c r="AO542" s="15">
        <f>INDEX(芦花古楼!$BX$19:$BX$58,神器!AM542)</f>
        <v>5</v>
      </c>
      <c r="AP542" s="15" t="s">
        <v>88</v>
      </c>
      <c r="AQ542" s="15">
        <f t="shared" si="64"/>
        <v>1000</v>
      </c>
      <c r="AR542" s="15" t="s">
        <v>654</v>
      </c>
      <c r="AS542" s="15">
        <f t="shared" si="65"/>
        <v>30</v>
      </c>
    </row>
    <row r="543" spans="35:45" ht="16.5" x14ac:dyDescent="0.2">
      <c r="AI543" s="60">
        <v>530</v>
      </c>
      <c r="AJ543" s="15">
        <f t="shared" si="60"/>
        <v>1606016</v>
      </c>
      <c r="AK543" s="15" t="str">
        <f t="shared" si="61"/>
        <v>高级神器1配件2-虎獠Lvs10</v>
      </c>
      <c r="AL543" s="60" t="s">
        <v>645</v>
      </c>
      <c r="AM543" s="15">
        <f t="shared" si="62"/>
        <v>10</v>
      </c>
      <c r="AN543" s="15" t="str">
        <f t="shared" si="63"/>
        <v>高级神器1配件2</v>
      </c>
      <c r="AO543" s="15">
        <f>INDEX(芦花古楼!$BX$19:$BX$58,神器!AM543)</f>
        <v>7</v>
      </c>
      <c r="AP543" s="15" t="s">
        <v>88</v>
      </c>
      <c r="AQ543" s="15">
        <f t="shared" si="64"/>
        <v>1205</v>
      </c>
      <c r="AR543" s="15" t="s">
        <v>654</v>
      </c>
      <c r="AS543" s="15">
        <f t="shared" si="65"/>
        <v>34</v>
      </c>
    </row>
    <row r="544" spans="35:45" ht="16.5" x14ac:dyDescent="0.2">
      <c r="AI544" s="60">
        <v>531</v>
      </c>
      <c r="AJ544" s="15">
        <f t="shared" si="60"/>
        <v>1606016</v>
      </c>
      <c r="AK544" s="15" t="str">
        <f t="shared" si="61"/>
        <v>高级神器1配件2-虎獠Lvs11</v>
      </c>
      <c r="AL544" s="60" t="s">
        <v>645</v>
      </c>
      <c r="AM544" s="15">
        <f t="shared" si="62"/>
        <v>11</v>
      </c>
      <c r="AN544" s="15" t="str">
        <f t="shared" si="63"/>
        <v>高级神器1配件2</v>
      </c>
      <c r="AO544" s="15">
        <f>INDEX(芦花古楼!$BX$19:$BX$58,神器!AM544)</f>
        <v>7</v>
      </c>
      <c r="AP544" s="15" t="s">
        <v>88</v>
      </c>
      <c r="AQ544" s="15">
        <f t="shared" si="64"/>
        <v>1510</v>
      </c>
      <c r="AR544" s="15" t="s">
        <v>654</v>
      </c>
      <c r="AS544" s="15">
        <f t="shared" si="65"/>
        <v>37</v>
      </c>
    </row>
    <row r="545" spans="35:45" ht="16.5" x14ac:dyDescent="0.2">
      <c r="AI545" s="60">
        <v>532</v>
      </c>
      <c r="AJ545" s="15">
        <f t="shared" si="60"/>
        <v>1606016</v>
      </c>
      <c r="AK545" s="15" t="str">
        <f t="shared" si="61"/>
        <v>高级神器1配件2-虎獠Lvs12</v>
      </c>
      <c r="AL545" s="60" t="s">
        <v>645</v>
      </c>
      <c r="AM545" s="15">
        <f t="shared" si="62"/>
        <v>12</v>
      </c>
      <c r="AN545" s="15" t="str">
        <f t="shared" si="63"/>
        <v>高级神器1配件2</v>
      </c>
      <c r="AO545" s="15">
        <f>INDEX(芦花古楼!$BX$19:$BX$58,神器!AM545)</f>
        <v>7</v>
      </c>
      <c r="AP545" s="15" t="s">
        <v>88</v>
      </c>
      <c r="AQ545" s="15">
        <f t="shared" si="64"/>
        <v>1760</v>
      </c>
      <c r="AR545" s="15" t="s">
        <v>654</v>
      </c>
      <c r="AS545" s="15">
        <f t="shared" si="65"/>
        <v>41</v>
      </c>
    </row>
    <row r="546" spans="35:45" ht="16.5" x14ac:dyDescent="0.2">
      <c r="AI546" s="60">
        <v>533</v>
      </c>
      <c r="AJ546" s="15">
        <f t="shared" si="60"/>
        <v>1606016</v>
      </c>
      <c r="AK546" s="15" t="str">
        <f t="shared" si="61"/>
        <v>高级神器1配件2-虎獠Lvs13</v>
      </c>
      <c r="AL546" s="60" t="s">
        <v>645</v>
      </c>
      <c r="AM546" s="15">
        <f t="shared" si="62"/>
        <v>13</v>
      </c>
      <c r="AN546" s="15" t="str">
        <f t="shared" si="63"/>
        <v>高级神器1配件2</v>
      </c>
      <c r="AO546" s="15">
        <f>INDEX(芦花古楼!$BX$19:$BX$58,神器!AM546)</f>
        <v>7</v>
      </c>
      <c r="AP546" s="15" t="s">
        <v>88</v>
      </c>
      <c r="AQ546" s="15">
        <f t="shared" si="64"/>
        <v>2015</v>
      </c>
      <c r="AR546" s="15" t="s">
        <v>654</v>
      </c>
      <c r="AS546" s="15">
        <f t="shared" si="65"/>
        <v>45</v>
      </c>
    </row>
    <row r="547" spans="35:45" ht="16.5" x14ac:dyDescent="0.2">
      <c r="AI547" s="60">
        <v>534</v>
      </c>
      <c r="AJ547" s="15">
        <f t="shared" si="60"/>
        <v>1606016</v>
      </c>
      <c r="AK547" s="15" t="str">
        <f t="shared" si="61"/>
        <v>高级神器1配件2-虎獠Lvs14</v>
      </c>
      <c r="AL547" s="60" t="s">
        <v>645</v>
      </c>
      <c r="AM547" s="15">
        <f t="shared" si="62"/>
        <v>14</v>
      </c>
      <c r="AN547" s="15" t="str">
        <f t="shared" si="63"/>
        <v>高级神器1配件2</v>
      </c>
      <c r="AO547" s="15">
        <f>INDEX(芦花古楼!$BX$19:$BX$58,神器!AM547)</f>
        <v>7</v>
      </c>
      <c r="AP547" s="15" t="s">
        <v>88</v>
      </c>
      <c r="AQ547" s="15">
        <f t="shared" si="64"/>
        <v>2265</v>
      </c>
      <c r="AR547" s="15" t="s">
        <v>654</v>
      </c>
      <c r="AS547" s="15">
        <f t="shared" si="65"/>
        <v>50</v>
      </c>
    </row>
    <row r="548" spans="35:45" ht="16.5" x14ac:dyDescent="0.2">
      <c r="AI548" s="60">
        <v>535</v>
      </c>
      <c r="AJ548" s="15">
        <f t="shared" si="60"/>
        <v>1606016</v>
      </c>
      <c r="AK548" s="15" t="str">
        <f t="shared" si="61"/>
        <v>高级神器1配件2-虎獠Lvs15</v>
      </c>
      <c r="AL548" s="60" t="s">
        <v>645</v>
      </c>
      <c r="AM548" s="15">
        <f t="shared" si="62"/>
        <v>15</v>
      </c>
      <c r="AN548" s="15" t="str">
        <f t="shared" si="63"/>
        <v>高级神器1配件2</v>
      </c>
      <c r="AO548" s="15">
        <f>INDEX(芦花古楼!$BX$19:$BX$58,神器!AM548)</f>
        <v>10</v>
      </c>
      <c r="AP548" s="15" t="s">
        <v>88</v>
      </c>
      <c r="AQ548" s="15">
        <f t="shared" si="64"/>
        <v>2520</v>
      </c>
      <c r="AR548" s="15" t="s">
        <v>654</v>
      </c>
      <c r="AS548" s="15">
        <f t="shared" si="65"/>
        <v>54</v>
      </c>
    </row>
    <row r="549" spans="35:45" ht="16.5" x14ac:dyDescent="0.2">
      <c r="AI549" s="60">
        <v>536</v>
      </c>
      <c r="AJ549" s="15">
        <f t="shared" si="60"/>
        <v>1606016</v>
      </c>
      <c r="AK549" s="15" t="str">
        <f t="shared" si="61"/>
        <v>高级神器1配件2-虎獠Lvs16</v>
      </c>
      <c r="AL549" s="60" t="s">
        <v>645</v>
      </c>
      <c r="AM549" s="15">
        <f t="shared" si="62"/>
        <v>16</v>
      </c>
      <c r="AN549" s="15" t="str">
        <f t="shared" si="63"/>
        <v>高级神器1配件2</v>
      </c>
      <c r="AO549" s="15">
        <f>INDEX(芦花古楼!$BX$19:$BX$58,神器!AM549)</f>
        <v>10</v>
      </c>
      <c r="AP549" s="15" t="s">
        <v>88</v>
      </c>
      <c r="AQ549" s="15">
        <f t="shared" si="64"/>
        <v>2770</v>
      </c>
      <c r="AR549" s="15" t="s">
        <v>654</v>
      </c>
      <c r="AS549" s="15">
        <f t="shared" si="65"/>
        <v>59</v>
      </c>
    </row>
    <row r="550" spans="35:45" ht="16.5" x14ac:dyDescent="0.2">
      <c r="AI550" s="60">
        <v>537</v>
      </c>
      <c r="AJ550" s="15">
        <f t="shared" si="60"/>
        <v>1606016</v>
      </c>
      <c r="AK550" s="15" t="str">
        <f t="shared" si="61"/>
        <v>高级神器1配件2-虎獠Lvs17</v>
      </c>
      <c r="AL550" s="60" t="s">
        <v>645</v>
      </c>
      <c r="AM550" s="15">
        <f t="shared" si="62"/>
        <v>17</v>
      </c>
      <c r="AN550" s="15" t="str">
        <f t="shared" si="63"/>
        <v>高级神器1配件2</v>
      </c>
      <c r="AO550" s="15">
        <f>INDEX(芦花古楼!$BX$19:$BX$58,神器!AM550)</f>
        <v>10</v>
      </c>
      <c r="AP550" s="15" t="s">
        <v>88</v>
      </c>
      <c r="AQ550" s="15">
        <f t="shared" si="64"/>
        <v>3020</v>
      </c>
      <c r="AR550" s="15" t="s">
        <v>654</v>
      </c>
      <c r="AS550" s="15">
        <f t="shared" si="65"/>
        <v>64</v>
      </c>
    </row>
    <row r="551" spans="35:45" ht="16.5" x14ac:dyDescent="0.2">
      <c r="AI551" s="60">
        <v>538</v>
      </c>
      <c r="AJ551" s="15">
        <f t="shared" si="60"/>
        <v>1606016</v>
      </c>
      <c r="AK551" s="15" t="str">
        <f t="shared" si="61"/>
        <v>高级神器1配件2-虎獠Lvs18</v>
      </c>
      <c r="AL551" s="60" t="s">
        <v>645</v>
      </c>
      <c r="AM551" s="15">
        <f t="shared" si="62"/>
        <v>18</v>
      </c>
      <c r="AN551" s="15" t="str">
        <f t="shared" si="63"/>
        <v>高级神器1配件2</v>
      </c>
      <c r="AO551" s="15">
        <f>INDEX(芦花古楼!$BX$19:$BX$58,神器!AM551)</f>
        <v>10</v>
      </c>
      <c r="AP551" s="15" t="s">
        <v>88</v>
      </c>
      <c r="AQ551" s="15">
        <f t="shared" si="64"/>
        <v>3275</v>
      </c>
      <c r="AR551" s="15" t="s">
        <v>654</v>
      </c>
      <c r="AS551" s="15">
        <f t="shared" si="65"/>
        <v>69</v>
      </c>
    </row>
    <row r="552" spans="35:45" ht="16.5" x14ac:dyDescent="0.2">
      <c r="AI552" s="60">
        <v>539</v>
      </c>
      <c r="AJ552" s="15">
        <f t="shared" si="60"/>
        <v>1606016</v>
      </c>
      <c r="AK552" s="15" t="str">
        <f t="shared" si="61"/>
        <v>高级神器1配件2-虎獠Lvs19</v>
      </c>
      <c r="AL552" s="60" t="s">
        <v>645</v>
      </c>
      <c r="AM552" s="15">
        <f t="shared" si="62"/>
        <v>19</v>
      </c>
      <c r="AN552" s="15" t="str">
        <f t="shared" si="63"/>
        <v>高级神器1配件2</v>
      </c>
      <c r="AO552" s="15">
        <f>INDEX(芦花古楼!$BX$19:$BX$58,神器!AM552)</f>
        <v>10</v>
      </c>
      <c r="AP552" s="15" t="s">
        <v>88</v>
      </c>
      <c r="AQ552" s="15">
        <f t="shared" si="64"/>
        <v>3525</v>
      </c>
      <c r="AR552" s="15" t="s">
        <v>654</v>
      </c>
      <c r="AS552" s="15">
        <f t="shared" si="65"/>
        <v>74</v>
      </c>
    </row>
    <row r="553" spans="35:45" ht="16.5" x14ac:dyDescent="0.2">
      <c r="AI553" s="60">
        <v>540</v>
      </c>
      <c r="AJ553" s="15">
        <f t="shared" si="60"/>
        <v>1606016</v>
      </c>
      <c r="AK553" s="15" t="str">
        <f t="shared" si="61"/>
        <v>高级神器1配件2-虎獠Lvs20</v>
      </c>
      <c r="AL553" s="60" t="s">
        <v>645</v>
      </c>
      <c r="AM553" s="15">
        <f t="shared" si="62"/>
        <v>20</v>
      </c>
      <c r="AN553" s="15" t="str">
        <f t="shared" si="63"/>
        <v>高级神器1配件2</v>
      </c>
      <c r="AO553" s="15">
        <f>INDEX(芦花古楼!$BX$19:$BX$58,神器!AM553)</f>
        <v>10</v>
      </c>
      <c r="AP553" s="15" t="s">
        <v>88</v>
      </c>
      <c r="AQ553" s="15">
        <f t="shared" si="64"/>
        <v>4030</v>
      </c>
      <c r="AR553" s="15" t="s">
        <v>654</v>
      </c>
      <c r="AS553" s="15">
        <f t="shared" si="65"/>
        <v>80</v>
      </c>
    </row>
    <row r="554" spans="35:45" ht="16.5" x14ac:dyDescent="0.2">
      <c r="AI554" s="60">
        <v>541</v>
      </c>
      <c r="AJ554" s="15">
        <f t="shared" si="60"/>
        <v>1606016</v>
      </c>
      <c r="AK554" s="15" t="str">
        <f t="shared" si="61"/>
        <v>高级神器1配件2-虎獠Lvs21</v>
      </c>
      <c r="AL554" s="60" t="s">
        <v>645</v>
      </c>
      <c r="AM554" s="15">
        <f t="shared" si="62"/>
        <v>21</v>
      </c>
      <c r="AN554" s="15" t="str">
        <f t="shared" si="63"/>
        <v>高级神器1配件2</v>
      </c>
      <c r="AO554" s="15">
        <f>INDEX(芦花古楼!$BX$19:$BX$58,神器!AM554)</f>
        <v>15</v>
      </c>
      <c r="AP554" s="15" t="s">
        <v>88</v>
      </c>
      <c r="AQ554" s="15">
        <f t="shared" si="64"/>
        <v>4450</v>
      </c>
      <c r="AR554" s="15" t="s">
        <v>654</v>
      </c>
      <c r="AS554" s="15">
        <f t="shared" si="65"/>
        <v>86</v>
      </c>
    </row>
    <row r="555" spans="35:45" ht="16.5" x14ac:dyDescent="0.2">
      <c r="AI555" s="60">
        <v>542</v>
      </c>
      <c r="AJ555" s="15">
        <f t="shared" si="60"/>
        <v>1606016</v>
      </c>
      <c r="AK555" s="15" t="str">
        <f t="shared" si="61"/>
        <v>高级神器1配件2-虎獠Lvs22</v>
      </c>
      <c r="AL555" s="60" t="s">
        <v>645</v>
      </c>
      <c r="AM555" s="15">
        <f t="shared" si="62"/>
        <v>22</v>
      </c>
      <c r="AN555" s="15" t="str">
        <f t="shared" si="63"/>
        <v>高级神器1配件2</v>
      </c>
      <c r="AO555" s="15">
        <f>INDEX(芦花古楼!$BX$19:$BX$58,神器!AM555)</f>
        <v>15</v>
      </c>
      <c r="AP555" s="15" t="s">
        <v>88</v>
      </c>
      <c r="AQ555" s="15">
        <f t="shared" si="64"/>
        <v>4675</v>
      </c>
      <c r="AR555" s="15" t="s">
        <v>654</v>
      </c>
      <c r="AS555" s="15">
        <f t="shared" si="65"/>
        <v>92</v>
      </c>
    </row>
    <row r="556" spans="35:45" ht="16.5" x14ac:dyDescent="0.2">
      <c r="AI556" s="60">
        <v>543</v>
      </c>
      <c r="AJ556" s="15">
        <f t="shared" si="60"/>
        <v>1606016</v>
      </c>
      <c r="AK556" s="15" t="str">
        <f t="shared" si="61"/>
        <v>高级神器1配件2-虎獠Lvs23</v>
      </c>
      <c r="AL556" s="60" t="s">
        <v>645</v>
      </c>
      <c r="AM556" s="15">
        <f t="shared" si="62"/>
        <v>23</v>
      </c>
      <c r="AN556" s="15" t="str">
        <f t="shared" si="63"/>
        <v>高级神器1配件2</v>
      </c>
      <c r="AO556" s="15">
        <f>INDEX(芦花古楼!$BX$19:$BX$58,神器!AM556)</f>
        <v>15</v>
      </c>
      <c r="AP556" s="15" t="s">
        <v>88</v>
      </c>
      <c r="AQ556" s="15">
        <f t="shared" si="64"/>
        <v>4895</v>
      </c>
      <c r="AR556" s="15" t="s">
        <v>654</v>
      </c>
      <c r="AS556" s="15">
        <f t="shared" si="65"/>
        <v>99</v>
      </c>
    </row>
    <row r="557" spans="35:45" ht="16.5" x14ac:dyDescent="0.2">
      <c r="AI557" s="60">
        <v>544</v>
      </c>
      <c r="AJ557" s="15">
        <f t="shared" si="60"/>
        <v>1606016</v>
      </c>
      <c r="AK557" s="15" t="str">
        <f t="shared" si="61"/>
        <v>高级神器1配件2-虎獠Lvs24</v>
      </c>
      <c r="AL557" s="60" t="s">
        <v>645</v>
      </c>
      <c r="AM557" s="15">
        <f t="shared" si="62"/>
        <v>24</v>
      </c>
      <c r="AN557" s="15" t="str">
        <f t="shared" si="63"/>
        <v>高级神器1配件2</v>
      </c>
      <c r="AO557" s="15">
        <f>INDEX(芦花古楼!$BX$19:$BX$58,神器!AM557)</f>
        <v>15</v>
      </c>
      <c r="AP557" s="15" t="s">
        <v>88</v>
      </c>
      <c r="AQ557" s="15">
        <f t="shared" si="64"/>
        <v>5120</v>
      </c>
      <c r="AR557" s="15" t="s">
        <v>654</v>
      </c>
      <c r="AS557" s="15">
        <f t="shared" si="65"/>
        <v>106</v>
      </c>
    </row>
    <row r="558" spans="35:45" ht="16.5" x14ac:dyDescent="0.2">
      <c r="AI558" s="60">
        <v>545</v>
      </c>
      <c r="AJ558" s="15">
        <f t="shared" si="60"/>
        <v>1606016</v>
      </c>
      <c r="AK558" s="15" t="str">
        <f t="shared" si="61"/>
        <v>高级神器1配件2-虎獠Lvs25</v>
      </c>
      <c r="AL558" s="60" t="s">
        <v>645</v>
      </c>
      <c r="AM558" s="15">
        <f t="shared" si="62"/>
        <v>25</v>
      </c>
      <c r="AN558" s="15" t="str">
        <f t="shared" si="63"/>
        <v>高级神器1配件2</v>
      </c>
      <c r="AO558" s="15">
        <f>INDEX(芦花古楼!$BX$19:$BX$58,神器!AM558)</f>
        <v>15</v>
      </c>
      <c r="AP558" s="15" t="s">
        <v>88</v>
      </c>
      <c r="AQ558" s="15">
        <f t="shared" si="64"/>
        <v>5340</v>
      </c>
      <c r="AR558" s="15" t="s">
        <v>654</v>
      </c>
      <c r="AS558" s="15">
        <f t="shared" si="65"/>
        <v>113</v>
      </c>
    </row>
    <row r="559" spans="35:45" ht="16.5" x14ac:dyDescent="0.2">
      <c r="AI559" s="60">
        <v>546</v>
      </c>
      <c r="AJ559" s="15">
        <f t="shared" si="60"/>
        <v>1606016</v>
      </c>
      <c r="AK559" s="15" t="str">
        <f t="shared" si="61"/>
        <v>高级神器1配件2-虎獠Lvs26</v>
      </c>
      <c r="AL559" s="60" t="s">
        <v>645</v>
      </c>
      <c r="AM559" s="15">
        <f t="shared" si="62"/>
        <v>26</v>
      </c>
      <c r="AN559" s="15" t="str">
        <f t="shared" si="63"/>
        <v>高级神器1配件2</v>
      </c>
      <c r="AO559" s="15">
        <f>INDEX(芦花古楼!$BX$19:$BX$58,神器!AM559)</f>
        <v>25</v>
      </c>
      <c r="AP559" s="15" t="s">
        <v>88</v>
      </c>
      <c r="AQ559" s="15">
        <f t="shared" si="64"/>
        <v>5565</v>
      </c>
      <c r="AR559" s="15" t="s">
        <v>654</v>
      </c>
      <c r="AS559" s="15">
        <f t="shared" si="65"/>
        <v>121</v>
      </c>
    </row>
    <row r="560" spans="35:45" ht="16.5" x14ac:dyDescent="0.2">
      <c r="AI560" s="60">
        <v>547</v>
      </c>
      <c r="AJ560" s="15">
        <f t="shared" si="60"/>
        <v>1606016</v>
      </c>
      <c r="AK560" s="15" t="str">
        <f t="shared" si="61"/>
        <v>高级神器1配件2-虎獠Lvs27</v>
      </c>
      <c r="AL560" s="60" t="s">
        <v>645</v>
      </c>
      <c r="AM560" s="15">
        <f t="shared" si="62"/>
        <v>27</v>
      </c>
      <c r="AN560" s="15" t="str">
        <f t="shared" si="63"/>
        <v>高级神器1配件2</v>
      </c>
      <c r="AO560" s="15">
        <f>INDEX(芦花古楼!$BX$19:$BX$58,神器!AM560)</f>
        <v>25</v>
      </c>
      <c r="AP560" s="15" t="s">
        <v>88</v>
      </c>
      <c r="AQ560" s="15">
        <f t="shared" si="64"/>
        <v>5785</v>
      </c>
      <c r="AR560" s="15" t="s">
        <v>654</v>
      </c>
      <c r="AS560" s="15">
        <f t="shared" si="65"/>
        <v>129</v>
      </c>
    </row>
    <row r="561" spans="35:45" ht="16.5" x14ac:dyDescent="0.2">
      <c r="AI561" s="60">
        <v>548</v>
      </c>
      <c r="AJ561" s="15">
        <f t="shared" si="60"/>
        <v>1606016</v>
      </c>
      <c r="AK561" s="15" t="str">
        <f t="shared" si="61"/>
        <v>高级神器1配件2-虎獠Lvs28</v>
      </c>
      <c r="AL561" s="60" t="s">
        <v>645</v>
      </c>
      <c r="AM561" s="15">
        <f t="shared" si="62"/>
        <v>28</v>
      </c>
      <c r="AN561" s="15" t="str">
        <f t="shared" si="63"/>
        <v>高级神器1配件2</v>
      </c>
      <c r="AO561" s="15">
        <f>INDEX(芦花古楼!$BX$19:$BX$58,神器!AM561)</f>
        <v>25</v>
      </c>
      <c r="AP561" s="15" t="s">
        <v>88</v>
      </c>
      <c r="AQ561" s="15">
        <f t="shared" si="64"/>
        <v>6010</v>
      </c>
      <c r="AR561" s="15" t="s">
        <v>654</v>
      </c>
      <c r="AS561" s="15">
        <f t="shared" si="65"/>
        <v>138</v>
      </c>
    </row>
    <row r="562" spans="35:45" ht="16.5" x14ac:dyDescent="0.2">
      <c r="AI562" s="60">
        <v>549</v>
      </c>
      <c r="AJ562" s="15">
        <f t="shared" si="60"/>
        <v>1606016</v>
      </c>
      <c r="AK562" s="15" t="str">
        <f t="shared" si="61"/>
        <v>高级神器1配件2-虎獠Lvs29</v>
      </c>
      <c r="AL562" s="60" t="s">
        <v>645</v>
      </c>
      <c r="AM562" s="15">
        <f t="shared" si="62"/>
        <v>29</v>
      </c>
      <c r="AN562" s="15" t="str">
        <f t="shared" si="63"/>
        <v>高级神器1配件2</v>
      </c>
      <c r="AO562" s="15">
        <f>INDEX(芦花古楼!$BX$19:$BX$58,神器!AM562)</f>
        <v>25</v>
      </c>
      <c r="AP562" s="15" t="s">
        <v>88</v>
      </c>
      <c r="AQ562" s="15">
        <f t="shared" si="64"/>
        <v>6230</v>
      </c>
      <c r="AR562" s="15" t="s">
        <v>654</v>
      </c>
      <c r="AS562" s="15">
        <f t="shared" si="65"/>
        <v>146</v>
      </c>
    </row>
    <row r="563" spans="35:45" ht="16.5" x14ac:dyDescent="0.2">
      <c r="AI563" s="60">
        <v>550</v>
      </c>
      <c r="AJ563" s="15">
        <f t="shared" si="60"/>
        <v>1606016</v>
      </c>
      <c r="AK563" s="15" t="str">
        <f t="shared" si="61"/>
        <v>高级神器1配件2-虎獠Lvs30</v>
      </c>
      <c r="AL563" s="60" t="s">
        <v>645</v>
      </c>
      <c r="AM563" s="15">
        <f t="shared" si="62"/>
        <v>30</v>
      </c>
      <c r="AN563" s="15" t="str">
        <f t="shared" si="63"/>
        <v>高级神器1配件2</v>
      </c>
      <c r="AO563" s="15">
        <f>INDEX(芦花古楼!$BX$19:$BX$58,神器!AM563)</f>
        <v>25</v>
      </c>
      <c r="AP563" s="15" t="s">
        <v>88</v>
      </c>
      <c r="AQ563" s="15">
        <f t="shared" si="64"/>
        <v>6675</v>
      </c>
      <c r="AR563" s="15" t="s">
        <v>654</v>
      </c>
      <c r="AS563" s="15">
        <f t="shared" si="65"/>
        <v>156</v>
      </c>
    </row>
    <row r="564" spans="35:45" ht="16.5" x14ac:dyDescent="0.2">
      <c r="AI564" s="60">
        <v>551</v>
      </c>
      <c r="AJ564" s="15">
        <f t="shared" si="60"/>
        <v>1606016</v>
      </c>
      <c r="AK564" s="15" t="str">
        <f t="shared" si="61"/>
        <v>高级神器1配件2-虎獠Lvs31</v>
      </c>
      <c r="AL564" s="60" t="s">
        <v>645</v>
      </c>
      <c r="AM564" s="15">
        <f t="shared" si="62"/>
        <v>31</v>
      </c>
      <c r="AN564" s="15" t="str">
        <f t="shared" si="63"/>
        <v>高级神器1配件2</v>
      </c>
      <c r="AO564" s="15">
        <f>INDEX(芦花古楼!$BX$19:$BX$58,神器!AM564)</f>
        <v>30</v>
      </c>
      <c r="AP564" s="15" t="s">
        <v>88</v>
      </c>
      <c r="AQ564" s="15">
        <f t="shared" si="64"/>
        <v>6510</v>
      </c>
      <c r="AR564" s="15" t="s">
        <v>654</v>
      </c>
      <c r="AS564" s="15">
        <f t="shared" si="65"/>
        <v>166</v>
      </c>
    </row>
    <row r="565" spans="35:45" ht="16.5" x14ac:dyDescent="0.2">
      <c r="AI565" s="60">
        <v>552</v>
      </c>
      <c r="AJ565" s="15">
        <f t="shared" si="60"/>
        <v>1606016</v>
      </c>
      <c r="AK565" s="15" t="str">
        <f t="shared" si="61"/>
        <v>高级神器1配件2-虎獠Lvs32</v>
      </c>
      <c r="AL565" s="60" t="s">
        <v>645</v>
      </c>
      <c r="AM565" s="15">
        <f t="shared" si="62"/>
        <v>32</v>
      </c>
      <c r="AN565" s="15" t="str">
        <f t="shared" si="63"/>
        <v>高级神器1配件2</v>
      </c>
      <c r="AO565" s="15">
        <f>INDEX(芦花古楼!$BX$19:$BX$58,神器!AM565)</f>
        <v>30</v>
      </c>
      <c r="AP565" s="15" t="s">
        <v>88</v>
      </c>
      <c r="AQ565" s="15">
        <f t="shared" si="64"/>
        <v>9765</v>
      </c>
      <c r="AR565" s="15" t="s">
        <v>654</v>
      </c>
      <c r="AS565" s="15">
        <f t="shared" si="65"/>
        <v>176</v>
      </c>
    </row>
    <row r="566" spans="35:45" ht="16.5" x14ac:dyDescent="0.2">
      <c r="AI566" s="60">
        <v>553</v>
      </c>
      <c r="AJ566" s="15">
        <f t="shared" si="60"/>
        <v>1606016</v>
      </c>
      <c r="AK566" s="15" t="str">
        <f t="shared" si="61"/>
        <v>高级神器1配件2-虎獠Lvs33</v>
      </c>
      <c r="AL566" s="60" t="s">
        <v>645</v>
      </c>
      <c r="AM566" s="15">
        <f t="shared" si="62"/>
        <v>33</v>
      </c>
      <c r="AN566" s="15" t="str">
        <f t="shared" si="63"/>
        <v>高级神器1配件2</v>
      </c>
      <c r="AO566" s="15">
        <f>INDEX(芦花古楼!$BX$19:$BX$58,神器!AM566)</f>
        <v>30</v>
      </c>
      <c r="AP566" s="15" t="s">
        <v>88</v>
      </c>
      <c r="AQ566" s="15">
        <f t="shared" si="64"/>
        <v>13020</v>
      </c>
      <c r="AR566" s="15" t="s">
        <v>654</v>
      </c>
      <c r="AS566" s="15">
        <f t="shared" si="65"/>
        <v>187</v>
      </c>
    </row>
    <row r="567" spans="35:45" ht="16.5" x14ac:dyDescent="0.2">
      <c r="AI567" s="60">
        <v>554</v>
      </c>
      <c r="AJ567" s="15">
        <f t="shared" si="60"/>
        <v>1606016</v>
      </c>
      <c r="AK567" s="15" t="str">
        <f t="shared" si="61"/>
        <v>高级神器1配件2-虎獠Lvs34</v>
      </c>
      <c r="AL567" s="60" t="s">
        <v>645</v>
      </c>
      <c r="AM567" s="15">
        <f t="shared" si="62"/>
        <v>34</v>
      </c>
      <c r="AN567" s="15" t="str">
        <f t="shared" si="63"/>
        <v>高级神器1配件2</v>
      </c>
      <c r="AO567" s="15">
        <f>INDEX(芦花古楼!$BX$19:$BX$58,神器!AM567)</f>
        <v>30</v>
      </c>
      <c r="AP567" s="15" t="s">
        <v>88</v>
      </c>
      <c r="AQ567" s="15">
        <f t="shared" si="64"/>
        <v>16275</v>
      </c>
      <c r="AR567" s="15" t="s">
        <v>654</v>
      </c>
      <c r="AS567" s="15">
        <f t="shared" si="65"/>
        <v>198</v>
      </c>
    </row>
    <row r="568" spans="35:45" ht="16.5" x14ac:dyDescent="0.2">
      <c r="AI568" s="60">
        <v>555</v>
      </c>
      <c r="AJ568" s="15">
        <f t="shared" si="60"/>
        <v>1606016</v>
      </c>
      <c r="AK568" s="15" t="str">
        <f t="shared" si="61"/>
        <v>高级神器1配件2-虎獠Lvs35</v>
      </c>
      <c r="AL568" s="60" t="s">
        <v>645</v>
      </c>
      <c r="AM568" s="15">
        <f t="shared" si="62"/>
        <v>35</v>
      </c>
      <c r="AN568" s="15" t="str">
        <f t="shared" si="63"/>
        <v>高级神器1配件2</v>
      </c>
      <c r="AO568" s="15">
        <f>INDEX(芦花古楼!$BX$19:$BX$58,神器!AM568)</f>
        <v>30</v>
      </c>
      <c r="AP568" s="15" t="s">
        <v>88</v>
      </c>
      <c r="AQ568" s="15">
        <f t="shared" si="64"/>
        <v>19530</v>
      </c>
      <c r="AR568" s="15" t="s">
        <v>654</v>
      </c>
      <c r="AS568" s="15">
        <f t="shared" si="65"/>
        <v>210</v>
      </c>
    </row>
    <row r="569" spans="35:45" ht="16.5" x14ac:dyDescent="0.2">
      <c r="AI569" s="60">
        <v>556</v>
      </c>
      <c r="AJ569" s="15">
        <f t="shared" si="60"/>
        <v>1606016</v>
      </c>
      <c r="AK569" s="15" t="str">
        <f t="shared" si="61"/>
        <v>高级神器1配件2-虎獠Lvs36</v>
      </c>
      <c r="AL569" s="60" t="s">
        <v>645</v>
      </c>
      <c r="AM569" s="15">
        <f t="shared" si="62"/>
        <v>36</v>
      </c>
      <c r="AN569" s="15" t="str">
        <f t="shared" si="63"/>
        <v>高级神器1配件2</v>
      </c>
      <c r="AO569" s="15">
        <f>INDEX(芦花古楼!$BX$19:$BX$58,神器!AM569)</f>
        <v>40</v>
      </c>
      <c r="AP569" s="15" t="s">
        <v>88</v>
      </c>
      <c r="AQ569" s="15">
        <f t="shared" si="64"/>
        <v>22785</v>
      </c>
      <c r="AR569" s="15" t="s">
        <v>654</v>
      </c>
      <c r="AS569" s="15">
        <f t="shared" si="65"/>
        <v>222</v>
      </c>
    </row>
    <row r="570" spans="35:45" ht="16.5" x14ac:dyDescent="0.2">
      <c r="AI570" s="60">
        <v>557</v>
      </c>
      <c r="AJ570" s="15">
        <f t="shared" si="60"/>
        <v>1606016</v>
      </c>
      <c r="AK570" s="15" t="str">
        <f t="shared" si="61"/>
        <v>高级神器1配件2-虎獠Lvs37</v>
      </c>
      <c r="AL570" s="60" t="s">
        <v>645</v>
      </c>
      <c r="AM570" s="15">
        <f t="shared" si="62"/>
        <v>37</v>
      </c>
      <c r="AN570" s="15" t="str">
        <f t="shared" si="63"/>
        <v>高级神器1配件2</v>
      </c>
      <c r="AO570" s="15">
        <f>INDEX(芦花古楼!$BX$19:$BX$58,神器!AM570)</f>
        <v>40</v>
      </c>
      <c r="AP570" s="15" t="s">
        <v>88</v>
      </c>
      <c r="AQ570" s="15">
        <f t="shared" si="64"/>
        <v>26040</v>
      </c>
      <c r="AR570" s="15" t="s">
        <v>654</v>
      </c>
      <c r="AS570" s="15">
        <f t="shared" si="65"/>
        <v>236</v>
      </c>
    </row>
    <row r="571" spans="35:45" ht="16.5" x14ac:dyDescent="0.2">
      <c r="AI571" s="60">
        <v>558</v>
      </c>
      <c r="AJ571" s="15">
        <f t="shared" si="60"/>
        <v>1606016</v>
      </c>
      <c r="AK571" s="15" t="str">
        <f t="shared" si="61"/>
        <v>高级神器1配件2-虎獠Lvs38</v>
      </c>
      <c r="AL571" s="60" t="s">
        <v>645</v>
      </c>
      <c r="AM571" s="15">
        <f t="shared" si="62"/>
        <v>38</v>
      </c>
      <c r="AN571" s="15" t="str">
        <f t="shared" si="63"/>
        <v>高级神器1配件2</v>
      </c>
      <c r="AO571" s="15">
        <f>INDEX(芦花古楼!$BX$19:$BX$58,神器!AM571)</f>
        <v>40</v>
      </c>
      <c r="AP571" s="15" t="s">
        <v>88</v>
      </c>
      <c r="AQ571" s="15">
        <f t="shared" si="64"/>
        <v>29295</v>
      </c>
      <c r="AR571" s="15" t="s">
        <v>654</v>
      </c>
      <c r="AS571" s="15">
        <f t="shared" si="65"/>
        <v>249</v>
      </c>
    </row>
    <row r="572" spans="35:45" ht="16.5" x14ac:dyDescent="0.2">
      <c r="AI572" s="60">
        <v>559</v>
      </c>
      <c r="AJ572" s="15">
        <f t="shared" si="60"/>
        <v>1606016</v>
      </c>
      <c r="AK572" s="15" t="str">
        <f t="shared" si="61"/>
        <v>高级神器1配件2-虎獠Lvs39</v>
      </c>
      <c r="AL572" s="60" t="s">
        <v>645</v>
      </c>
      <c r="AM572" s="15">
        <f t="shared" si="62"/>
        <v>39</v>
      </c>
      <c r="AN572" s="15" t="str">
        <f t="shared" si="63"/>
        <v>高级神器1配件2</v>
      </c>
      <c r="AO572" s="15">
        <f>INDEX(芦花古楼!$BX$19:$BX$58,神器!AM572)</f>
        <v>40</v>
      </c>
      <c r="AP572" s="15" t="s">
        <v>88</v>
      </c>
      <c r="AQ572" s="15">
        <f t="shared" si="64"/>
        <v>32550</v>
      </c>
      <c r="AR572" s="15" t="s">
        <v>654</v>
      </c>
      <c r="AS572" s="15">
        <f t="shared" si="65"/>
        <v>264</v>
      </c>
    </row>
    <row r="573" spans="35:45" ht="16.5" x14ac:dyDescent="0.2">
      <c r="AI573" s="60">
        <v>560</v>
      </c>
      <c r="AJ573" s="15">
        <f t="shared" si="60"/>
        <v>1606016</v>
      </c>
      <c r="AK573" s="15" t="str">
        <f t="shared" si="61"/>
        <v>高级神器1配件2-虎獠Lvs40</v>
      </c>
      <c r="AL573" s="60" t="s">
        <v>645</v>
      </c>
      <c r="AM573" s="15">
        <f t="shared" si="62"/>
        <v>40</v>
      </c>
      <c r="AN573" s="15" t="str">
        <f t="shared" si="63"/>
        <v>高级神器1配件2</v>
      </c>
      <c r="AO573" s="15">
        <f>INDEX(芦花古楼!$BX$19:$BX$58,神器!AM573)</f>
        <v>40</v>
      </c>
      <c r="AP573" s="15" t="s">
        <v>88</v>
      </c>
      <c r="AQ573" s="15">
        <f t="shared" si="64"/>
        <v>39060</v>
      </c>
      <c r="AR573" s="15" t="s">
        <v>654</v>
      </c>
      <c r="AS573" s="15">
        <f t="shared" si="65"/>
        <v>279</v>
      </c>
    </row>
    <row r="574" spans="35:45" ht="16.5" x14ac:dyDescent="0.2">
      <c r="AI574" s="60">
        <v>561</v>
      </c>
      <c r="AJ574" s="15">
        <f t="shared" si="60"/>
        <v>1606017</v>
      </c>
      <c r="AK574" s="15" t="str">
        <f t="shared" si="61"/>
        <v>高级神器1配件3-阎王炮Lvs1</v>
      </c>
      <c r="AL574" s="60" t="s">
        <v>645</v>
      </c>
      <c r="AM574" s="15">
        <f t="shared" si="62"/>
        <v>1</v>
      </c>
      <c r="AN574" s="15" t="str">
        <f t="shared" si="63"/>
        <v>高级神器1配件3</v>
      </c>
      <c r="AO574" s="15">
        <f>INDEX(芦花古楼!$BX$19:$BX$58,神器!AM574)</f>
        <v>1</v>
      </c>
      <c r="AP574" s="15" t="s">
        <v>88</v>
      </c>
      <c r="AQ574" s="15">
        <f t="shared" si="64"/>
        <v>330</v>
      </c>
      <c r="AR574" s="15" t="s">
        <v>654</v>
      </c>
      <c r="AS574" s="15">
        <f t="shared" si="65"/>
        <v>13</v>
      </c>
    </row>
    <row r="575" spans="35:45" ht="16.5" x14ac:dyDescent="0.2">
      <c r="AI575" s="60">
        <v>562</v>
      </c>
      <c r="AJ575" s="15">
        <f t="shared" si="60"/>
        <v>1606017</v>
      </c>
      <c r="AK575" s="15" t="str">
        <f t="shared" si="61"/>
        <v>高级神器1配件3-阎王炮Lvs2</v>
      </c>
      <c r="AL575" s="60" t="s">
        <v>645</v>
      </c>
      <c r="AM575" s="15">
        <f t="shared" si="62"/>
        <v>2</v>
      </c>
      <c r="AN575" s="15" t="str">
        <f t="shared" si="63"/>
        <v>高级神器1配件3</v>
      </c>
      <c r="AO575" s="15">
        <f>INDEX(芦花古楼!$BX$19:$BX$58,神器!AM575)</f>
        <v>1</v>
      </c>
      <c r="AP575" s="15" t="s">
        <v>88</v>
      </c>
      <c r="AQ575" s="15">
        <f t="shared" si="64"/>
        <v>500</v>
      </c>
      <c r="AR575" s="15" t="s">
        <v>654</v>
      </c>
      <c r="AS575" s="15">
        <f t="shared" si="65"/>
        <v>17</v>
      </c>
    </row>
    <row r="576" spans="35:45" ht="16.5" x14ac:dyDescent="0.2">
      <c r="AI576" s="60">
        <v>563</v>
      </c>
      <c r="AJ576" s="15">
        <f t="shared" si="60"/>
        <v>1606017</v>
      </c>
      <c r="AK576" s="15" t="str">
        <f t="shared" si="61"/>
        <v>高级神器1配件3-阎王炮Lvs3</v>
      </c>
      <c r="AL576" s="60" t="s">
        <v>645</v>
      </c>
      <c r="AM576" s="15">
        <f t="shared" si="62"/>
        <v>3</v>
      </c>
      <c r="AN576" s="15" t="str">
        <f t="shared" si="63"/>
        <v>高级神器1配件3</v>
      </c>
      <c r="AO576" s="15">
        <f>INDEX(芦花古楼!$BX$19:$BX$58,神器!AM576)</f>
        <v>2</v>
      </c>
      <c r="AP576" s="15" t="s">
        <v>88</v>
      </c>
      <c r="AQ576" s="15">
        <f t="shared" si="64"/>
        <v>665</v>
      </c>
      <c r="AR576" s="15" t="s">
        <v>654</v>
      </c>
      <c r="AS576" s="15">
        <f t="shared" si="65"/>
        <v>21</v>
      </c>
    </row>
    <row r="577" spans="35:45" ht="16.5" x14ac:dyDescent="0.2">
      <c r="AI577" s="60">
        <v>564</v>
      </c>
      <c r="AJ577" s="15">
        <f t="shared" si="60"/>
        <v>1606017</v>
      </c>
      <c r="AK577" s="15" t="str">
        <f t="shared" si="61"/>
        <v>高级神器1配件3-阎王炮Lvs4</v>
      </c>
      <c r="AL577" s="60" t="s">
        <v>645</v>
      </c>
      <c r="AM577" s="15">
        <f t="shared" si="62"/>
        <v>4</v>
      </c>
      <c r="AN577" s="15" t="str">
        <f t="shared" si="63"/>
        <v>高级神器1配件3</v>
      </c>
      <c r="AO577" s="15">
        <f>INDEX(芦花古楼!$BX$19:$BX$58,神器!AM577)</f>
        <v>3</v>
      </c>
      <c r="AP577" s="15" t="s">
        <v>88</v>
      </c>
      <c r="AQ577" s="15">
        <f t="shared" si="64"/>
        <v>835</v>
      </c>
      <c r="AR577" s="15" t="s">
        <v>654</v>
      </c>
      <c r="AS577" s="15">
        <f t="shared" si="65"/>
        <v>25</v>
      </c>
    </row>
    <row r="578" spans="35:45" ht="16.5" x14ac:dyDescent="0.2">
      <c r="AI578" s="60">
        <v>565</v>
      </c>
      <c r="AJ578" s="15">
        <f t="shared" si="60"/>
        <v>1606017</v>
      </c>
      <c r="AK578" s="15" t="str">
        <f t="shared" si="61"/>
        <v>高级神器1配件3-阎王炮Lvs5</v>
      </c>
      <c r="AL578" s="60" t="s">
        <v>645</v>
      </c>
      <c r="AM578" s="15">
        <f t="shared" si="62"/>
        <v>5</v>
      </c>
      <c r="AN578" s="15" t="str">
        <f t="shared" si="63"/>
        <v>高级神器1配件3</v>
      </c>
      <c r="AO578" s="15">
        <f>INDEX(芦花古楼!$BX$19:$BX$58,神器!AM578)</f>
        <v>3</v>
      </c>
      <c r="AP578" s="15" t="s">
        <v>88</v>
      </c>
      <c r="AQ578" s="15">
        <f t="shared" si="64"/>
        <v>1000</v>
      </c>
      <c r="AR578" s="15" t="s">
        <v>654</v>
      </c>
      <c r="AS578" s="15">
        <f t="shared" si="65"/>
        <v>30</v>
      </c>
    </row>
    <row r="579" spans="35:45" ht="16.5" x14ac:dyDescent="0.2">
      <c r="AI579" s="60">
        <v>566</v>
      </c>
      <c r="AJ579" s="15">
        <f t="shared" si="60"/>
        <v>1606017</v>
      </c>
      <c r="AK579" s="15" t="str">
        <f t="shared" si="61"/>
        <v>高级神器1配件3-阎王炮Lvs6</v>
      </c>
      <c r="AL579" s="60" t="s">
        <v>645</v>
      </c>
      <c r="AM579" s="15">
        <f t="shared" si="62"/>
        <v>6</v>
      </c>
      <c r="AN579" s="15" t="str">
        <f t="shared" si="63"/>
        <v>高级神器1配件3</v>
      </c>
      <c r="AO579" s="15">
        <f>INDEX(芦花古楼!$BX$19:$BX$58,神器!AM579)</f>
        <v>5</v>
      </c>
      <c r="AP579" s="15" t="s">
        <v>88</v>
      </c>
      <c r="AQ579" s="15">
        <f t="shared" si="64"/>
        <v>1170</v>
      </c>
      <c r="AR579" s="15" t="s">
        <v>654</v>
      </c>
      <c r="AS579" s="15">
        <f t="shared" si="65"/>
        <v>35</v>
      </c>
    </row>
    <row r="580" spans="35:45" ht="16.5" x14ac:dyDescent="0.2">
      <c r="AI580" s="60">
        <v>567</v>
      </c>
      <c r="AJ580" s="15">
        <f t="shared" si="60"/>
        <v>1606017</v>
      </c>
      <c r="AK580" s="15" t="str">
        <f t="shared" si="61"/>
        <v>高级神器1配件3-阎王炮Lvs7</v>
      </c>
      <c r="AL580" s="60" t="s">
        <v>645</v>
      </c>
      <c r="AM580" s="15">
        <f t="shared" si="62"/>
        <v>7</v>
      </c>
      <c r="AN580" s="15" t="str">
        <f t="shared" si="63"/>
        <v>高级神器1配件3</v>
      </c>
      <c r="AO580" s="15">
        <f>INDEX(芦花古楼!$BX$19:$BX$58,神器!AM580)</f>
        <v>5</v>
      </c>
      <c r="AP580" s="15" t="s">
        <v>88</v>
      </c>
      <c r="AQ580" s="15">
        <f t="shared" si="64"/>
        <v>1335</v>
      </c>
      <c r="AR580" s="15" t="s">
        <v>654</v>
      </c>
      <c r="AS580" s="15">
        <f t="shared" si="65"/>
        <v>40</v>
      </c>
    </row>
    <row r="581" spans="35:45" ht="16.5" x14ac:dyDescent="0.2">
      <c r="AI581" s="60">
        <v>568</v>
      </c>
      <c r="AJ581" s="15">
        <f t="shared" si="60"/>
        <v>1606017</v>
      </c>
      <c r="AK581" s="15" t="str">
        <f t="shared" si="61"/>
        <v>高级神器1配件3-阎王炮Lvs8</v>
      </c>
      <c r="AL581" s="60" t="s">
        <v>645</v>
      </c>
      <c r="AM581" s="15">
        <f t="shared" si="62"/>
        <v>8</v>
      </c>
      <c r="AN581" s="15" t="str">
        <f t="shared" si="63"/>
        <v>高级神器1配件3</v>
      </c>
      <c r="AO581" s="15">
        <f>INDEX(芦花古楼!$BX$19:$BX$58,神器!AM581)</f>
        <v>5</v>
      </c>
      <c r="AP581" s="15" t="s">
        <v>88</v>
      </c>
      <c r="AQ581" s="15">
        <f t="shared" si="64"/>
        <v>1505</v>
      </c>
      <c r="AR581" s="15" t="s">
        <v>654</v>
      </c>
      <c r="AS581" s="15">
        <f t="shared" si="65"/>
        <v>45</v>
      </c>
    </row>
    <row r="582" spans="35:45" ht="16.5" x14ac:dyDescent="0.2">
      <c r="AI582" s="60">
        <v>569</v>
      </c>
      <c r="AJ582" s="15">
        <f t="shared" si="60"/>
        <v>1606017</v>
      </c>
      <c r="AK582" s="15" t="str">
        <f t="shared" si="61"/>
        <v>高级神器1配件3-阎王炮Lvs9</v>
      </c>
      <c r="AL582" s="60" t="s">
        <v>645</v>
      </c>
      <c r="AM582" s="15">
        <f t="shared" si="62"/>
        <v>9</v>
      </c>
      <c r="AN582" s="15" t="str">
        <f t="shared" si="63"/>
        <v>高级神器1配件3</v>
      </c>
      <c r="AO582" s="15">
        <f>INDEX(芦花古楼!$BX$19:$BX$58,神器!AM582)</f>
        <v>5</v>
      </c>
      <c r="AP582" s="15" t="s">
        <v>88</v>
      </c>
      <c r="AQ582" s="15">
        <f t="shared" si="64"/>
        <v>1670</v>
      </c>
      <c r="AR582" s="15" t="s">
        <v>654</v>
      </c>
      <c r="AS582" s="15">
        <f t="shared" si="65"/>
        <v>51</v>
      </c>
    </row>
    <row r="583" spans="35:45" ht="16.5" x14ac:dyDescent="0.2">
      <c r="AI583" s="60">
        <v>570</v>
      </c>
      <c r="AJ583" s="15">
        <f t="shared" si="60"/>
        <v>1606017</v>
      </c>
      <c r="AK583" s="15" t="str">
        <f t="shared" si="61"/>
        <v>高级神器1配件3-阎王炮Lvs10</v>
      </c>
      <c r="AL583" s="60" t="s">
        <v>645</v>
      </c>
      <c r="AM583" s="15">
        <f t="shared" si="62"/>
        <v>10</v>
      </c>
      <c r="AN583" s="15" t="str">
        <f t="shared" si="63"/>
        <v>高级神器1配件3</v>
      </c>
      <c r="AO583" s="15">
        <f>INDEX(芦花古楼!$BX$19:$BX$58,神器!AM583)</f>
        <v>7</v>
      </c>
      <c r="AP583" s="15" t="s">
        <v>88</v>
      </c>
      <c r="AQ583" s="15">
        <f t="shared" si="64"/>
        <v>2005</v>
      </c>
      <c r="AR583" s="15" t="s">
        <v>654</v>
      </c>
      <c r="AS583" s="15">
        <f t="shared" si="65"/>
        <v>56</v>
      </c>
    </row>
    <row r="584" spans="35:45" ht="16.5" x14ac:dyDescent="0.2">
      <c r="AI584" s="60">
        <v>571</v>
      </c>
      <c r="AJ584" s="15">
        <f t="shared" si="60"/>
        <v>1606017</v>
      </c>
      <c r="AK584" s="15" t="str">
        <f t="shared" si="61"/>
        <v>高级神器1配件3-阎王炮Lvs11</v>
      </c>
      <c r="AL584" s="60" t="s">
        <v>645</v>
      </c>
      <c r="AM584" s="15">
        <f t="shared" si="62"/>
        <v>11</v>
      </c>
      <c r="AN584" s="15" t="str">
        <f t="shared" si="63"/>
        <v>高级神器1配件3</v>
      </c>
      <c r="AO584" s="15">
        <f>INDEX(芦花古楼!$BX$19:$BX$58,神器!AM584)</f>
        <v>7</v>
      </c>
      <c r="AP584" s="15" t="s">
        <v>88</v>
      </c>
      <c r="AQ584" s="15">
        <f t="shared" si="64"/>
        <v>2520</v>
      </c>
      <c r="AR584" s="15" t="s">
        <v>654</v>
      </c>
      <c r="AS584" s="15">
        <f t="shared" si="65"/>
        <v>63</v>
      </c>
    </row>
    <row r="585" spans="35:45" ht="16.5" x14ac:dyDescent="0.2">
      <c r="AI585" s="60">
        <v>572</v>
      </c>
      <c r="AJ585" s="15">
        <f t="shared" si="60"/>
        <v>1606017</v>
      </c>
      <c r="AK585" s="15" t="str">
        <f t="shared" si="61"/>
        <v>高级神器1配件3-阎王炮Lvs12</v>
      </c>
      <c r="AL585" s="60" t="s">
        <v>645</v>
      </c>
      <c r="AM585" s="15">
        <f t="shared" si="62"/>
        <v>12</v>
      </c>
      <c r="AN585" s="15" t="str">
        <f t="shared" si="63"/>
        <v>高级神器1配件3</v>
      </c>
      <c r="AO585" s="15">
        <f>INDEX(芦花古楼!$BX$19:$BX$58,神器!AM585)</f>
        <v>7</v>
      </c>
      <c r="AP585" s="15" t="s">
        <v>88</v>
      </c>
      <c r="AQ585" s="15">
        <f t="shared" si="64"/>
        <v>2940</v>
      </c>
      <c r="AR585" s="15" t="s">
        <v>654</v>
      </c>
      <c r="AS585" s="15">
        <f t="shared" si="65"/>
        <v>69</v>
      </c>
    </row>
    <row r="586" spans="35:45" ht="16.5" x14ac:dyDescent="0.2">
      <c r="AI586" s="60">
        <v>573</v>
      </c>
      <c r="AJ586" s="15">
        <f t="shared" si="60"/>
        <v>1606017</v>
      </c>
      <c r="AK586" s="15" t="str">
        <f t="shared" si="61"/>
        <v>高级神器1配件3-阎王炮Lvs13</v>
      </c>
      <c r="AL586" s="60" t="s">
        <v>645</v>
      </c>
      <c r="AM586" s="15">
        <f t="shared" si="62"/>
        <v>13</v>
      </c>
      <c r="AN586" s="15" t="str">
        <f t="shared" si="63"/>
        <v>高级神器1配件3</v>
      </c>
      <c r="AO586" s="15">
        <f>INDEX(芦花古楼!$BX$19:$BX$58,神器!AM586)</f>
        <v>7</v>
      </c>
      <c r="AP586" s="15" t="s">
        <v>88</v>
      </c>
      <c r="AQ586" s="15">
        <f t="shared" si="64"/>
        <v>3360</v>
      </c>
      <c r="AR586" s="15" t="s">
        <v>654</v>
      </c>
      <c r="AS586" s="15">
        <f t="shared" si="65"/>
        <v>76</v>
      </c>
    </row>
    <row r="587" spans="35:45" ht="16.5" x14ac:dyDescent="0.2">
      <c r="AI587" s="60">
        <v>574</v>
      </c>
      <c r="AJ587" s="15">
        <f t="shared" si="60"/>
        <v>1606017</v>
      </c>
      <c r="AK587" s="15" t="str">
        <f t="shared" si="61"/>
        <v>高级神器1配件3-阎王炮Lvs14</v>
      </c>
      <c r="AL587" s="60" t="s">
        <v>645</v>
      </c>
      <c r="AM587" s="15">
        <f t="shared" si="62"/>
        <v>14</v>
      </c>
      <c r="AN587" s="15" t="str">
        <f t="shared" si="63"/>
        <v>高级神器1配件3</v>
      </c>
      <c r="AO587" s="15">
        <f>INDEX(芦花古楼!$BX$19:$BX$58,神器!AM587)</f>
        <v>7</v>
      </c>
      <c r="AP587" s="15" t="s">
        <v>88</v>
      </c>
      <c r="AQ587" s="15">
        <f t="shared" si="64"/>
        <v>3780</v>
      </c>
      <c r="AR587" s="15" t="s">
        <v>654</v>
      </c>
      <c r="AS587" s="15">
        <f t="shared" si="65"/>
        <v>83</v>
      </c>
    </row>
    <row r="588" spans="35:45" ht="16.5" x14ac:dyDescent="0.2">
      <c r="AI588" s="60">
        <v>575</v>
      </c>
      <c r="AJ588" s="15">
        <f t="shared" si="60"/>
        <v>1606017</v>
      </c>
      <c r="AK588" s="15" t="str">
        <f t="shared" si="61"/>
        <v>高级神器1配件3-阎王炮Lvs15</v>
      </c>
      <c r="AL588" s="60" t="s">
        <v>645</v>
      </c>
      <c r="AM588" s="15">
        <f t="shared" si="62"/>
        <v>15</v>
      </c>
      <c r="AN588" s="15" t="str">
        <f t="shared" si="63"/>
        <v>高级神器1配件3</v>
      </c>
      <c r="AO588" s="15">
        <f>INDEX(芦花古楼!$BX$19:$BX$58,神器!AM588)</f>
        <v>10</v>
      </c>
      <c r="AP588" s="15" t="s">
        <v>88</v>
      </c>
      <c r="AQ588" s="15">
        <f t="shared" si="64"/>
        <v>4200</v>
      </c>
      <c r="AR588" s="15" t="s">
        <v>654</v>
      </c>
      <c r="AS588" s="15">
        <f t="shared" si="65"/>
        <v>90</v>
      </c>
    </row>
    <row r="589" spans="35:45" ht="16.5" x14ac:dyDescent="0.2">
      <c r="AI589" s="60">
        <v>576</v>
      </c>
      <c r="AJ589" s="15">
        <f t="shared" si="60"/>
        <v>1606017</v>
      </c>
      <c r="AK589" s="15" t="str">
        <f t="shared" si="61"/>
        <v>高级神器1配件3-阎王炮Lvs16</v>
      </c>
      <c r="AL589" s="60" t="s">
        <v>645</v>
      </c>
      <c r="AM589" s="15">
        <f t="shared" si="62"/>
        <v>16</v>
      </c>
      <c r="AN589" s="15" t="str">
        <f t="shared" si="63"/>
        <v>高级神器1配件3</v>
      </c>
      <c r="AO589" s="15">
        <f>INDEX(芦花古楼!$BX$19:$BX$58,神器!AM589)</f>
        <v>10</v>
      </c>
      <c r="AP589" s="15" t="s">
        <v>88</v>
      </c>
      <c r="AQ589" s="15">
        <f t="shared" si="64"/>
        <v>4620</v>
      </c>
      <c r="AR589" s="15" t="s">
        <v>654</v>
      </c>
      <c r="AS589" s="15">
        <f t="shared" si="65"/>
        <v>98</v>
      </c>
    </row>
    <row r="590" spans="35:45" ht="16.5" x14ac:dyDescent="0.2">
      <c r="AI590" s="60">
        <v>577</v>
      </c>
      <c r="AJ590" s="15">
        <f t="shared" si="60"/>
        <v>1606017</v>
      </c>
      <c r="AK590" s="15" t="str">
        <f t="shared" si="61"/>
        <v>高级神器1配件3-阎王炮Lvs17</v>
      </c>
      <c r="AL590" s="60" t="s">
        <v>645</v>
      </c>
      <c r="AM590" s="15">
        <f t="shared" si="62"/>
        <v>17</v>
      </c>
      <c r="AN590" s="15" t="str">
        <f t="shared" si="63"/>
        <v>高级神器1配件3</v>
      </c>
      <c r="AO590" s="15">
        <f>INDEX(芦花古楼!$BX$19:$BX$58,神器!AM590)</f>
        <v>10</v>
      </c>
      <c r="AP590" s="15" t="s">
        <v>88</v>
      </c>
      <c r="AQ590" s="15">
        <f t="shared" si="64"/>
        <v>5040</v>
      </c>
      <c r="AR590" s="15" t="s">
        <v>654</v>
      </c>
      <c r="AS590" s="15">
        <f t="shared" si="65"/>
        <v>107</v>
      </c>
    </row>
    <row r="591" spans="35:45" ht="16.5" x14ac:dyDescent="0.2">
      <c r="AI591" s="60">
        <v>578</v>
      </c>
      <c r="AJ591" s="15">
        <f t="shared" ref="AJ591:AJ654" si="66">INDEX($AC$4:$AC$33,INT((AI591-1)/40)+1)</f>
        <v>1606017</v>
      </c>
      <c r="AK591" s="15" t="str">
        <f t="shared" ref="AK591:AK654" si="67">INDEX($AF$4:$AF$33,INT((AI591-1)/40)+1)&amp;AL591&amp;AM591</f>
        <v>高级神器1配件3-阎王炮Lvs18</v>
      </c>
      <c r="AL591" s="60" t="s">
        <v>645</v>
      </c>
      <c r="AM591" s="15">
        <f t="shared" ref="AM591:AM654" si="68">MOD(AI591-1,40)+1</f>
        <v>18</v>
      </c>
      <c r="AN591" s="15" t="str">
        <f t="shared" ref="AN591:AN654" si="69">INDEX($AD$4:$AD$33,INT((AI591-1)/40)+1)</f>
        <v>高级神器1配件3</v>
      </c>
      <c r="AO591" s="15">
        <f>INDEX(芦花古楼!$BX$19:$BX$58,神器!AM591)</f>
        <v>10</v>
      </c>
      <c r="AP591" s="15" t="s">
        <v>88</v>
      </c>
      <c r="AQ591" s="15">
        <f t="shared" ref="AQ591:AQ654" si="70">INDEX($F$14:$L$53,AM591,INDEX($AB$4:$AB$33,INT((AI591-1)/40)+1))</f>
        <v>5460</v>
      </c>
      <c r="AR591" s="15" t="s">
        <v>654</v>
      </c>
      <c r="AS591" s="15">
        <f t="shared" ref="AS591:AS654" si="71">INDEX($P$14:$V$53,AM591,INDEX($AB$4:$AB$33,INT((AI591-1)/40)+1))</f>
        <v>115</v>
      </c>
    </row>
    <row r="592" spans="35:45" ht="16.5" x14ac:dyDescent="0.2">
      <c r="AI592" s="60">
        <v>579</v>
      </c>
      <c r="AJ592" s="15">
        <f t="shared" si="66"/>
        <v>1606017</v>
      </c>
      <c r="AK592" s="15" t="str">
        <f t="shared" si="67"/>
        <v>高级神器1配件3-阎王炮Lvs19</v>
      </c>
      <c r="AL592" s="60" t="s">
        <v>645</v>
      </c>
      <c r="AM592" s="15">
        <f t="shared" si="68"/>
        <v>19</v>
      </c>
      <c r="AN592" s="15" t="str">
        <f t="shared" si="69"/>
        <v>高级神器1配件3</v>
      </c>
      <c r="AO592" s="15">
        <f>INDEX(芦花古楼!$BX$19:$BX$58,神器!AM592)</f>
        <v>10</v>
      </c>
      <c r="AP592" s="15" t="s">
        <v>88</v>
      </c>
      <c r="AQ592" s="15">
        <f t="shared" si="70"/>
        <v>5880</v>
      </c>
      <c r="AR592" s="15" t="s">
        <v>654</v>
      </c>
      <c r="AS592" s="15">
        <f t="shared" si="71"/>
        <v>124</v>
      </c>
    </row>
    <row r="593" spans="35:45" ht="16.5" x14ac:dyDescent="0.2">
      <c r="AI593" s="60">
        <v>580</v>
      </c>
      <c r="AJ593" s="15">
        <f t="shared" si="66"/>
        <v>1606017</v>
      </c>
      <c r="AK593" s="15" t="str">
        <f t="shared" si="67"/>
        <v>高级神器1配件3-阎王炮Lvs20</v>
      </c>
      <c r="AL593" s="60" t="s">
        <v>645</v>
      </c>
      <c r="AM593" s="15">
        <f t="shared" si="68"/>
        <v>20</v>
      </c>
      <c r="AN593" s="15" t="str">
        <f t="shared" si="69"/>
        <v>高级神器1配件3</v>
      </c>
      <c r="AO593" s="15">
        <f>INDEX(芦花古楼!$BX$19:$BX$58,神器!AM593)</f>
        <v>10</v>
      </c>
      <c r="AP593" s="15" t="s">
        <v>88</v>
      </c>
      <c r="AQ593" s="15">
        <f t="shared" si="70"/>
        <v>6720</v>
      </c>
      <c r="AR593" s="15" t="s">
        <v>654</v>
      </c>
      <c r="AS593" s="15">
        <f t="shared" si="71"/>
        <v>134</v>
      </c>
    </row>
    <row r="594" spans="35:45" ht="16.5" x14ac:dyDescent="0.2">
      <c r="AI594" s="60">
        <v>581</v>
      </c>
      <c r="AJ594" s="15">
        <f t="shared" si="66"/>
        <v>1606017</v>
      </c>
      <c r="AK594" s="15" t="str">
        <f t="shared" si="67"/>
        <v>高级神器1配件3-阎王炮Lvs21</v>
      </c>
      <c r="AL594" s="60" t="s">
        <v>645</v>
      </c>
      <c r="AM594" s="15">
        <f t="shared" si="68"/>
        <v>21</v>
      </c>
      <c r="AN594" s="15" t="str">
        <f t="shared" si="69"/>
        <v>高级神器1配件3</v>
      </c>
      <c r="AO594" s="15">
        <f>INDEX(芦花古楼!$BX$19:$BX$58,神器!AM594)</f>
        <v>15</v>
      </c>
      <c r="AP594" s="15" t="s">
        <v>88</v>
      </c>
      <c r="AQ594" s="15">
        <f t="shared" si="70"/>
        <v>7420</v>
      </c>
      <c r="AR594" s="15" t="s">
        <v>654</v>
      </c>
      <c r="AS594" s="15">
        <f t="shared" si="71"/>
        <v>144</v>
      </c>
    </row>
    <row r="595" spans="35:45" ht="16.5" x14ac:dyDescent="0.2">
      <c r="AI595" s="60">
        <v>582</v>
      </c>
      <c r="AJ595" s="15">
        <f t="shared" si="66"/>
        <v>1606017</v>
      </c>
      <c r="AK595" s="15" t="str">
        <f t="shared" si="67"/>
        <v>高级神器1配件3-阎王炮Lvs22</v>
      </c>
      <c r="AL595" s="60" t="s">
        <v>645</v>
      </c>
      <c r="AM595" s="15">
        <f t="shared" si="68"/>
        <v>22</v>
      </c>
      <c r="AN595" s="15" t="str">
        <f t="shared" si="69"/>
        <v>高级神器1配件3</v>
      </c>
      <c r="AO595" s="15">
        <f>INDEX(芦花古楼!$BX$19:$BX$58,神器!AM595)</f>
        <v>15</v>
      </c>
      <c r="AP595" s="15" t="s">
        <v>88</v>
      </c>
      <c r="AQ595" s="15">
        <f t="shared" si="70"/>
        <v>7790</v>
      </c>
      <c r="AR595" s="15" t="s">
        <v>654</v>
      </c>
      <c r="AS595" s="15">
        <f t="shared" si="71"/>
        <v>154</v>
      </c>
    </row>
    <row r="596" spans="35:45" ht="16.5" x14ac:dyDescent="0.2">
      <c r="AI596" s="60">
        <v>583</v>
      </c>
      <c r="AJ596" s="15">
        <f t="shared" si="66"/>
        <v>1606017</v>
      </c>
      <c r="AK596" s="15" t="str">
        <f t="shared" si="67"/>
        <v>高级神器1配件3-阎王炮Lvs23</v>
      </c>
      <c r="AL596" s="60" t="s">
        <v>645</v>
      </c>
      <c r="AM596" s="15">
        <f t="shared" si="68"/>
        <v>23</v>
      </c>
      <c r="AN596" s="15" t="str">
        <f t="shared" si="69"/>
        <v>高级神器1配件3</v>
      </c>
      <c r="AO596" s="15">
        <f>INDEX(芦花古楼!$BX$19:$BX$58,神器!AM596)</f>
        <v>15</v>
      </c>
      <c r="AP596" s="15" t="s">
        <v>88</v>
      </c>
      <c r="AQ596" s="15">
        <f t="shared" si="70"/>
        <v>8160</v>
      </c>
      <c r="AR596" s="15" t="s">
        <v>654</v>
      </c>
      <c r="AS596" s="15">
        <f t="shared" si="71"/>
        <v>166</v>
      </c>
    </row>
    <row r="597" spans="35:45" ht="16.5" x14ac:dyDescent="0.2">
      <c r="AI597" s="60">
        <v>584</v>
      </c>
      <c r="AJ597" s="15">
        <f t="shared" si="66"/>
        <v>1606017</v>
      </c>
      <c r="AK597" s="15" t="str">
        <f t="shared" si="67"/>
        <v>高级神器1配件3-阎王炮Lvs24</v>
      </c>
      <c r="AL597" s="60" t="s">
        <v>645</v>
      </c>
      <c r="AM597" s="15">
        <f t="shared" si="68"/>
        <v>24</v>
      </c>
      <c r="AN597" s="15" t="str">
        <f t="shared" si="69"/>
        <v>高级神器1配件3</v>
      </c>
      <c r="AO597" s="15">
        <f>INDEX(芦花古楼!$BX$19:$BX$58,神器!AM597)</f>
        <v>15</v>
      </c>
      <c r="AP597" s="15" t="s">
        <v>88</v>
      </c>
      <c r="AQ597" s="15">
        <f t="shared" si="70"/>
        <v>8535</v>
      </c>
      <c r="AR597" s="15" t="s">
        <v>654</v>
      </c>
      <c r="AS597" s="15">
        <f t="shared" si="71"/>
        <v>177</v>
      </c>
    </row>
    <row r="598" spans="35:45" ht="16.5" x14ac:dyDescent="0.2">
      <c r="AI598" s="60">
        <v>585</v>
      </c>
      <c r="AJ598" s="15">
        <f t="shared" si="66"/>
        <v>1606017</v>
      </c>
      <c r="AK598" s="15" t="str">
        <f t="shared" si="67"/>
        <v>高级神器1配件3-阎王炮Lvs25</v>
      </c>
      <c r="AL598" s="60" t="s">
        <v>645</v>
      </c>
      <c r="AM598" s="15">
        <f t="shared" si="68"/>
        <v>25</v>
      </c>
      <c r="AN598" s="15" t="str">
        <f t="shared" si="69"/>
        <v>高级神器1配件3</v>
      </c>
      <c r="AO598" s="15">
        <f>INDEX(芦花古楼!$BX$19:$BX$58,神器!AM598)</f>
        <v>15</v>
      </c>
      <c r="AP598" s="15" t="s">
        <v>88</v>
      </c>
      <c r="AQ598" s="15">
        <f t="shared" si="70"/>
        <v>8905</v>
      </c>
      <c r="AR598" s="15" t="s">
        <v>654</v>
      </c>
      <c r="AS598" s="15">
        <f t="shared" si="71"/>
        <v>189</v>
      </c>
    </row>
    <row r="599" spans="35:45" ht="16.5" x14ac:dyDescent="0.2">
      <c r="AI599" s="60">
        <v>586</v>
      </c>
      <c r="AJ599" s="15">
        <f t="shared" si="66"/>
        <v>1606017</v>
      </c>
      <c r="AK599" s="15" t="str">
        <f t="shared" si="67"/>
        <v>高级神器1配件3-阎王炮Lvs26</v>
      </c>
      <c r="AL599" s="60" t="s">
        <v>645</v>
      </c>
      <c r="AM599" s="15">
        <f t="shared" si="68"/>
        <v>26</v>
      </c>
      <c r="AN599" s="15" t="str">
        <f t="shared" si="69"/>
        <v>高级神器1配件3</v>
      </c>
      <c r="AO599" s="15">
        <f>INDEX(芦花古楼!$BX$19:$BX$58,神器!AM599)</f>
        <v>25</v>
      </c>
      <c r="AP599" s="15" t="s">
        <v>88</v>
      </c>
      <c r="AQ599" s="15">
        <f t="shared" si="70"/>
        <v>9275</v>
      </c>
      <c r="AR599" s="15" t="s">
        <v>654</v>
      </c>
      <c r="AS599" s="15">
        <f t="shared" si="71"/>
        <v>202</v>
      </c>
    </row>
    <row r="600" spans="35:45" ht="16.5" x14ac:dyDescent="0.2">
      <c r="AI600" s="60">
        <v>587</v>
      </c>
      <c r="AJ600" s="15">
        <f t="shared" si="66"/>
        <v>1606017</v>
      </c>
      <c r="AK600" s="15" t="str">
        <f t="shared" si="67"/>
        <v>高级神器1配件3-阎王炮Lvs27</v>
      </c>
      <c r="AL600" s="60" t="s">
        <v>645</v>
      </c>
      <c r="AM600" s="15">
        <f t="shared" si="68"/>
        <v>27</v>
      </c>
      <c r="AN600" s="15" t="str">
        <f t="shared" si="69"/>
        <v>高级神器1配件3</v>
      </c>
      <c r="AO600" s="15">
        <f>INDEX(芦花古楼!$BX$19:$BX$58,神器!AM600)</f>
        <v>25</v>
      </c>
      <c r="AP600" s="15" t="s">
        <v>88</v>
      </c>
      <c r="AQ600" s="15">
        <f t="shared" si="70"/>
        <v>9645</v>
      </c>
      <c r="AR600" s="15" t="s">
        <v>654</v>
      </c>
      <c r="AS600" s="15">
        <f t="shared" si="71"/>
        <v>216</v>
      </c>
    </row>
    <row r="601" spans="35:45" ht="16.5" x14ac:dyDescent="0.2">
      <c r="AI601" s="60">
        <v>588</v>
      </c>
      <c r="AJ601" s="15">
        <f t="shared" si="66"/>
        <v>1606017</v>
      </c>
      <c r="AK601" s="15" t="str">
        <f t="shared" si="67"/>
        <v>高级神器1配件3-阎王炮Lvs28</v>
      </c>
      <c r="AL601" s="60" t="s">
        <v>645</v>
      </c>
      <c r="AM601" s="15">
        <f t="shared" si="68"/>
        <v>28</v>
      </c>
      <c r="AN601" s="15" t="str">
        <f t="shared" si="69"/>
        <v>高级神器1配件3</v>
      </c>
      <c r="AO601" s="15">
        <f>INDEX(芦花古楼!$BX$19:$BX$58,神器!AM601)</f>
        <v>25</v>
      </c>
      <c r="AP601" s="15" t="s">
        <v>88</v>
      </c>
      <c r="AQ601" s="15">
        <f t="shared" si="70"/>
        <v>10015</v>
      </c>
      <c r="AR601" s="15" t="s">
        <v>654</v>
      </c>
      <c r="AS601" s="15">
        <f t="shared" si="71"/>
        <v>230</v>
      </c>
    </row>
    <row r="602" spans="35:45" ht="16.5" x14ac:dyDescent="0.2">
      <c r="AI602" s="60">
        <v>589</v>
      </c>
      <c r="AJ602" s="15">
        <f t="shared" si="66"/>
        <v>1606017</v>
      </c>
      <c r="AK602" s="15" t="str">
        <f t="shared" si="67"/>
        <v>高级神器1配件3-阎王炮Lvs29</v>
      </c>
      <c r="AL602" s="60" t="s">
        <v>645</v>
      </c>
      <c r="AM602" s="15">
        <f t="shared" si="68"/>
        <v>29</v>
      </c>
      <c r="AN602" s="15" t="str">
        <f t="shared" si="69"/>
        <v>高级神器1配件3</v>
      </c>
      <c r="AO602" s="15">
        <f>INDEX(芦花古楼!$BX$19:$BX$58,神器!AM602)</f>
        <v>25</v>
      </c>
      <c r="AP602" s="15" t="s">
        <v>88</v>
      </c>
      <c r="AQ602" s="15">
        <f t="shared" si="70"/>
        <v>10390</v>
      </c>
      <c r="AR602" s="15" t="s">
        <v>654</v>
      </c>
      <c r="AS602" s="15">
        <f t="shared" si="71"/>
        <v>244</v>
      </c>
    </row>
    <row r="603" spans="35:45" ht="16.5" x14ac:dyDescent="0.2">
      <c r="AI603" s="60">
        <v>590</v>
      </c>
      <c r="AJ603" s="15">
        <f t="shared" si="66"/>
        <v>1606017</v>
      </c>
      <c r="AK603" s="15" t="str">
        <f t="shared" si="67"/>
        <v>高级神器1配件3-阎王炮Lvs30</v>
      </c>
      <c r="AL603" s="60" t="s">
        <v>645</v>
      </c>
      <c r="AM603" s="15">
        <f t="shared" si="68"/>
        <v>30</v>
      </c>
      <c r="AN603" s="15" t="str">
        <f t="shared" si="69"/>
        <v>高级神器1配件3</v>
      </c>
      <c r="AO603" s="15">
        <f>INDEX(芦花古楼!$BX$19:$BX$58,神器!AM603)</f>
        <v>25</v>
      </c>
      <c r="AP603" s="15" t="s">
        <v>88</v>
      </c>
      <c r="AQ603" s="15">
        <f t="shared" si="70"/>
        <v>11130</v>
      </c>
      <c r="AR603" s="15" t="s">
        <v>654</v>
      </c>
      <c r="AS603" s="15">
        <f t="shared" si="71"/>
        <v>260</v>
      </c>
    </row>
    <row r="604" spans="35:45" ht="16.5" x14ac:dyDescent="0.2">
      <c r="AI604" s="60">
        <v>591</v>
      </c>
      <c r="AJ604" s="15">
        <f t="shared" si="66"/>
        <v>1606017</v>
      </c>
      <c r="AK604" s="15" t="str">
        <f t="shared" si="67"/>
        <v>高级神器1配件3-阎王炮Lvs31</v>
      </c>
      <c r="AL604" s="60" t="s">
        <v>645</v>
      </c>
      <c r="AM604" s="15">
        <f t="shared" si="68"/>
        <v>31</v>
      </c>
      <c r="AN604" s="15" t="str">
        <f t="shared" si="69"/>
        <v>高级神器1配件3</v>
      </c>
      <c r="AO604" s="15">
        <f>INDEX(芦花古楼!$BX$19:$BX$58,神器!AM604)</f>
        <v>30</v>
      </c>
      <c r="AP604" s="15" t="s">
        <v>88</v>
      </c>
      <c r="AQ604" s="15">
        <f t="shared" si="70"/>
        <v>10850</v>
      </c>
      <c r="AR604" s="15" t="s">
        <v>654</v>
      </c>
      <c r="AS604" s="15">
        <f t="shared" si="71"/>
        <v>276</v>
      </c>
    </row>
    <row r="605" spans="35:45" ht="16.5" x14ac:dyDescent="0.2">
      <c r="AI605" s="60">
        <v>592</v>
      </c>
      <c r="AJ605" s="15">
        <f t="shared" si="66"/>
        <v>1606017</v>
      </c>
      <c r="AK605" s="15" t="str">
        <f t="shared" si="67"/>
        <v>高级神器1配件3-阎王炮Lvs32</v>
      </c>
      <c r="AL605" s="60" t="s">
        <v>645</v>
      </c>
      <c r="AM605" s="15">
        <f t="shared" si="68"/>
        <v>32</v>
      </c>
      <c r="AN605" s="15" t="str">
        <f t="shared" si="69"/>
        <v>高级神器1配件3</v>
      </c>
      <c r="AO605" s="15">
        <f>INDEX(芦花古楼!$BX$19:$BX$58,神器!AM605)</f>
        <v>30</v>
      </c>
      <c r="AP605" s="15" t="s">
        <v>88</v>
      </c>
      <c r="AQ605" s="15">
        <f t="shared" si="70"/>
        <v>16275</v>
      </c>
      <c r="AR605" s="15" t="s">
        <v>654</v>
      </c>
      <c r="AS605" s="15">
        <f t="shared" si="71"/>
        <v>293</v>
      </c>
    </row>
    <row r="606" spans="35:45" ht="16.5" x14ac:dyDescent="0.2">
      <c r="AI606" s="60">
        <v>593</v>
      </c>
      <c r="AJ606" s="15">
        <f t="shared" si="66"/>
        <v>1606017</v>
      </c>
      <c r="AK606" s="15" t="str">
        <f t="shared" si="67"/>
        <v>高级神器1配件3-阎王炮Lvs33</v>
      </c>
      <c r="AL606" s="60" t="s">
        <v>645</v>
      </c>
      <c r="AM606" s="15">
        <f t="shared" si="68"/>
        <v>33</v>
      </c>
      <c r="AN606" s="15" t="str">
        <f t="shared" si="69"/>
        <v>高级神器1配件3</v>
      </c>
      <c r="AO606" s="15">
        <f>INDEX(芦花古楼!$BX$19:$BX$58,神器!AM606)</f>
        <v>30</v>
      </c>
      <c r="AP606" s="15" t="s">
        <v>88</v>
      </c>
      <c r="AQ606" s="15">
        <f t="shared" si="70"/>
        <v>21700</v>
      </c>
      <c r="AR606" s="15" t="s">
        <v>654</v>
      </c>
      <c r="AS606" s="15">
        <f t="shared" si="71"/>
        <v>312</v>
      </c>
    </row>
    <row r="607" spans="35:45" ht="16.5" x14ac:dyDescent="0.2">
      <c r="AI607" s="60">
        <v>594</v>
      </c>
      <c r="AJ607" s="15">
        <f t="shared" si="66"/>
        <v>1606017</v>
      </c>
      <c r="AK607" s="15" t="str">
        <f t="shared" si="67"/>
        <v>高级神器1配件3-阎王炮Lvs34</v>
      </c>
      <c r="AL607" s="60" t="s">
        <v>645</v>
      </c>
      <c r="AM607" s="15">
        <f t="shared" si="68"/>
        <v>34</v>
      </c>
      <c r="AN607" s="15" t="str">
        <f t="shared" si="69"/>
        <v>高级神器1配件3</v>
      </c>
      <c r="AO607" s="15">
        <f>INDEX(芦花古楼!$BX$19:$BX$58,神器!AM607)</f>
        <v>30</v>
      </c>
      <c r="AP607" s="15" t="s">
        <v>88</v>
      </c>
      <c r="AQ607" s="15">
        <f t="shared" si="70"/>
        <v>27125</v>
      </c>
      <c r="AR607" s="15" t="s">
        <v>654</v>
      </c>
      <c r="AS607" s="15">
        <f t="shared" si="71"/>
        <v>330</v>
      </c>
    </row>
    <row r="608" spans="35:45" ht="16.5" x14ac:dyDescent="0.2">
      <c r="AI608" s="60">
        <v>595</v>
      </c>
      <c r="AJ608" s="15">
        <f t="shared" si="66"/>
        <v>1606017</v>
      </c>
      <c r="AK608" s="15" t="str">
        <f t="shared" si="67"/>
        <v>高级神器1配件3-阎王炮Lvs35</v>
      </c>
      <c r="AL608" s="60" t="s">
        <v>645</v>
      </c>
      <c r="AM608" s="15">
        <f t="shared" si="68"/>
        <v>35</v>
      </c>
      <c r="AN608" s="15" t="str">
        <f t="shared" si="69"/>
        <v>高级神器1配件3</v>
      </c>
      <c r="AO608" s="15">
        <f>INDEX(芦花古楼!$BX$19:$BX$58,神器!AM608)</f>
        <v>30</v>
      </c>
      <c r="AP608" s="15" t="s">
        <v>88</v>
      </c>
      <c r="AQ608" s="15">
        <f t="shared" si="70"/>
        <v>32550</v>
      </c>
      <c r="AR608" s="15" t="s">
        <v>654</v>
      </c>
      <c r="AS608" s="15">
        <f t="shared" si="71"/>
        <v>350</v>
      </c>
    </row>
    <row r="609" spans="35:45" ht="16.5" x14ac:dyDescent="0.2">
      <c r="AI609" s="60">
        <v>596</v>
      </c>
      <c r="AJ609" s="15">
        <f t="shared" si="66"/>
        <v>1606017</v>
      </c>
      <c r="AK609" s="15" t="str">
        <f t="shared" si="67"/>
        <v>高级神器1配件3-阎王炮Lvs36</v>
      </c>
      <c r="AL609" s="60" t="s">
        <v>645</v>
      </c>
      <c r="AM609" s="15">
        <f t="shared" si="68"/>
        <v>36</v>
      </c>
      <c r="AN609" s="15" t="str">
        <f t="shared" si="69"/>
        <v>高级神器1配件3</v>
      </c>
      <c r="AO609" s="15">
        <f>INDEX(芦花古楼!$BX$19:$BX$58,神器!AM609)</f>
        <v>40</v>
      </c>
      <c r="AP609" s="15" t="s">
        <v>88</v>
      </c>
      <c r="AQ609" s="15">
        <f t="shared" si="70"/>
        <v>37975</v>
      </c>
      <c r="AR609" s="15" t="s">
        <v>654</v>
      </c>
      <c r="AS609" s="15">
        <f t="shared" si="71"/>
        <v>371</v>
      </c>
    </row>
    <row r="610" spans="35:45" ht="16.5" x14ac:dyDescent="0.2">
      <c r="AI610" s="60">
        <v>597</v>
      </c>
      <c r="AJ610" s="15">
        <f t="shared" si="66"/>
        <v>1606017</v>
      </c>
      <c r="AK610" s="15" t="str">
        <f t="shared" si="67"/>
        <v>高级神器1配件3-阎王炮Lvs37</v>
      </c>
      <c r="AL610" s="60" t="s">
        <v>645</v>
      </c>
      <c r="AM610" s="15">
        <f t="shared" si="68"/>
        <v>37</v>
      </c>
      <c r="AN610" s="15" t="str">
        <f t="shared" si="69"/>
        <v>高级神器1配件3</v>
      </c>
      <c r="AO610" s="15">
        <f>INDEX(芦花古楼!$BX$19:$BX$58,神器!AM610)</f>
        <v>40</v>
      </c>
      <c r="AP610" s="15" t="s">
        <v>88</v>
      </c>
      <c r="AQ610" s="15">
        <f t="shared" si="70"/>
        <v>43400</v>
      </c>
      <c r="AR610" s="15" t="s">
        <v>654</v>
      </c>
      <c r="AS610" s="15">
        <f t="shared" si="71"/>
        <v>393</v>
      </c>
    </row>
    <row r="611" spans="35:45" ht="16.5" x14ac:dyDescent="0.2">
      <c r="AI611" s="60">
        <v>598</v>
      </c>
      <c r="AJ611" s="15">
        <f t="shared" si="66"/>
        <v>1606017</v>
      </c>
      <c r="AK611" s="15" t="str">
        <f t="shared" si="67"/>
        <v>高级神器1配件3-阎王炮Lvs38</v>
      </c>
      <c r="AL611" s="60" t="s">
        <v>645</v>
      </c>
      <c r="AM611" s="15">
        <f t="shared" si="68"/>
        <v>38</v>
      </c>
      <c r="AN611" s="15" t="str">
        <f t="shared" si="69"/>
        <v>高级神器1配件3</v>
      </c>
      <c r="AO611" s="15">
        <f>INDEX(芦花古楼!$BX$19:$BX$58,神器!AM611)</f>
        <v>40</v>
      </c>
      <c r="AP611" s="15" t="s">
        <v>88</v>
      </c>
      <c r="AQ611" s="15">
        <f t="shared" si="70"/>
        <v>48825</v>
      </c>
      <c r="AR611" s="15" t="s">
        <v>654</v>
      </c>
      <c r="AS611" s="15">
        <f t="shared" si="71"/>
        <v>416</v>
      </c>
    </row>
    <row r="612" spans="35:45" ht="16.5" x14ac:dyDescent="0.2">
      <c r="AI612" s="60">
        <v>599</v>
      </c>
      <c r="AJ612" s="15">
        <f t="shared" si="66"/>
        <v>1606017</v>
      </c>
      <c r="AK612" s="15" t="str">
        <f t="shared" si="67"/>
        <v>高级神器1配件3-阎王炮Lvs39</v>
      </c>
      <c r="AL612" s="60" t="s">
        <v>645</v>
      </c>
      <c r="AM612" s="15">
        <f t="shared" si="68"/>
        <v>39</v>
      </c>
      <c r="AN612" s="15" t="str">
        <f t="shared" si="69"/>
        <v>高级神器1配件3</v>
      </c>
      <c r="AO612" s="15">
        <f>INDEX(芦花古楼!$BX$19:$BX$58,神器!AM612)</f>
        <v>40</v>
      </c>
      <c r="AP612" s="15" t="s">
        <v>88</v>
      </c>
      <c r="AQ612" s="15">
        <f t="shared" si="70"/>
        <v>54250</v>
      </c>
      <c r="AR612" s="15" t="s">
        <v>654</v>
      </c>
      <c r="AS612" s="15">
        <f t="shared" si="71"/>
        <v>440</v>
      </c>
    </row>
    <row r="613" spans="35:45" ht="16.5" x14ac:dyDescent="0.2">
      <c r="AI613" s="60">
        <v>600</v>
      </c>
      <c r="AJ613" s="15">
        <f t="shared" si="66"/>
        <v>1606017</v>
      </c>
      <c r="AK613" s="15" t="str">
        <f t="shared" si="67"/>
        <v>高级神器1配件3-阎王炮Lvs40</v>
      </c>
      <c r="AL613" s="60" t="s">
        <v>645</v>
      </c>
      <c r="AM613" s="15">
        <f t="shared" si="68"/>
        <v>40</v>
      </c>
      <c r="AN613" s="15" t="str">
        <f t="shared" si="69"/>
        <v>高级神器1配件3</v>
      </c>
      <c r="AO613" s="15">
        <f>INDEX(芦花古楼!$BX$19:$BX$58,神器!AM613)</f>
        <v>40</v>
      </c>
      <c r="AP613" s="15" t="s">
        <v>88</v>
      </c>
      <c r="AQ613" s="15">
        <f t="shared" si="70"/>
        <v>65100</v>
      </c>
      <c r="AR613" s="15" t="s">
        <v>654</v>
      </c>
      <c r="AS613" s="15">
        <f t="shared" si="71"/>
        <v>465</v>
      </c>
    </row>
    <row r="614" spans="35:45" ht="16.5" x14ac:dyDescent="0.2">
      <c r="AI614" s="60">
        <v>601</v>
      </c>
      <c r="AJ614" s="15">
        <f t="shared" si="66"/>
        <v>1606018</v>
      </c>
      <c r="AK614" s="15" t="str">
        <f t="shared" si="67"/>
        <v>高级神器1配件4-狱火锤Lvs1</v>
      </c>
      <c r="AL614" s="60" t="s">
        <v>645</v>
      </c>
      <c r="AM614" s="15">
        <f t="shared" si="68"/>
        <v>1</v>
      </c>
      <c r="AN614" s="15" t="str">
        <f t="shared" si="69"/>
        <v>高级神器1配件4</v>
      </c>
      <c r="AO614" s="15">
        <f>INDEX(芦花古楼!$BX$19:$BX$58,神器!AM614)</f>
        <v>1</v>
      </c>
      <c r="AP614" s="15" t="s">
        <v>88</v>
      </c>
      <c r="AQ614" s="15">
        <f t="shared" si="70"/>
        <v>465</v>
      </c>
      <c r="AR614" s="15" t="s">
        <v>654</v>
      </c>
      <c r="AS614" s="15">
        <f t="shared" si="71"/>
        <v>18</v>
      </c>
    </row>
    <row r="615" spans="35:45" ht="16.5" x14ac:dyDescent="0.2">
      <c r="AI615" s="60">
        <v>602</v>
      </c>
      <c r="AJ615" s="15">
        <f t="shared" si="66"/>
        <v>1606018</v>
      </c>
      <c r="AK615" s="15" t="str">
        <f t="shared" si="67"/>
        <v>高级神器1配件4-狱火锤Lvs2</v>
      </c>
      <c r="AL615" s="60" t="s">
        <v>645</v>
      </c>
      <c r="AM615" s="15">
        <f t="shared" si="68"/>
        <v>2</v>
      </c>
      <c r="AN615" s="15" t="str">
        <f t="shared" si="69"/>
        <v>高级神器1配件4</v>
      </c>
      <c r="AO615" s="15">
        <f>INDEX(芦花古楼!$BX$19:$BX$58,神器!AM615)</f>
        <v>1</v>
      </c>
      <c r="AP615" s="15" t="s">
        <v>88</v>
      </c>
      <c r="AQ615" s="15">
        <f t="shared" si="70"/>
        <v>700</v>
      </c>
      <c r="AR615" s="15" t="s">
        <v>654</v>
      </c>
      <c r="AS615" s="15">
        <f t="shared" si="71"/>
        <v>24</v>
      </c>
    </row>
    <row r="616" spans="35:45" ht="16.5" x14ac:dyDescent="0.2">
      <c r="AI616" s="60">
        <v>603</v>
      </c>
      <c r="AJ616" s="15">
        <f t="shared" si="66"/>
        <v>1606018</v>
      </c>
      <c r="AK616" s="15" t="str">
        <f t="shared" si="67"/>
        <v>高级神器1配件4-狱火锤Lvs3</v>
      </c>
      <c r="AL616" s="60" t="s">
        <v>645</v>
      </c>
      <c r="AM616" s="15">
        <f t="shared" si="68"/>
        <v>3</v>
      </c>
      <c r="AN616" s="15" t="str">
        <f t="shared" si="69"/>
        <v>高级神器1配件4</v>
      </c>
      <c r="AO616" s="15">
        <f>INDEX(芦花古楼!$BX$19:$BX$58,神器!AM616)</f>
        <v>2</v>
      </c>
      <c r="AP616" s="15" t="s">
        <v>88</v>
      </c>
      <c r="AQ616" s="15">
        <f t="shared" si="70"/>
        <v>935</v>
      </c>
      <c r="AR616" s="15" t="s">
        <v>654</v>
      </c>
      <c r="AS616" s="15">
        <f t="shared" si="71"/>
        <v>29</v>
      </c>
    </row>
    <row r="617" spans="35:45" ht="16.5" x14ac:dyDescent="0.2">
      <c r="AI617" s="60">
        <v>604</v>
      </c>
      <c r="AJ617" s="15">
        <f t="shared" si="66"/>
        <v>1606018</v>
      </c>
      <c r="AK617" s="15" t="str">
        <f t="shared" si="67"/>
        <v>高级神器1配件4-狱火锤Lvs4</v>
      </c>
      <c r="AL617" s="60" t="s">
        <v>645</v>
      </c>
      <c r="AM617" s="15">
        <f t="shared" si="68"/>
        <v>4</v>
      </c>
      <c r="AN617" s="15" t="str">
        <f t="shared" si="69"/>
        <v>高级神器1配件4</v>
      </c>
      <c r="AO617" s="15">
        <f>INDEX(芦花古楼!$BX$19:$BX$58,神器!AM617)</f>
        <v>3</v>
      </c>
      <c r="AP617" s="15" t="s">
        <v>88</v>
      </c>
      <c r="AQ617" s="15">
        <f t="shared" si="70"/>
        <v>1170</v>
      </c>
      <c r="AR617" s="15" t="s">
        <v>654</v>
      </c>
      <c r="AS617" s="15">
        <f t="shared" si="71"/>
        <v>36</v>
      </c>
    </row>
    <row r="618" spans="35:45" ht="16.5" x14ac:dyDescent="0.2">
      <c r="AI618" s="60">
        <v>605</v>
      </c>
      <c r="AJ618" s="15">
        <f t="shared" si="66"/>
        <v>1606018</v>
      </c>
      <c r="AK618" s="15" t="str">
        <f t="shared" si="67"/>
        <v>高级神器1配件4-狱火锤Lvs5</v>
      </c>
      <c r="AL618" s="60" t="s">
        <v>645</v>
      </c>
      <c r="AM618" s="15">
        <f t="shared" si="68"/>
        <v>5</v>
      </c>
      <c r="AN618" s="15" t="str">
        <f t="shared" si="69"/>
        <v>高级神器1配件4</v>
      </c>
      <c r="AO618" s="15">
        <f>INDEX(芦花古楼!$BX$19:$BX$58,神器!AM618)</f>
        <v>3</v>
      </c>
      <c r="AP618" s="15" t="s">
        <v>88</v>
      </c>
      <c r="AQ618" s="15">
        <f t="shared" si="70"/>
        <v>1405</v>
      </c>
      <c r="AR618" s="15" t="s">
        <v>654</v>
      </c>
      <c r="AS618" s="15">
        <f t="shared" si="71"/>
        <v>42</v>
      </c>
    </row>
    <row r="619" spans="35:45" ht="16.5" x14ac:dyDescent="0.2">
      <c r="AI619" s="60">
        <v>606</v>
      </c>
      <c r="AJ619" s="15">
        <f t="shared" si="66"/>
        <v>1606018</v>
      </c>
      <c r="AK619" s="15" t="str">
        <f t="shared" si="67"/>
        <v>高级神器1配件4-狱火锤Lvs6</v>
      </c>
      <c r="AL619" s="60" t="s">
        <v>645</v>
      </c>
      <c r="AM619" s="15">
        <f t="shared" si="68"/>
        <v>6</v>
      </c>
      <c r="AN619" s="15" t="str">
        <f t="shared" si="69"/>
        <v>高级神器1配件4</v>
      </c>
      <c r="AO619" s="15">
        <f>INDEX(芦花古楼!$BX$19:$BX$58,神器!AM619)</f>
        <v>5</v>
      </c>
      <c r="AP619" s="15" t="s">
        <v>88</v>
      </c>
      <c r="AQ619" s="15">
        <f t="shared" si="70"/>
        <v>1640</v>
      </c>
      <c r="AR619" s="15" t="s">
        <v>654</v>
      </c>
      <c r="AS619" s="15">
        <f t="shared" si="71"/>
        <v>49</v>
      </c>
    </row>
    <row r="620" spans="35:45" ht="16.5" x14ac:dyDescent="0.2">
      <c r="AI620" s="60">
        <v>607</v>
      </c>
      <c r="AJ620" s="15">
        <f t="shared" si="66"/>
        <v>1606018</v>
      </c>
      <c r="AK620" s="15" t="str">
        <f t="shared" si="67"/>
        <v>高级神器1配件4-狱火锤Lvs7</v>
      </c>
      <c r="AL620" s="60" t="s">
        <v>645</v>
      </c>
      <c r="AM620" s="15">
        <f t="shared" si="68"/>
        <v>7</v>
      </c>
      <c r="AN620" s="15" t="str">
        <f t="shared" si="69"/>
        <v>高级神器1配件4</v>
      </c>
      <c r="AO620" s="15">
        <f>INDEX(芦花古楼!$BX$19:$BX$58,神器!AM620)</f>
        <v>5</v>
      </c>
      <c r="AP620" s="15" t="s">
        <v>88</v>
      </c>
      <c r="AQ620" s="15">
        <f t="shared" si="70"/>
        <v>1870</v>
      </c>
      <c r="AR620" s="15" t="s">
        <v>654</v>
      </c>
      <c r="AS620" s="15">
        <f t="shared" si="71"/>
        <v>56</v>
      </c>
    </row>
    <row r="621" spans="35:45" ht="16.5" x14ac:dyDescent="0.2">
      <c r="AI621" s="60">
        <v>608</v>
      </c>
      <c r="AJ621" s="15">
        <f t="shared" si="66"/>
        <v>1606018</v>
      </c>
      <c r="AK621" s="15" t="str">
        <f t="shared" si="67"/>
        <v>高级神器1配件4-狱火锤Lvs8</v>
      </c>
      <c r="AL621" s="60" t="s">
        <v>645</v>
      </c>
      <c r="AM621" s="15">
        <f t="shared" si="68"/>
        <v>8</v>
      </c>
      <c r="AN621" s="15" t="str">
        <f t="shared" si="69"/>
        <v>高级神器1配件4</v>
      </c>
      <c r="AO621" s="15">
        <f>INDEX(芦花古楼!$BX$19:$BX$58,神器!AM621)</f>
        <v>5</v>
      </c>
      <c r="AP621" s="15" t="s">
        <v>88</v>
      </c>
      <c r="AQ621" s="15">
        <f t="shared" si="70"/>
        <v>2105</v>
      </c>
      <c r="AR621" s="15" t="s">
        <v>654</v>
      </c>
      <c r="AS621" s="15">
        <f t="shared" si="71"/>
        <v>63</v>
      </c>
    </row>
    <row r="622" spans="35:45" ht="16.5" x14ac:dyDescent="0.2">
      <c r="AI622" s="60">
        <v>609</v>
      </c>
      <c r="AJ622" s="15">
        <f t="shared" si="66"/>
        <v>1606018</v>
      </c>
      <c r="AK622" s="15" t="str">
        <f t="shared" si="67"/>
        <v>高级神器1配件4-狱火锤Lvs9</v>
      </c>
      <c r="AL622" s="60" t="s">
        <v>645</v>
      </c>
      <c r="AM622" s="15">
        <f t="shared" si="68"/>
        <v>9</v>
      </c>
      <c r="AN622" s="15" t="str">
        <f t="shared" si="69"/>
        <v>高级神器1配件4</v>
      </c>
      <c r="AO622" s="15">
        <f>INDEX(芦花古楼!$BX$19:$BX$58,神器!AM622)</f>
        <v>5</v>
      </c>
      <c r="AP622" s="15" t="s">
        <v>88</v>
      </c>
      <c r="AQ622" s="15">
        <f t="shared" si="70"/>
        <v>2340</v>
      </c>
      <c r="AR622" s="15" t="s">
        <v>654</v>
      </c>
      <c r="AS622" s="15">
        <f t="shared" si="71"/>
        <v>71</v>
      </c>
    </row>
    <row r="623" spans="35:45" ht="16.5" x14ac:dyDescent="0.2">
      <c r="AI623" s="60">
        <v>610</v>
      </c>
      <c r="AJ623" s="15">
        <f t="shared" si="66"/>
        <v>1606018</v>
      </c>
      <c r="AK623" s="15" t="str">
        <f t="shared" si="67"/>
        <v>高级神器1配件4-狱火锤Lvs10</v>
      </c>
      <c r="AL623" s="60" t="s">
        <v>645</v>
      </c>
      <c r="AM623" s="15">
        <f t="shared" si="68"/>
        <v>10</v>
      </c>
      <c r="AN623" s="15" t="str">
        <f t="shared" si="69"/>
        <v>高级神器1配件4</v>
      </c>
      <c r="AO623" s="15">
        <f>INDEX(芦花古楼!$BX$19:$BX$58,神器!AM623)</f>
        <v>7</v>
      </c>
      <c r="AP623" s="15" t="s">
        <v>88</v>
      </c>
      <c r="AQ623" s="15">
        <f t="shared" si="70"/>
        <v>2810</v>
      </c>
      <c r="AR623" s="15" t="s">
        <v>654</v>
      </c>
      <c r="AS623" s="15">
        <f t="shared" si="71"/>
        <v>79</v>
      </c>
    </row>
    <row r="624" spans="35:45" ht="16.5" x14ac:dyDescent="0.2">
      <c r="AI624" s="60">
        <v>611</v>
      </c>
      <c r="AJ624" s="15">
        <f t="shared" si="66"/>
        <v>1606018</v>
      </c>
      <c r="AK624" s="15" t="str">
        <f t="shared" si="67"/>
        <v>高级神器1配件4-狱火锤Lvs11</v>
      </c>
      <c r="AL624" s="60" t="s">
        <v>645</v>
      </c>
      <c r="AM624" s="15">
        <f t="shared" si="68"/>
        <v>11</v>
      </c>
      <c r="AN624" s="15" t="str">
        <f t="shared" si="69"/>
        <v>高级神器1配件4</v>
      </c>
      <c r="AO624" s="15">
        <f>INDEX(芦花古楼!$BX$19:$BX$58,神器!AM624)</f>
        <v>7</v>
      </c>
      <c r="AP624" s="15" t="s">
        <v>88</v>
      </c>
      <c r="AQ624" s="15">
        <f t="shared" si="70"/>
        <v>3525</v>
      </c>
      <c r="AR624" s="15" t="s">
        <v>654</v>
      </c>
      <c r="AS624" s="15">
        <f t="shared" si="71"/>
        <v>88</v>
      </c>
    </row>
    <row r="625" spans="35:45" ht="16.5" x14ac:dyDescent="0.2">
      <c r="AI625" s="60">
        <v>612</v>
      </c>
      <c r="AJ625" s="15">
        <f t="shared" si="66"/>
        <v>1606018</v>
      </c>
      <c r="AK625" s="15" t="str">
        <f t="shared" si="67"/>
        <v>高级神器1配件4-狱火锤Lvs12</v>
      </c>
      <c r="AL625" s="60" t="s">
        <v>645</v>
      </c>
      <c r="AM625" s="15">
        <f t="shared" si="68"/>
        <v>12</v>
      </c>
      <c r="AN625" s="15" t="str">
        <f t="shared" si="69"/>
        <v>高级神器1配件4</v>
      </c>
      <c r="AO625" s="15">
        <f>INDEX(芦花古楼!$BX$19:$BX$58,神器!AM625)</f>
        <v>7</v>
      </c>
      <c r="AP625" s="15" t="s">
        <v>88</v>
      </c>
      <c r="AQ625" s="15">
        <f t="shared" si="70"/>
        <v>4115</v>
      </c>
      <c r="AR625" s="15" t="s">
        <v>654</v>
      </c>
      <c r="AS625" s="15">
        <f t="shared" si="71"/>
        <v>97</v>
      </c>
    </row>
    <row r="626" spans="35:45" ht="16.5" x14ac:dyDescent="0.2">
      <c r="AI626" s="60">
        <v>613</v>
      </c>
      <c r="AJ626" s="15">
        <f t="shared" si="66"/>
        <v>1606018</v>
      </c>
      <c r="AK626" s="15" t="str">
        <f t="shared" si="67"/>
        <v>高级神器1配件4-狱火锤Lvs13</v>
      </c>
      <c r="AL626" s="60" t="s">
        <v>645</v>
      </c>
      <c r="AM626" s="15">
        <f t="shared" si="68"/>
        <v>13</v>
      </c>
      <c r="AN626" s="15" t="str">
        <f t="shared" si="69"/>
        <v>高级神器1配件4</v>
      </c>
      <c r="AO626" s="15">
        <f>INDEX(芦花古楼!$BX$19:$BX$58,神器!AM626)</f>
        <v>7</v>
      </c>
      <c r="AP626" s="15" t="s">
        <v>88</v>
      </c>
      <c r="AQ626" s="15">
        <f t="shared" si="70"/>
        <v>4705</v>
      </c>
      <c r="AR626" s="15" t="s">
        <v>654</v>
      </c>
      <c r="AS626" s="15">
        <f t="shared" si="71"/>
        <v>106</v>
      </c>
    </row>
    <row r="627" spans="35:45" ht="16.5" x14ac:dyDescent="0.2">
      <c r="AI627" s="60">
        <v>614</v>
      </c>
      <c r="AJ627" s="15">
        <f t="shared" si="66"/>
        <v>1606018</v>
      </c>
      <c r="AK627" s="15" t="str">
        <f t="shared" si="67"/>
        <v>高级神器1配件4-狱火锤Lvs14</v>
      </c>
      <c r="AL627" s="60" t="s">
        <v>645</v>
      </c>
      <c r="AM627" s="15">
        <f t="shared" si="68"/>
        <v>14</v>
      </c>
      <c r="AN627" s="15" t="str">
        <f t="shared" si="69"/>
        <v>高级神器1配件4</v>
      </c>
      <c r="AO627" s="15">
        <f>INDEX(芦花古楼!$BX$19:$BX$58,神器!AM627)</f>
        <v>7</v>
      </c>
      <c r="AP627" s="15" t="s">
        <v>88</v>
      </c>
      <c r="AQ627" s="15">
        <f t="shared" si="70"/>
        <v>5290</v>
      </c>
      <c r="AR627" s="15" t="s">
        <v>654</v>
      </c>
      <c r="AS627" s="15">
        <f t="shared" si="71"/>
        <v>116</v>
      </c>
    </row>
    <row r="628" spans="35:45" ht="16.5" x14ac:dyDescent="0.2">
      <c r="AI628" s="60">
        <v>615</v>
      </c>
      <c r="AJ628" s="15">
        <f t="shared" si="66"/>
        <v>1606018</v>
      </c>
      <c r="AK628" s="15" t="str">
        <f t="shared" si="67"/>
        <v>高级神器1配件4-狱火锤Lvs15</v>
      </c>
      <c r="AL628" s="60" t="s">
        <v>645</v>
      </c>
      <c r="AM628" s="15">
        <f t="shared" si="68"/>
        <v>15</v>
      </c>
      <c r="AN628" s="15" t="str">
        <f t="shared" si="69"/>
        <v>高级神器1配件4</v>
      </c>
      <c r="AO628" s="15">
        <f>INDEX(芦花古楼!$BX$19:$BX$58,神器!AM628)</f>
        <v>10</v>
      </c>
      <c r="AP628" s="15" t="s">
        <v>88</v>
      </c>
      <c r="AQ628" s="15">
        <f t="shared" si="70"/>
        <v>5880</v>
      </c>
      <c r="AR628" s="15" t="s">
        <v>654</v>
      </c>
      <c r="AS628" s="15">
        <f t="shared" si="71"/>
        <v>127</v>
      </c>
    </row>
    <row r="629" spans="35:45" ht="16.5" x14ac:dyDescent="0.2">
      <c r="AI629" s="60">
        <v>616</v>
      </c>
      <c r="AJ629" s="15">
        <f t="shared" si="66"/>
        <v>1606018</v>
      </c>
      <c r="AK629" s="15" t="str">
        <f t="shared" si="67"/>
        <v>高级神器1配件4-狱火锤Lvs16</v>
      </c>
      <c r="AL629" s="60" t="s">
        <v>645</v>
      </c>
      <c r="AM629" s="15">
        <f t="shared" si="68"/>
        <v>16</v>
      </c>
      <c r="AN629" s="15" t="str">
        <f t="shared" si="69"/>
        <v>高级神器1配件4</v>
      </c>
      <c r="AO629" s="15">
        <f>INDEX(芦花古楼!$BX$19:$BX$58,神器!AM629)</f>
        <v>10</v>
      </c>
      <c r="AP629" s="15" t="s">
        <v>88</v>
      </c>
      <c r="AQ629" s="15">
        <f t="shared" si="70"/>
        <v>6465</v>
      </c>
      <c r="AR629" s="15" t="s">
        <v>654</v>
      </c>
      <c r="AS629" s="15">
        <f t="shared" si="71"/>
        <v>138</v>
      </c>
    </row>
    <row r="630" spans="35:45" ht="16.5" x14ac:dyDescent="0.2">
      <c r="AI630" s="60">
        <v>617</v>
      </c>
      <c r="AJ630" s="15">
        <f t="shared" si="66"/>
        <v>1606018</v>
      </c>
      <c r="AK630" s="15" t="str">
        <f t="shared" si="67"/>
        <v>高级神器1配件4-狱火锤Lvs17</v>
      </c>
      <c r="AL630" s="60" t="s">
        <v>645</v>
      </c>
      <c r="AM630" s="15">
        <f t="shared" si="68"/>
        <v>17</v>
      </c>
      <c r="AN630" s="15" t="str">
        <f t="shared" si="69"/>
        <v>高级神器1配件4</v>
      </c>
      <c r="AO630" s="15">
        <f>INDEX(芦花古楼!$BX$19:$BX$58,神器!AM630)</f>
        <v>10</v>
      </c>
      <c r="AP630" s="15" t="s">
        <v>88</v>
      </c>
      <c r="AQ630" s="15">
        <f t="shared" si="70"/>
        <v>7055</v>
      </c>
      <c r="AR630" s="15" t="s">
        <v>654</v>
      </c>
      <c r="AS630" s="15">
        <f t="shared" si="71"/>
        <v>149</v>
      </c>
    </row>
    <row r="631" spans="35:45" ht="16.5" x14ac:dyDescent="0.2">
      <c r="AI631" s="60">
        <v>618</v>
      </c>
      <c r="AJ631" s="15">
        <f t="shared" si="66"/>
        <v>1606018</v>
      </c>
      <c r="AK631" s="15" t="str">
        <f t="shared" si="67"/>
        <v>高级神器1配件4-狱火锤Lvs18</v>
      </c>
      <c r="AL631" s="60" t="s">
        <v>645</v>
      </c>
      <c r="AM631" s="15">
        <f t="shared" si="68"/>
        <v>18</v>
      </c>
      <c r="AN631" s="15" t="str">
        <f t="shared" si="69"/>
        <v>高级神器1配件4</v>
      </c>
      <c r="AO631" s="15">
        <f>INDEX(芦花古楼!$BX$19:$BX$58,神器!AM631)</f>
        <v>10</v>
      </c>
      <c r="AP631" s="15" t="s">
        <v>88</v>
      </c>
      <c r="AQ631" s="15">
        <f t="shared" si="70"/>
        <v>7645</v>
      </c>
      <c r="AR631" s="15" t="s">
        <v>654</v>
      </c>
      <c r="AS631" s="15">
        <f t="shared" si="71"/>
        <v>162</v>
      </c>
    </row>
    <row r="632" spans="35:45" ht="16.5" x14ac:dyDescent="0.2">
      <c r="AI632" s="60">
        <v>619</v>
      </c>
      <c r="AJ632" s="15">
        <f t="shared" si="66"/>
        <v>1606018</v>
      </c>
      <c r="AK632" s="15" t="str">
        <f t="shared" si="67"/>
        <v>高级神器1配件4-狱火锤Lvs19</v>
      </c>
      <c r="AL632" s="60" t="s">
        <v>645</v>
      </c>
      <c r="AM632" s="15">
        <f t="shared" si="68"/>
        <v>19</v>
      </c>
      <c r="AN632" s="15" t="str">
        <f t="shared" si="69"/>
        <v>高级神器1配件4</v>
      </c>
      <c r="AO632" s="15">
        <f>INDEX(芦花古楼!$BX$19:$BX$58,神器!AM632)</f>
        <v>10</v>
      </c>
      <c r="AP632" s="15" t="s">
        <v>88</v>
      </c>
      <c r="AQ632" s="15">
        <f t="shared" si="70"/>
        <v>8230</v>
      </c>
      <c r="AR632" s="15" t="s">
        <v>654</v>
      </c>
      <c r="AS632" s="15">
        <f t="shared" si="71"/>
        <v>174</v>
      </c>
    </row>
    <row r="633" spans="35:45" ht="16.5" x14ac:dyDescent="0.2">
      <c r="AI633" s="60">
        <v>620</v>
      </c>
      <c r="AJ633" s="15">
        <f t="shared" si="66"/>
        <v>1606018</v>
      </c>
      <c r="AK633" s="15" t="str">
        <f t="shared" si="67"/>
        <v>高级神器1配件4-狱火锤Lvs20</v>
      </c>
      <c r="AL633" s="60" t="s">
        <v>645</v>
      </c>
      <c r="AM633" s="15">
        <f t="shared" si="68"/>
        <v>20</v>
      </c>
      <c r="AN633" s="15" t="str">
        <f t="shared" si="69"/>
        <v>高级神器1配件4</v>
      </c>
      <c r="AO633" s="15">
        <f>INDEX(芦花古楼!$BX$19:$BX$58,神器!AM633)</f>
        <v>10</v>
      </c>
      <c r="AP633" s="15" t="s">
        <v>88</v>
      </c>
      <c r="AQ633" s="15">
        <f t="shared" si="70"/>
        <v>9410</v>
      </c>
      <c r="AR633" s="15" t="s">
        <v>654</v>
      </c>
      <c r="AS633" s="15">
        <f t="shared" si="71"/>
        <v>188</v>
      </c>
    </row>
    <row r="634" spans="35:45" ht="16.5" x14ac:dyDescent="0.2">
      <c r="AI634" s="60">
        <v>621</v>
      </c>
      <c r="AJ634" s="15">
        <f t="shared" si="66"/>
        <v>1606018</v>
      </c>
      <c r="AK634" s="15" t="str">
        <f t="shared" si="67"/>
        <v>高级神器1配件4-狱火锤Lvs21</v>
      </c>
      <c r="AL634" s="60" t="s">
        <v>645</v>
      </c>
      <c r="AM634" s="15">
        <f t="shared" si="68"/>
        <v>21</v>
      </c>
      <c r="AN634" s="15" t="str">
        <f t="shared" si="69"/>
        <v>高级神器1配件4</v>
      </c>
      <c r="AO634" s="15">
        <f>INDEX(芦花古楼!$BX$19:$BX$58,神器!AM634)</f>
        <v>15</v>
      </c>
      <c r="AP634" s="15" t="s">
        <v>88</v>
      </c>
      <c r="AQ634" s="15">
        <f t="shared" si="70"/>
        <v>10390</v>
      </c>
      <c r="AR634" s="15" t="s">
        <v>654</v>
      </c>
      <c r="AS634" s="15">
        <f t="shared" si="71"/>
        <v>202</v>
      </c>
    </row>
    <row r="635" spans="35:45" ht="16.5" x14ac:dyDescent="0.2">
      <c r="AI635" s="60">
        <v>622</v>
      </c>
      <c r="AJ635" s="15">
        <f t="shared" si="66"/>
        <v>1606018</v>
      </c>
      <c r="AK635" s="15" t="str">
        <f t="shared" si="67"/>
        <v>高级神器1配件4-狱火锤Lvs22</v>
      </c>
      <c r="AL635" s="60" t="s">
        <v>645</v>
      </c>
      <c r="AM635" s="15">
        <f t="shared" si="68"/>
        <v>22</v>
      </c>
      <c r="AN635" s="15" t="str">
        <f t="shared" si="69"/>
        <v>高级神器1配件4</v>
      </c>
      <c r="AO635" s="15">
        <f>INDEX(芦花古楼!$BX$19:$BX$58,神器!AM635)</f>
        <v>15</v>
      </c>
      <c r="AP635" s="15" t="s">
        <v>88</v>
      </c>
      <c r="AQ635" s="15">
        <f t="shared" si="70"/>
        <v>10910</v>
      </c>
      <c r="AR635" s="15" t="s">
        <v>654</v>
      </c>
      <c r="AS635" s="15">
        <f t="shared" si="71"/>
        <v>216</v>
      </c>
    </row>
    <row r="636" spans="35:45" ht="16.5" x14ac:dyDescent="0.2">
      <c r="AI636" s="60">
        <v>623</v>
      </c>
      <c r="AJ636" s="15">
        <f t="shared" si="66"/>
        <v>1606018</v>
      </c>
      <c r="AK636" s="15" t="str">
        <f t="shared" si="67"/>
        <v>高级神器1配件4-狱火锤Lvs23</v>
      </c>
      <c r="AL636" s="60" t="s">
        <v>645</v>
      </c>
      <c r="AM636" s="15">
        <f t="shared" si="68"/>
        <v>23</v>
      </c>
      <c r="AN636" s="15" t="str">
        <f t="shared" si="69"/>
        <v>高级神器1配件4</v>
      </c>
      <c r="AO636" s="15">
        <f>INDEX(芦花古楼!$BX$19:$BX$58,神器!AM636)</f>
        <v>15</v>
      </c>
      <c r="AP636" s="15" t="s">
        <v>88</v>
      </c>
      <c r="AQ636" s="15">
        <f t="shared" si="70"/>
        <v>11425</v>
      </c>
      <c r="AR636" s="15" t="s">
        <v>654</v>
      </c>
      <c r="AS636" s="15">
        <f t="shared" si="71"/>
        <v>232</v>
      </c>
    </row>
    <row r="637" spans="35:45" ht="16.5" x14ac:dyDescent="0.2">
      <c r="AI637" s="60">
        <v>624</v>
      </c>
      <c r="AJ637" s="15">
        <f t="shared" si="66"/>
        <v>1606018</v>
      </c>
      <c r="AK637" s="15" t="str">
        <f t="shared" si="67"/>
        <v>高级神器1配件4-狱火锤Lvs24</v>
      </c>
      <c r="AL637" s="60" t="s">
        <v>645</v>
      </c>
      <c r="AM637" s="15">
        <f t="shared" si="68"/>
        <v>24</v>
      </c>
      <c r="AN637" s="15" t="str">
        <f t="shared" si="69"/>
        <v>高级神器1配件4</v>
      </c>
      <c r="AO637" s="15">
        <f>INDEX(芦花古楼!$BX$19:$BX$58,神器!AM637)</f>
        <v>15</v>
      </c>
      <c r="AP637" s="15" t="s">
        <v>88</v>
      </c>
      <c r="AQ637" s="15">
        <f t="shared" si="70"/>
        <v>11945</v>
      </c>
      <c r="AR637" s="15" t="s">
        <v>654</v>
      </c>
      <c r="AS637" s="15">
        <f t="shared" si="71"/>
        <v>248</v>
      </c>
    </row>
    <row r="638" spans="35:45" ht="16.5" x14ac:dyDescent="0.2">
      <c r="AI638" s="60">
        <v>625</v>
      </c>
      <c r="AJ638" s="15">
        <f t="shared" si="66"/>
        <v>1606018</v>
      </c>
      <c r="AK638" s="15" t="str">
        <f t="shared" si="67"/>
        <v>高级神器1配件4-狱火锤Lvs25</v>
      </c>
      <c r="AL638" s="60" t="s">
        <v>645</v>
      </c>
      <c r="AM638" s="15">
        <f t="shared" si="68"/>
        <v>25</v>
      </c>
      <c r="AN638" s="15" t="str">
        <f t="shared" si="69"/>
        <v>高级神器1配件4</v>
      </c>
      <c r="AO638" s="15">
        <f>INDEX(芦花古楼!$BX$19:$BX$58,神器!AM638)</f>
        <v>15</v>
      </c>
      <c r="AP638" s="15" t="s">
        <v>88</v>
      </c>
      <c r="AQ638" s="15">
        <f t="shared" si="70"/>
        <v>12465</v>
      </c>
      <c r="AR638" s="15" t="s">
        <v>654</v>
      </c>
      <c r="AS638" s="15">
        <f t="shared" si="71"/>
        <v>265</v>
      </c>
    </row>
    <row r="639" spans="35:45" ht="16.5" x14ac:dyDescent="0.2">
      <c r="AI639" s="60">
        <v>626</v>
      </c>
      <c r="AJ639" s="15">
        <f t="shared" si="66"/>
        <v>1606018</v>
      </c>
      <c r="AK639" s="15" t="str">
        <f t="shared" si="67"/>
        <v>高级神器1配件4-狱火锤Lvs26</v>
      </c>
      <c r="AL639" s="60" t="s">
        <v>645</v>
      </c>
      <c r="AM639" s="15">
        <f t="shared" si="68"/>
        <v>26</v>
      </c>
      <c r="AN639" s="15" t="str">
        <f t="shared" si="69"/>
        <v>高级神器1配件4</v>
      </c>
      <c r="AO639" s="15">
        <f>INDEX(芦花古楼!$BX$19:$BX$58,神器!AM639)</f>
        <v>25</v>
      </c>
      <c r="AP639" s="15" t="s">
        <v>88</v>
      </c>
      <c r="AQ639" s="15">
        <f t="shared" si="70"/>
        <v>12985</v>
      </c>
      <c r="AR639" s="15" t="s">
        <v>654</v>
      </c>
      <c r="AS639" s="15">
        <f t="shared" si="71"/>
        <v>283</v>
      </c>
    </row>
    <row r="640" spans="35:45" ht="16.5" x14ac:dyDescent="0.2">
      <c r="AI640" s="60">
        <v>627</v>
      </c>
      <c r="AJ640" s="15">
        <f t="shared" si="66"/>
        <v>1606018</v>
      </c>
      <c r="AK640" s="15" t="str">
        <f t="shared" si="67"/>
        <v>高级神器1配件4-狱火锤Lvs27</v>
      </c>
      <c r="AL640" s="60" t="s">
        <v>645</v>
      </c>
      <c r="AM640" s="15">
        <f t="shared" si="68"/>
        <v>27</v>
      </c>
      <c r="AN640" s="15" t="str">
        <f t="shared" si="69"/>
        <v>高级神器1配件4</v>
      </c>
      <c r="AO640" s="15">
        <f>INDEX(芦花古楼!$BX$19:$BX$58,神器!AM640)</f>
        <v>25</v>
      </c>
      <c r="AP640" s="15" t="s">
        <v>88</v>
      </c>
      <c r="AQ640" s="15">
        <f t="shared" si="70"/>
        <v>13505</v>
      </c>
      <c r="AR640" s="15" t="s">
        <v>654</v>
      </c>
      <c r="AS640" s="15">
        <f t="shared" si="71"/>
        <v>302</v>
      </c>
    </row>
    <row r="641" spans="35:45" ht="16.5" x14ac:dyDescent="0.2">
      <c r="AI641" s="60">
        <v>628</v>
      </c>
      <c r="AJ641" s="15">
        <f t="shared" si="66"/>
        <v>1606018</v>
      </c>
      <c r="AK641" s="15" t="str">
        <f t="shared" si="67"/>
        <v>高级神器1配件4-狱火锤Lvs28</v>
      </c>
      <c r="AL641" s="60" t="s">
        <v>645</v>
      </c>
      <c r="AM641" s="15">
        <f t="shared" si="68"/>
        <v>28</v>
      </c>
      <c r="AN641" s="15" t="str">
        <f t="shared" si="69"/>
        <v>高级神器1配件4</v>
      </c>
      <c r="AO641" s="15">
        <f>INDEX(芦花古楼!$BX$19:$BX$58,神器!AM641)</f>
        <v>25</v>
      </c>
      <c r="AP641" s="15" t="s">
        <v>88</v>
      </c>
      <c r="AQ641" s="15">
        <f t="shared" si="70"/>
        <v>14025</v>
      </c>
      <c r="AR641" s="15" t="s">
        <v>654</v>
      </c>
      <c r="AS641" s="15">
        <f t="shared" si="71"/>
        <v>322</v>
      </c>
    </row>
    <row r="642" spans="35:45" ht="16.5" x14ac:dyDescent="0.2">
      <c r="AI642" s="60">
        <v>629</v>
      </c>
      <c r="AJ642" s="15">
        <f t="shared" si="66"/>
        <v>1606018</v>
      </c>
      <c r="AK642" s="15" t="str">
        <f t="shared" si="67"/>
        <v>高级神器1配件4-狱火锤Lvs29</v>
      </c>
      <c r="AL642" s="60" t="s">
        <v>645</v>
      </c>
      <c r="AM642" s="15">
        <f t="shared" si="68"/>
        <v>29</v>
      </c>
      <c r="AN642" s="15" t="str">
        <f t="shared" si="69"/>
        <v>高级神器1配件4</v>
      </c>
      <c r="AO642" s="15">
        <f>INDEX(芦花古楼!$BX$19:$BX$58,神器!AM642)</f>
        <v>25</v>
      </c>
      <c r="AP642" s="15" t="s">
        <v>88</v>
      </c>
      <c r="AQ642" s="15">
        <f t="shared" si="70"/>
        <v>14545</v>
      </c>
      <c r="AR642" s="15" t="s">
        <v>654</v>
      </c>
      <c r="AS642" s="15">
        <f t="shared" si="71"/>
        <v>342</v>
      </c>
    </row>
    <row r="643" spans="35:45" ht="16.5" x14ac:dyDescent="0.2">
      <c r="AI643" s="60">
        <v>630</v>
      </c>
      <c r="AJ643" s="15">
        <f t="shared" si="66"/>
        <v>1606018</v>
      </c>
      <c r="AK643" s="15" t="str">
        <f t="shared" si="67"/>
        <v>高级神器1配件4-狱火锤Lvs30</v>
      </c>
      <c r="AL643" s="60" t="s">
        <v>645</v>
      </c>
      <c r="AM643" s="15">
        <f t="shared" si="68"/>
        <v>30</v>
      </c>
      <c r="AN643" s="15" t="str">
        <f t="shared" si="69"/>
        <v>高级神器1配件4</v>
      </c>
      <c r="AO643" s="15">
        <f>INDEX(芦花古楼!$BX$19:$BX$58,神器!AM643)</f>
        <v>25</v>
      </c>
      <c r="AP643" s="15" t="s">
        <v>88</v>
      </c>
      <c r="AQ643" s="15">
        <f t="shared" si="70"/>
        <v>15585</v>
      </c>
      <c r="AR643" s="15" t="s">
        <v>654</v>
      </c>
      <c r="AS643" s="15">
        <f t="shared" si="71"/>
        <v>364</v>
      </c>
    </row>
    <row r="644" spans="35:45" ht="16.5" x14ac:dyDescent="0.2">
      <c r="AI644" s="60">
        <v>631</v>
      </c>
      <c r="AJ644" s="15">
        <f t="shared" si="66"/>
        <v>1606018</v>
      </c>
      <c r="AK644" s="15" t="str">
        <f t="shared" si="67"/>
        <v>高级神器1配件4-狱火锤Lvs31</v>
      </c>
      <c r="AL644" s="60" t="s">
        <v>645</v>
      </c>
      <c r="AM644" s="15">
        <f t="shared" si="68"/>
        <v>31</v>
      </c>
      <c r="AN644" s="15" t="str">
        <f t="shared" si="69"/>
        <v>高级神器1配件4</v>
      </c>
      <c r="AO644" s="15">
        <f>INDEX(芦花古楼!$BX$19:$BX$58,神器!AM644)</f>
        <v>30</v>
      </c>
      <c r="AP644" s="15" t="s">
        <v>88</v>
      </c>
      <c r="AQ644" s="15">
        <f t="shared" si="70"/>
        <v>15190</v>
      </c>
      <c r="AR644" s="15" t="s">
        <v>654</v>
      </c>
      <c r="AS644" s="15">
        <f t="shared" si="71"/>
        <v>387</v>
      </c>
    </row>
    <row r="645" spans="35:45" ht="16.5" x14ac:dyDescent="0.2">
      <c r="AI645" s="60">
        <v>632</v>
      </c>
      <c r="AJ645" s="15">
        <f t="shared" si="66"/>
        <v>1606018</v>
      </c>
      <c r="AK645" s="15" t="str">
        <f t="shared" si="67"/>
        <v>高级神器1配件4-狱火锤Lvs32</v>
      </c>
      <c r="AL645" s="60" t="s">
        <v>645</v>
      </c>
      <c r="AM645" s="15">
        <f t="shared" si="68"/>
        <v>32</v>
      </c>
      <c r="AN645" s="15" t="str">
        <f t="shared" si="69"/>
        <v>高级神器1配件4</v>
      </c>
      <c r="AO645" s="15">
        <f>INDEX(芦花古楼!$BX$19:$BX$58,神器!AM645)</f>
        <v>30</v>
      </c>
      <c r="AP645" s="15" t="s">
        <v>88</v>
      </c>
      <c r="AQ645" s="15">
        <f t="shared" si="70"/>
        <v>22785</v>
      </c>
      <c r="AR645" s="15" t="s">
        <v>654</v>
      </c>
      <c r="AS645" s="15">
        <f t="shared" si="71"/>
        <v>411</v>
      </c>
    </row>
    <row r="646" spans="35:45" ht="16.5" x14ac:dyDescent="0.2">
      <c r="AI646" s="60">
        <v>633</v>
      </c>
      <c r="AJ646" s="15">
        <f t="shared" si="66"/>
        <v>1606018</v>
      </c>
      <c r="AK646" s="15" t="str">
        <f t="shared" si="67"/>
        <v>高级神器1配件4-狱火锤Lvs33</v>
      </c>
      <c r="AL646" s="60" t="s">
        <v>645</v>
      </c>
      <c r="AM646" s="15">
        <f t="shared" si="68"/>
        <v>33</v>
      </c>
      <c r="AN646" s="15" t="str">
        <f t="shared" si="69"/>
        <v>高级神器1配件4</v>
      </c>
      <c r="AO646" s="15">
        <f>INDEX(芦花古楼!$BX$19:$BX$58,神器!AM646)</f>
        <v>30</v>
      </c>
      <c r="AP646" s="15" t="s">
        <v>88</v>
      </c>
      <c r="AQ646" s="15">
        <f t="shared" si="70"/>
        <v>30380</v>
      </c>
      <c r="AR646" s="15" t="s">
        <v>654</v>
      </c>
      <c r="AS646" s="15">
        <f t="shared" si="71"/>
        <v>436</v>
      </c>
    </row>
    <row r="647" spans="35:45" ht="16.5" x14ac:dyDescent="0.2">
      <c r="AI647" s="60">
        <v>634</v>
      </c>
      <c r="AJ647" s="15">
        <f t="shared" si="66"/>
        <v>1606018</v>
      </c>
      <c r="AK647" s="15" t="str">
        <f t="shared" si="67"/>
        <v>高级神器1配件4-狱火锤Lvs34</v>
      </c>
      <c r="AL647" s="60" t="s">
        <v>645</v>
      </c>
      <c r="AM647" s="15">
        <f t="shared" si="68"/>
        <v>34</v>
      </c>
      <c r="AN647" s="15" t="str">
        <f t="shared" si="69"/>
        <v>高级神器1配件4</v>
      </c>
      <c r="AO647" s="15">
        <f>INDEX(芦花古楼!$BX$19:$BX$58,神器!AM647)</f>
        <v>30</v>
      </c>
      <c r="AP647" s="15" t="s">
        <v>88</v>
      </c>
      <c r="AQ647" s="15">
        <f t="shared" si="70"/>
        <v>37975</v>
      </c>
      <c r="AR647" s="15" t="s">
        <v>654</v>
      </c>
      <c r="AS647" s="15">
        <f t="shared" si="71"/>
        <v>463</v>
      </c>
    </row>
    <row r="648" spans="35:45" ht="16.5" x14ac:dyDescent="0.2">
      <c r="AI648" s="60">
        <v>635</v>
      </c>
      <c r="AJ648" s="15">
        <f t="shared" si="66"/>
        <v>1606018</v>
      </c>
      <c r="AK648" s="15" t="str">
        <f t="shared" si="67"/>
        <v>高级神器1配件4-狱火锤Lvs35</v>
      </c>
      <c r="AL648" s="60" t="s">
        <v>645</v>
      </c>
      <c r="AM648" s="15">
        <f t="shared" si="68"/>
        <v>35</v>
      </c>
      <c r="AN648" s="15" t="str">
        <f t="shared" si="69"/>
        <v>高级神器1配件4</v>
      </c>
      <c r="AO648" s="15">
        <f>INDEX(芦花古楼!$BX$19:$BX$58,神器!AM648)</f>
        <v>30</v>
      </c>
      <c r="AP648" s="15" t="s">
        <v>88</v>
      </c>
      <c r="AQ648" s="15">
        <f t="shared" si="70"/>
        <v>45570</v>
      </c>
      <c r="AR648" s="15" t="s">
        <v>654</v>
      </c>
      <c r="AS648" s="15">
        <f t="shared" si="71"/>
        <v>491</v>
      </c>
    </row>
    <row r="649" spans="35:45" ht="16.5" x14ac:dyDescent="0.2">
      <c r="AI649" s="60">
        <v>636</v>
      </c>
      <c r="AJ649" s="15">
        <f t="shared" si="66"/>
        <v>1606018</v>
      </c>
      <c r="AK649" s="15" t="str">
        <f t="shared" si="67"/>
        <v>高级神器1配件4-狱火锤Lvs36</v>
      </c>
      <c r="AL649" s="60" t="s">
        <v>645</v>
      </c>
      <c r="AM649" s="15">
        <f t="shared" si="68"/>
        <v>36</v>
      </c>
      <c r="AN649" s="15" t="str">
        <f t="shared" si="69"/>
        <v>高级神器1配件4</v>
      </c>
      <c r="AO649" s="15">
        <f>INDEX(芦花古楼!$BX$19:$BX$58,神器!AM649)</f>
        <v>40</v>
      </c>
      <c r="AP649" s="15" t="s">
        <v>88</v>
      </c>
      <c r="AQ649" s="15">
        <f t="shared" si="70"/>
        <v>53165</v>
      </c>
      <c r="AR649" s="15" t="s">
        <v>654</v>
      </c>
      <c r="AS649" s="15">
        <f t="shared" si="71"/>
        <v>520</v>
      </c>
    </row>
    <row r="650" spans="35:45" ht="16.5" x14ac:dyDescent="0.2">
      <c r="AI650" s="60">
        <v>637</v>
      </c>
      <c r="AJ650" s="15">
        <f t="shared" si="66"/>
        <v>1606018</v>
      </c>
      <c r="AK650" s="15" t="str">
        <f t="shared" si="67"/>
        <v>高级神器1配件4-狱火锤Lvs37</v>
      </c>
      <c r="AL650" s="60" t="s">
        <v>645</v>
      </c>
      <c r="AM650" s="15">
        <f t="shared" si="68"/>
        <v>37</v>
      </c>
      <c r="AN650" s="15" t="str">
        <f t="shared" si="69"/>
        <v>高级神器1配件4</v>
      </c>
      <c r="AO650" s="15">
        <f>INDEX(芦花古楼!$BX$19:$BX$58,神器!AM650)</f>
        <v>40</v>
      </c>
      <c r="AP650" s="15" t="s">
        <v>88</v>
      </c>
      <c r="AQ650" s="15">
        <f t="shared" si="70"/>
        <v>60760</v>
      </c>
      <c r="AR650" s="15" t="s">
        <v>654</v>
      </c>
      <c r="AS650" s="15">
        <f t="shared" si="71"/>
        <v>550</v>
      </c>
    </row>
    <row r="651" spans="35:45" ht="16.5" x14ac:dyDescent="0.2">
      <c r="AI651" s="60">
        <v>638</v>
      </c>
      <c r="AJ651" s="15">
        <f t="shared" si="66"/>
        <v>1606018</v>
      </c>
      <c r="AK651" s="15" t="str">
        <f t="shared" si="67"/>
        <v>高级神器1配件4-狱火锤Lvs38</v>
      </c>
      <c r="AL651" s="60" t="s">
        <v>645</v>
      </c>
      <c r="AM651" s="15">
        <f t="shared" si="68"/>
        <v>38</v>
      </c>
      <c r="AN651" s="15" t="str">
        <f t="shared" si="69"/>
        <v>高级神器1配件4</v>
      </c>
      <c r="AO651" s="15">
        <f>INDEX(芦花古楼!$BX$19:$BX$58,神器!AM651)</f>
        <v>40</v>
      </c>
      <c r="AP651" s="15" t="s">
        <v>88</v>
      </c>
      <c r="AQ651" s="15">
        <f t="shared" si="70"/>
        <v>68355</v>
      </c>
      <c r="AR651" s="15" t="s">
        <v>654</v>
      </c>
      <c r="AS651" s="15">
        <f t="shared" si="71"/>
        <v>583</v>
      </c>
    </row>
    <row r="652" spans="35:45" ht="16.5" x14ac:dyDescent="0.2">
      <c r="AI652" s="60">
        <v>639</v>
      </c>
      <c r="AJ652" s="15">
        <f t="shared" si="66"/>
        <v>1606018</v>
      </c>
      <c r="AK652" s="15" t="str">
        <f t="shared" si="67"/>
        <v>高级神器1配件4-狱火锤Lvs39</v>
      </c>
      <c r="AL652" s="60" t="s">
        <v>645</v>
      </c>
      <c r="AM652" s="15">
        <f t="shared" si="68"/>
        <v>39</v>
      </c>
      <c r="AN652" s="15" t="str">
        <f t="shared" si="69"/>
        <v>高级神器1配件4</v>
      </c>
      <c r="AO652" s="15">
        <f>INDEX(芦花古楼!$BX$19:$BX$58,神器!AM652)</f>
        <v>40</v>
      </c>
      <c r="AP652" s="15" t="s">
        <v>88</v>
      </c>
      <c r="AQ652" s="15">
        <f t="shared" si="70"/>
        <v>75950</v>
      </c>
      <c r="AR652" s="15" t="s">
        <v>654</v>
      </c>
      <c r="AS652" s="15">
        <f t="shared" si="71"/>
        <v>616</v>
      </c>
    </row>
    <row r="653" spans="35:45" ht="16.5" x14ac:dyDescent="0.2">
      <c r="AI653" s="60">
        <v>640</v>
      </c>
      <c r="AJ653" s="15">
        <f t="shared" si="66"/>
        <v>1606018</v>
      </c>
      <c r="AK653" s="15" t="str">
        <f t="shared" si="67"/>
        <v>高级神器1配件4-狱火锤Lvs40</v>
      </c>
      <c r="AL653" s="60" t="s">
        <v>645</v>
      </c>
      <c r="AM653" s="15">
        <f t="shared" si="68"/>
        <v>40</v>
      </c>
      <c r="AN653" s="15" t="str">
        <f t="shared" si="69"/>
        <v>高级神器1配件4</v>
      </c>
      <c r="AO653" s="15">
        <f>INDEX(芦花古楼!$BX$19:$BX$58,神器!AM653)</f>
        <v>40</v>
      </c>
      <c r="AP653" s="15" t="s">
        <v>88</v>
      </c>
      <c r="AQ653" s="15">
        <f t="shared" si="70"/>
        <v>91145</v>
      </c>
      <c r="AR653" s="15" t="s">
        <v>654</v>
      </c>
      <c r="AS653" s="15">
        <f t="shared" si="71"/>
        <v>652</v>
      </c>
    </row>
    <row r="654" spans="35:45" ht="16.5" x14ac:dyDescent="0.2">
      <c r="AI654" s="60">
        <v>641</v>
      </c>
      <c r="AJ654" s="15">
        <f t="shared" si="66"/>
        <v>1606019</v>
      </c>
      <c r="AK654" s="15" t="str">
        <f t="shared" si="67"/>
        <v>高级神器1配件5-魔骨Lvs1</v>
      </c>
      <c r="AL654" s="60" t="s">
        <v>645</v>
      </c>
      <c r="AM654" s="15">
        <f t="shared" si="68"/>
        <v>1</v>
      </c>
      <c r="AN654" s="15" t="str">
        <f t="shared" si="69"/>
        <v>高级神器1配件5</v>
      </c>
      <c r="AO654" s="15">
        <f>INDEX(芦花古楼!$BX$19:$BX$58,神器!AM654)</f>
        <v>1</v>
      </c>
      <c r="AP654" s="15" t="s">
        <v>88</v>
      </c>
      <c r="AQ654" s="15">
        <f t="shared" si="70"/>
        <v>665</v>
      </c>
      <c r="AR654" s="15" t="s">
        <v>654</v>
      </c>
      <c r="AS654" s="15">
        <f t="shared" si="71"/>
        <v>25</v>
      </c>
    </row>
    <row r="655" spans="35:45" ht="16.5" x14ac:dyDescent="0.2">
      <c r="AI655" s="60">
        <v>642</v>
      </c>
      <c r="AJ655" s="15">
        <f t="shared" ref="AJ655:AJ718" si="72">INDEX($AC$4:$AC$33,INT((AI655-1)/40)+1)</f>
        <v>1606019</v>
      </c>
      <c r="AK655" s="15" t="str">
        <f t="shared" ref="AK655:AK718" si="73">INDEX($AF$4:$AF$33,INT((AI655-1)/40)+1)&amp;AL655&amp;AM655</f>
        <v>高级神器1配件5-魔骨Lvs2</v>
      </c>
      <c r="AL655" s="60" t="s">
        <v>645</v>
      </c>
      <c r="AM655" s="15">
        <f t="shared" ref="AM655:AM718" si="74">MOD(AI655-1,40)+1</f>
        <v>2</v>
      </c>
      <c r="AN655" s="15" t="str">
        <f t="shared" ref="AN655:AN718" si="75">INDEX($AD$4:$AD$33,INT((AI655-1)/40)+1)</f>
        <v>高级神器1配件5</v>
      </c>
      <c r="AO655" s="15">
        <f>INDEX(芦花古楼!$BX$19:$BX$58,神器!AM655)</f>
        <v>1</v>
      </c>
      <c r="AP655" s="15" t="s">
        <v>88</v>
      </c>
      <c r="AQ655" s="15">
        <f t="shared" ref="AQ655:AQ718" si="76">INDEX($F$14:$L$53,AM655,INDEX($AB$4:$AB$33,INT((AI655-1)/40)+1))</f>
        <v>1000</v>
      </c>
      <c r="AR655" s="15" t="s">
        <v>654</v>
      </c>
      <c r="AS655" s="15">
        <f t="shared" ref="AS655:AS718" si="77">INDEX($P$14:$V$53,AM655,INDEX($AB$4:$AB$33,INT((AI655-1)/40)+1))</f>
        <v>30</v>
      </c>
    </row>
    <row r="656" spans="35:45" ht="16.5" x14ac:dyDescent="0.2">
      <c r="AI656" s="60">
        <v>643</v>
      </c>
      <c r="AJ656" s="15">
        <f t="shared" si="72"/>
        <v>1606019</v>
      </c>
      <c r="AK656" s="15" t="str">
        <f t="shared" si="73"/>
        <v>高级神器1配件5-魔骨Lvs3</v>
      </c>
      <c r="AL656" s="60" t="s">
        <v>645</v>
      </c>
      <c r="AM656" s="15">
        <f t="shared" si="74"/>
        <v>3</v>
      </c>
      <c r="AN656" s="15" t="str">
        <f t="shared" si="75"/>
        <v>高级神器1配件5</v>
      </c>
      <c r="AO656" s="15">
        <f>INDEX(芦花古楼!$BX$19:$BX$58,神器!AM656)</f>
        <v>2</v>
      </c>
      <c r="AP656" s="15" t="s">
        <v>88</v>
      </c>
      <c r="AQ656" s="15">
        <f t="shared" si="76"/>
        <v>1335</v>
      </c>
      <c r="AR656" s="15" t="s">
        <v>654</v>
      </c>
      <c r="AS656" s="15">
        <f t="shared" si="77"/>
        <v>40</v>
      </c>
    </row>
    <row r="657" spans="35:45" ht="16.5" x14ac:dyDescent="0.2">
      <c r="AI657" s="60">
        <v>644</v>
      </c>
      <c r="AJ657" s="15">
        <f t="shared" si="72"/>
        <v>1606019</v>
      </c>
      <c r="AK657" s="15" t="str">
        <f t="shared" si="73"/>
        <v>高级神器1配件5-魔骨Lvs4</v>
      </c>
      <c r="AL657" s="60" t="s">
        <v>645</v>
      </c>
      <c r="AM657" s="15">
        <f t="shared" si="74"/>
        <v>4</v>
      </c>
      <c r="AN657" s="15" t="str">
        <f t="shared" si="75"/>
        <v>高级神器1配件5</v>
      </c>
      <c r="AO657" s="15">
        <f>INDEX(芦花古楼!$BX$19:$BX$58,神器!AM657)</f>
        <v>3</v>
      </c>
      <c r="AP657" s="15" t="s">
        <v>88</v>
      </c>
      <c r="AQ657" s="15">
        <f t="shared" si="76"/>
        <v>1670</v>
      </c>
      <c r="AR657" s="15" t="s">
        <v>654</v>
      </c>
      <c r="AS657" s="15">
        <f t="shared" si="77"/>
        <v>50</v>
      </c>
    </row>
    <row r="658" spans="35:45" ht="16.5" x14ac:dyDescent="0.2">
      <c r="AI658" s="60">
        <v>645</v>
      </c>
      <c r="AJ658" s="15">
        <f t="shared" si="72"/>
        <v>1606019</v>
      </c>
      <c r="AK658" s="15" t="str">
        <f t="shared" si="73"/>
        <v>高级神器1配件5-魔骨Lvs5</v>
      </c>
      <c r="AL658" s="60" t="s">
        <v>645</v>
      </c>
      <c r="AM658" s="15">
        <f t="shared" si="74"/>
        <v>5</v>
      </c>
      <c r="AN658" s="15" t="str">
        <f t="shared" si="75"/>
        <v>高级神器1配件5</v>
      </c>
      <c r="AO658" s="15">
        <f>INDEX(芦花古楼!$BX$19:$BX$58,神器!AM658)</f>
        <v>3</v>
      </c>
      <c r="AP658" s="15" t="s">
        <v>88</v>
      </c>
      <c r="AQ658" s="15">
        <f t="shared" si="76"/>
        <v>2005</v>
      </c>
      <c r="AR658" s="15" t="s">
        <v>654</v>
      </c>
      <c r="AS658" s="15">
        <f t="shared" si="77"/>
        <v>60</v>
      </c>
    </row>
    <row r="659" spans="35:45" ht="16.5" x14ac:dyDescent="0.2">
      <c r="AI659" s="60">
        <v>646</v>
      </c>
      <c r="AJ659" s="15">
        <f t="shared" si="72"/>
        <v>1606019</v>
      </c>
      <c r="AK659" s="15" t="str">
        <f t="shared" si="73"/>
        <v>高级神器1配件5-魔骨Lvs6</v>
      </c>
      <c r="AL659" s="60" t="s">
        <v>645</v>
      </c>
      <c r="AM659" s="15">
        <f t="shared" si="74"/>
        <v>6</v>
      </c>
      <c r="AN659" s="15" t="str">
        <f t="shared" si="75"/>
        <v>高级神器1配件5</v>
      </c>
      <c r="AO659" s="15">
        <f>INDEX(芦花古楼!$BX$19:$BX$58,神器!AM659)</f>
        <v>5</v>
      </c>
      <c r="AP659" s="15" t="s">
        <v>88</v>
      </c>
      <c r="AQ659" s="15">
        <f t="shared" si="76"/>
        <v>2340</v>
      </c>
      <c r="AR659" s="15" t="s">
        <v>654</v>
      </c>
      <c r="AS659" s="15">
        <f t="shared" si="77"/>
        <v>70</v>
      </c>
    </row>
    <row r="660" spans="35:45" ht="16.5" x14ac:dyDescent="0.2">
      <c r="AI660" s="60">
        <v>647</v>
      </c>
      <c r="AJ660" s="15">
        <f t="shared" si="72"/>
        <v>1606019</v>
      </c>
      <c r="AK660" s="15" t="str">
        <f t="shared" si="73"/>
        <v>高级神器1配件5-魔骨Lvs7</v>
      </c>
      <c r="AL660" s="60" t="s">
        <v>645</v>
      </c>
      <c r="AM660" s="15">
        <f t="shared" si="74"/>
        <v>7</v>
      </c>
      <c r="AN660" s="15" t="str">
        <f t="shared" si="75"/>
        <v>高级神器1配件5</v>
      </c>
      <c r="AO660" s="15">
        <f>INDEX(芦花古楼!$BX$19:$BX$58,神器!AM660)</f>
        <v>5</v>
      </c>
      <c r="AP660" s="15" t="s">
        <v>88</v>
      </c>
      <c r="AQ660" s="15">
        <f t="shared" si="76"/>
        <v>2675</v>
      </c>
      <c r="AR660" s="15" t="s">
        <v>654</v>
      </c>
      <c r="AS660" s="15">
        <f t="shared" si="77"/>
        <v>80</v>
      </c>
    </row>
    <row r="661" spans="35:45" ht="16.5" x14ac:dyDescent="0.2">
      <c r="AI661" s="60">
        <v>648</v>
      </c>
      <c r="AJ661" s="15">
        <f t="shared" si="72"/>
        <v>1606019</v>
      </c>
      <c r="AK661" s="15" t="str">
        <f t="shared" si="73"/>
        <v>高级神器1配件5-魔骨Lvs8</v>
      </c>
      <c r="AL661" s="60" t="s">
        <v>645</v>
      </c>
      <c r="AM661" s="15">
        <f t="shared" si="74"/>
        <v>8</v>
      </c>
      <c r="AN661" s="15" t="str">
        <f t="shared" si="75"/>
        <v>高级神器1配件5</v>
      </c>
      <c r="AO661" s="15">
        <f>INDEX(芦花古楼!$BX$19:$BX$58,神器!AM661)</f>
        <v>5</v>
      </c>
      <c r="AP661" s="15" t="s">
        <v>88</v>
      </c>
      <c r="AQ661" s="15">
        <f t="shared" si="76"/>
        <v>3010</v>
      </c>
      <c r="AR661" s="15" t="s">
        <v>654</v>
      </c>
      <c r="AS661" s="15">
        <f t="shared" si="77"/>
        <v>90</v>
      </c>
    </row>
    <row r="662" spans="35:45" ht="16.5" x14ac:dyDescent="0.2">
      <c r="AI662" s="60">
        <v>649</v>
      </c>
      <c r="AJ662" s="15">
        <f t="shared" si="72"/>
        <v>1606019</v>
      </c>
      <c r="AK662" s="15" t="str">
        <f t="shared" si="73"/>
        <v>高级神器1配件5-魔骨Lvs9</v>
      </c>
      <c r="AL662" s="60" t="s">
        <v>645</v>
      </c>
      <c r="AM662" s="15">
        <f t="shared" si="74"/>
        <v>9</v>
      </c>
      <c r="AN662" s="15" t="str">
        <f t="shared" si="75"/>
        <v>高级神器1配件5</v>
      </c>
      <c r="AO662" s="15">
        <f>INDEX(芦花古楼!$BX$19:$BX$58,神器!AM662)</f>
        <v>5</v>
      </c>
      <c r="AP662" s="15" t="s">
        <v>88</v>
      </c>
      <c r="AQ662" s="15">
        <f t="shared" si="76"/>
        <v>3345</v>
      </c>
      <c r="AR662" s="15" t="s">
        <v>654</v>
      </c>
      <c r="AS662" s="15">
        <f t="shared" si="77"/>
        <v>100</v>
      </c>
    </row>
    <row r="663" spans="35:45" ht="16.5" x14ac:dyDescent="0.2">
      <c r="AI663" s="60">
        <v>650</v>
      </c>
      <c r="AJ663" s="15">
        <f t="shared" si="72"/>
        <v>1606019</v>
      </c>
      <c r="AK663" s="15" t="str">
        <f t="shared" si="73"/>
        <v>高级神器1配件5-魔骨Lvs10</v>
      </c>
      <c r="AL663" s="60" t="s">
        <v>645</v>
      </c>
      <c r="AM663" s="15">
        <f t="shared" si="74"/>
        <v>10</v>
      </c>
      <c r="AN663" s="15" t="str">
        <f t="shared" si="75"/>
        <v>高级神器1配件5</v>
      </c>
      <c r="AO663" s="15">
        <f>INDEX(芦花古楼!$BX$19:$BX$58,神器!AM663)</f>
        <v>7</v>
      </c>
      <c r="AP663" s="15" t="s">
        <v>88</v>
      </c>
      <c r="AQ663" s="15">
        <f t="shared" si="76"/>
        <v>4015</v>
      </c>
      <c r="AR663" s="15" t="s">
        <v>654</v>
      </c>
      <c r="AS663" s="15">
        <f t="shared" si="77"/>
        <v>110</v>
      </c>
    </row>
    <row r="664" spans="35:45" ht="16.5" x14ac:dyDescent="0.2">
      <c r="AI664" s="60">
        <v>651</v>
      </c>
      <c r="AJ664" s="15">
        <f t="shared" si="72"/>
        <v>1606019</v>
      </c>
      <c r="AK664" s="15" t="str">
        <f t="shared" si="73"/>
        <v>高级神器1配件5-魔骨Lvs11</v>
      </c>
      <c r="AL664" s="60" t="s">
        <v>645</v>
      </c>
      <c r="AM664" s="15">
        <f t="shared" si="74"/>
        <v>11</v>
      </c>
      <c r="AN664" s="15" t="str">
        <f t="shared" si="75"/>
        <v>高级神器1配件5</v>
      </c>
      <c r="AO664" s="15">
        <f>INDEX(芦花古楼!$BX$19:$BX$58,神器!AM664)</f>
        <v>7</v>
      </c>
      <c r="AP664" s="15" t="s">
        <v>88</v>
      </c>
      <c r="AQ664" s="15">
        <f t="shared" si="76"/>
        <v>5040</v>
      </c>
      <c r="AR664" s="15" t="s">
        <v>654</v>
      </c>
      <c r="AS664" s="15">
        <f t="shared" si="77"/>
        <v>125</v>
      </c>
    </row>
    <row r="665" spans="35:45" ht="16.5" x14ac:dyDescent="0.2">
      <c r="AI665" s="60">
        <v>652</v>
      </c>
      <c r="AJ665" s="15">
        <f t="shared" si="72"/>
        <v>1606019</v>
      </c>
      <c r="AK665" s="15" t="str">
        <f t="shared" si="73"/>
        <v>高级神器1配件5-魔骨Lvs12</v>
      </c>
      <c r="AL665" s="60" t="s">
        <v>645</v>
      </c>
      <c r="AM665" s="15">
        <f t="shared" si="74"/>
        <v>12</v>
      </c>
      <c r="AN665" s="15" t="str">
        <f t="shared" si="75"/>
        <v>高级神器1配件5</v>
      </c>
      <c r="AO665" s="15">
        <f>INDEX(芦花古楼!$BX$19:$BX$58,神器!AM665)</f>
        <v>7</v>
      </c>
      <c r="AP665" s="15" t="s">
        <v>88</v>
      </c>
      <c r="AQ665" s="15">
        <f t="shared" si="76"/>
        <v>5880</v>
      </c>
      <c r="AR665" s="15" t="s">
        <v>654</v>
      </c>
      <c r="AS665" s="15">
        <f t="shared" si="77"/>
        <v>135</v>
      </c>
    </row>
    <row r="666" spans="35:45" ht="16.5" x14ac:dyDescent="0.2">
      <c r="AI666" s="60">
        <v>653</v>
      </c>
      <c r="AJ666" s="15">
        <f t="shared" si="72"/>
        <v>1606019</v>
      </c>
      <c r="AK666" s="15" t="str">
        <f t="shared" si="73"/>
        <v>高级神器1配件5-魔骨Lvs13</v>
      </c>
      <c r="AL666" s="60" t="s">
        <v>645</v>
      </c>
      <c r="AM666" s="15">
        <f t="shared" si="74"/>
        <v>13</v>
      </c>
      <c r="AN666" s="15" t="str">
        <f t="shared" si="75"/>
        <v>高级神器1配件5</v>
      </c>
      <c r="AO666" s="15">
        <f>INDEX(芦花古楼!$BX$19:$BX$58,神器!AM666)</f>
        <v>7</v>
      </c>
      <c r="AP666" s="15" t="s">
        <v>88</v>
      </c>
      <c r="AQ666" s="15">
        <f t="shared" si="76"/>
        <v>6720</v>
      </c>
      <c r="AR666" s="15" t="s">
        <v>654</v>
      </c>
      <c r="AS666" s="15">
        <f t="shared" si="77"/>
        <v>150</v>
      </c>
    </row>
    <row r="667" spans="35:45" ht="16.5" x14ac:dyDescent="0.2">
      <c r="AI667" s="60">
        <v>654</v>
      </c>
      <c r="AJ667" s="15">
        <f t="shared" si="72"/>
        <v>1606019</v>
      </c>
      <c r="AK667" s="15" t="str">
        <f t="shared" si="73"/>
        <v>高级神器1配件5-魔骨Lvs14</v>
      </c>
      <c r="AL667" s="60" t="s">
        <v>645</v>
      </c>
      <c r="AM667" s="15">
        <f t="shared" si="74"/>
        <v>14</v>
      </c>
      <c r="AN667" s="15" t="str">
        <f t="shared" si="75"/>
        <v>高级神器1配件5</v>
      </c>
      <c r="AO667" s="15">
        <f>INDEX(芦花古楼!$BX$19:$BX$58,神器!AM667)</f>
        <v>7</v>
      </c>
      <c r="AP667" s="15" t="s">
        <v>88</v>
      </c>
      <c r="AQ667" s="15">
        <f t="shared" si="76"/>
        <v>7560</v>
      </c>
      <c r="AR667" s="15" t="s">
        <v>654</v>
      </c>
      <c r="AS667" s="15">
        <f t="shared" si="77"/>
        <v>165</v>
      </c>
    </row>
    <row r="668" spans="35:45" ht="16.5" x14ac:dyDescent="0.2">
      <c r="AI668" s="60">
        <v>655</v>
      </c>
      <c r="AJ668" s="15">
        <f t="shared" si="72"/>
        <v>1606019</v>
      </c>
      <c r="AK668" s="15" t="str">
        <f t="shared" si="73"/>
        <v>高级神器1配件5-魔骨Lvs15</v>
      </c>
      <c r="AL668" s="60" t="s">
        <v>645</v>
      </c>
      <c r="AM668" s="15">
        <f t="shared" si="74"/>
        <v>15</v>
      </c>
      <c r="AN668" s="15" t="str">
        <f t="shared" si="75"/>
        <v>高级神器1配件5</v>
      </c>
      <c r="AO668" s="15">
        <f>INDEX(芦花古楼!$BX$19:$BX$58,神器!AM668)</f>
        <v>10</v>
      </c>
      <c r="AP668" s="15" t="s">
        <v>88</v>
      </c>
      <c r="AQ668" s="15">
        <f t="shared" si="76"/>
        <v>8400</v>
      </c>
      <c r="AR668" s="15" t="s">
        <v>654</v>
      </c>
      <c r="AS668" s="15">
        <f t="shared" si="77"/>
        <v>180</v>
      </c>
    </row>
    <row r="669" spans="35:45" ht="16.5" x14ac:dyDescent="0.2">
      <c r="AI669" s="60">
        <v>656</v>
      </c>
      <c r="AJ669" s="15">
        <f t="shared" si="72"/>
        <v>1606019</v>
      </c>
      <c r="AK669" s="15" t="str">
        <f t="shared" si="73"/>
        <v>高级神器1配件5-魔骨Lvs16</v>
      </c>
      <c r="AL669" s="60" t="s">
        <v>645</v>
      </c>
      <c r="AM669" s="15">
        <f t="shared" si="74"/>
        <v>16</v>
      </c>
      <c r="AN669" s="15" t="str">
        <f t="shared" si="75"/>
        <v>高级神器1配件5</v>
      </c>
      <c r="AO669" s="15">
        <f>INDEX(芦花古楼!$BX$19:$BX$58,神器!AM669)</f>
        <v>10</v>
      </c>
      <c r="AP669" s="15" t="s">
        <v>88</v>
      </c>
      <c r="AQ669" s="15">
        <f t="shared" si="76"/>
        <v>9240</v>
      </c>
      <c r="AR669" s="15" t="s">
        <v>654</v>
      </c>
      <c r="AS669" s="15">
        <f t="shared" si="77"/>
        <v>195</v>
      </c>
    </row>
    <row r="670" spans="35:45" ht="16.5" x14ac:dyDescent="0.2">
      <c r="AI670" s="60">
        <v>657</v>
      </c>
      <c r="AJ670" s="15">
        <f t="shared" si="72"/>
        <v>1606019</v>
      </c>
      <c r="AK670" s="15" t="str">
        <f t="shared" si="73"/>
        <v>高级神器1配件5-魔骨Lvs17</v>
      </c>
      <c r="AL670" s="60" t="s">
        <v>645</v>
      </c>
      <c r="AM670" s="15">
        <f t="shared" si="74"/>
        <v>17</v>
      </c>
      <c r="AN670" s="15" t="str">
        <f t="shared" si="75"/>
        <v>高级神器1配件5</v>
      </c>
      <c r="AO670" s="15">
        <f>INDEX(芦花古楼!$BX$19:$BX$58,神器!AM670)</f>
        <v>10</v>
      </c>
      <c r="AP670" s="15" t="s">
        <v>88</v>
      </c>
      <c r="AQ670" s="15">
        <f t="shared" si="76"/>
        <v>10080</v>
      </c>
      <c r="AR670" s="15" t="s">
        <v>654</v>
      </c>
      <c r="AS670" s="15">
        <f t="shared" si="77"/>
        <v>210</v>
      </c>
    </row>
    <row r="671" spans="35:45" ht="16.5" x14ac:dyDescent="0.2">
      <c r="AI671" s="60">
        <v>658</v>
      </c>
      <c r="AJ671" s="15">
        <f t="shared" si="72"/>
        <v>1606019</v>
      </c>
      <c r="AK671" s="15" t="str">
        <f t="shared" si="73"/>
        <v>高级神器1配件5-魔骨Lvs18</v>
      </c>
      <c r="AL671" s="60" t="s">
        <v>645</v>
      </c>
      <c r="AM671" s="15">
        <f t="shared" si="74"/>
        <v>18</v>
      </c>
      <c r="AN671" s="15" t="str">
        <f t="shared" si="75"/>
        <v>高级神器1配件5</v>
      </c>
      <c r="AO671" s="15">
        <f>INDEX(芦花古楼!$BX$19:$BX$58,神器!AM671)</f>
        <v>10</v>
      </c>
      <c r="AP671" s="15" t="s">
        <v>88</v>
      </c>
      <c r="AQ671" s="15">
        <f t="shared" si="76"/>
        <v>10920</v>
      </c>
      <c r="AR671" s="15" t="s">
        <v>654</v>
      </c>
      <c r="AS671" s="15">
        <f t="shared" si="77"/>
        <v>230</v>
      </c>
    </row>
    <row r="672" spans="35:45" ht="16.5" x14ac:dyDescent="0.2">
      <c r="AI672" s="60">
        <v>659</v>
      </c>
      <c r="AJ672" s="15">
        <f t="shared" si="72"/>
        <v>1606019</v>
      </c>
      <c r="AK672" s="15" t="str">
        <f t="shared" si="73"/>
        <v>高级神器1配件5-魔骨Lvs19</v>
      </c>
      <c r="AL672" s="60" t="s">
        <v>645</v>
      </c>
      <c r="AM672" s="15">
        <f t="shared" si="74"/>
        <v>19</v>
      </c>
      <c r="AN672" s="15" t="str">
        <f t="shared" si="75"/>
        <v>高级神器1配件5</v>
      </c>
      <c r="AO672" s="15">
        <f>INDEX(芦花古楼!$BX$19:$BX$58,神器!AM672)</f>
        <v>10</v>
      </c>
      <c r="AP672" s="15" t="s">
        <v>88</v>
      </c>
      <c r="AQ672" s="15">
        <f t="shared" si="76"/>
        <v>11760</v>
      </c>
      <c r="AR672" s="15" t="s">
        <v>654</v>
      </c>
      <c r="AS672" s="15">
        <f t="shared" si="77"/>
        <v>245</v>
      </c>
    </row>
    <row r="673" spans="35:45" ht="16.5" x14ac:dyDescent="0.2">
      <c r="AI673" s="60">
        <v>660</v>
      </c>
      <c r="AJ673" s="15">
        <f t="shared" si="72"/>
        <v>1606019</v>
      </c>
      <c r="AK673" s="15" t="str">
        <f t="shared" si="73"/>
        <v>高级神器1配件5-魔骨Lvs20</v>
      </c>
      <c r="AL673" s="60" t="s">
        <v>645</v>
      </c>
      <c r="AM673" s="15">
        <f t="shared" si="74"/>
        <v>20</v>
      </c>
      <c r="AN673" s="15" t="str">
        <f t="shared" si="75"/>
        <v>高级神器1配件5</v>
      </c>
      <c r="AO673" s="15">
        <f>INDEX(芦花古楼!$BX$19:$BX$58,神器!AM673)</f>
        <v>10</v>
      </c>
      <c r="AP673" s="15" t="s">
        <v>88</v>
      </c>
      <c r="AQ673" s="15">
        <f t="shared" si="76"/>
        <v>13440</v>
      </c>
      <c r="AR673" s="15" t="s">
        <v>654</v>
      </c>
      <c r="AS673" s="15">
        <f t="shared" si="77"/>
        <v>265</v>
      </c>
    </row>
    <row r="674" spans="35:45" ht="16.5" x14ac:dyDescent="0.2">
      <c r="AI674" s="60">
        <v>661</v>
      </c>
      <c r="AJ674" s="15">
        <f t="shared" si="72"/>
        <v>1606019</v>
      </c>
      <c r="AK674" s="15" t="str">
        <f t="shared" si="73"/>
        <v>高级神器1配件5-魔骨Lvs21</v>
      </c>
      <c r="AL674" s="60" t="s">
        <v>645</v>
      </c>
      <c r="AM674" s="15">
        <f t="shared" si="74"/>
        <v>21</v>
      </c>
      <c r="AN674" s="15" t="str">
        <f t="shared" si="75"/>
        <v>高级神器1配件5</v>
      </c>
      <c r="AO674" s="15">
        <f>INDEX(芦花古楼!$BX$19:$BX$58,神器!AM674)</f>
        <v>15</v>
      </c>
      <c r="AP674" s="15" t="s">
        <v>88</v>
      </c>
      <c r="AQ674" s="15">
        <f t="shared" si="76"/>
        <v>14840</v>
      </c>
      <c r="AR674" s="15" t="s">
        <v>654</v>
      </c>
      <c r="AS674" s="15">
        <f t="shared" si="77"/>
        <v>285</v>
      </c>
    </row>
    <row r="675" spans="35:45" ht="16.5" x14ac:dyDescent="0.2">
      <c r="AI675" s="60">
        <v>662</v>
      </c>
      <c r="AJ675" s="15">
        <f t="shared" si="72"/>
        <v>1606019</v>
      </c>
      <c r="AK675" s="15" t="str">
        <f t="shared" si="73"/>
        <v>高级神器1配件5-魔骨Lvs22</v>
      </c>
      <c r="AL675" s="60" t="s">
        <v>645</v>
      </c>
      <c r="AM675" s="15">
        <f t="shared" si="74"/>
        <v>22</v>
      </c>
      <c r="AN675" s="15" t="str">
        <f t="shared" si="75"/>
        <v>高级神器1配件5</v>
      </c>
      <c r="AO675" s="15">
        <f>INDEX(芦花古楼!$BX$19:$BX$58,神器!AM675)</f>
        <v>15</v>
      </c>
      <c r="AP675" s="15" t="s">
        <v>88</v>
      </c>
      <c r="AQ675" s="15">
        <f t="shared" si="76"/>
        <v>15585</v>
      </c>
      <c r="AR675" s="15" t="s">
        <v>654</v>
      </c>
      <c r="AS675" s="15">
        <f t="shared" si="77"/>
        <v>305</v>
      </c>
    </row>
    <row r="676" spans="35:45" ht="16.5" x14ac:dyDescent="0.2">
      <c r="AI676" s="60">
        <v>663</v>
      </c>
      <c r="AJ676" s="15">
        <f t="shared" si="72"/>
        <v>1606019</v>
      </c>
      <c r="AK676" s="15" t="str">
        <f t="shared" si="73"/>
        <v>高级神器1配件5-魔骨Lvs23</v>
      </c>
      <c r="AL676" s="60" t="s">
        <v>645</v>
      </c>
      <c r="AM676" s="15">
        <f t="shared" si="74"/>
        <v>23</v>
      </c>
      <c r="AN676" s="15" t="str">
        <f t="shared" si="75"/>
        <v>高级神器1配件5</v>
      </c>
      <c r="AO676" s="15">
        <f>INDEX(芦花古楼!$BX$19:$BX$58,神器!AM676)</f>
        <v>15</v>
      </c>
      <c r="AP676" s="15" t="s">
        <v>88</v>
      </c>
      <c r="AQ676" s="15">
        <f t="shared" si="76"/>
        <v>16325</v>
      </c>
      <c r="AR676" s="15" t="s">
        <v>654</v>
      </c>
      <c r="AS676" s="15">
        <f t="shared" si="77"/>
        <v>330</v>
      </c>
    </row>
    <row r="677" spans="35:45" ht="16.5" x14ac:dyDescent="0.2">
      <c r="AI677" s="60">
        <v>664</v>
      </c>
      <c r="AJ677" s="15">
        <f t="shared" si="72"/>
        <v>1606019</v>
      </c>
      <c r="AK677" s="15" t="str">
        <f t="shared" si="73"/>
        <v>高级神器1配件5-魔骨Lvs24</v>
      </c>
      <c r="AL677" s="60" t="s">
        <v>645</v>
      </c>
      <c r="AM677" s="15">
        <f t="shared" si="74"/>
        <v>24</v>
      </c>
      <c r="AN677" s="15" t="str">
        <f t="shared" si="75"/>
        <v>高级神器1配件5</v>
      </c>
      <c r="AO677" s="15">
        <f>INDEX(芦花古楼!$BX$19:$BX$58,神器!AM677)</f>
        <v>15</v>
      </c>
      <c r="AP677" s="15" t="s">
        <v>88</v>
      </c>
      <c r="AQ677" s="15">
        <f t="shared" si="76"/>
        <v>17070</v>
      </c>
      <c r="AR677" s="15" t="s">
        <v>654</v>
      </c>
      <c r="AS677" s="15">
        <f t="shared" si="77"/>
        <v>355</v>
      </c>
    </row>
    <row r="678" spans="35:45" ht="16.5" x14ac:dyDescent="0.2">
      <c r="AI678" s="60">
        <v>665</v>
      </c>
      <c r="AJ678" s="15">
        <f t="shared" si="72"/>
        <v>1606019</v>
      </c>
      <c r="AK678" s="15" t="str">
        <f t="shared" si="73"/>
        <v>高级神器1配件5-魔骨Lvs25</v>
      </c>
      <c r="AL678" s="60" t="s">
        <v>645</v>
      </c>
      <c r="AM678" s="15">
        <f t="shared" si="74"/>
        <v>25</v>
      </c>
      <c r="AN678" s="15" t="str">
        <f t="shared" si="75"/>
        <v>高级神器1配件5</v>
      </c>
      <c r="AO678" s="15">
        <f>INDEX(芦花古楼!$BX$19:$BX$58,神器!AM678)</f>
        <v>15</v>
      </c>
      <c r="AP678" s="15" t="s">
        <v>88</v>
      </c>
      <c r="AQ678" s="15">
        <f t="shared" si="76"/>
        <v>17810</v>
      </c>
      <c r="AR678" s="15" t="s">
        <v>654</v>
      </c>
      <c r="AS678" s="15">
        <f t="shared" si="77"/>
        <v>375</v>
      </c>
    </row>
    <row r="679" spans="35:45" ht="16.5" x14ac:dyDescent="0.2">
      <c r="AI679" s="60">
        <v>666</v>
      </c>
      <c r="AJ679" s="15">
        <f t="shared" si="72"/>
        <v>1606019</v>
      </c>
      <c r="AK679" s="15" t="str">
        <f t="shared" si="73"/>
        <v>高级神器1配件5-魔骨Lvs26</v>
      </c>
      <c r="AL679" s="60" t="s">
        <v>645</v>
      </c>
      <c r="AM679" s="15">
        <f t="shared" si="74"/>
        <v>26</v>
      </c>
      <c r="AN679" s="15" t="str">
        <f t="shared" si="75"/>
        <v>高级神器1配件5</v>
      </c>
      <c r="AO679" s="15">
        <f>INDEX(芦花古楼!$BX$19:$BX$58,神器!AM679)</f>
        <v>25</v>
      </c>
      <c r="AP679" s="15" t="s">
        <v>88</v>
      </c>
      <c r="AQ679" s="15">
        <f t="shared" si="76"/>
        <v>18550</v>
      </c>
      <c r="AR679" s="15" t="s">
        <v>654</v>
      </c>
      <c r="AS679" s="15">
        <f t="shared" si="77"/>
        <v>405</v>
      </c>
    </row>
    <row r="680" spans="35:45" ht="16.5" x14ac:dyDescent="0.2">
      <c r="AI680" s="60">
        <v>667</v>
      </c>
      <c r="AJ680" s="15">
        <f t="shared" si="72"/>
        <v>1606019</v>
      </c>
      <c r="AK680" s="15" t="str">
        <f t="shared" si="73"/>
        <v>高级神器1配件5-魔骨Lvs27</v>
      </c>
      <c r="AL680" s="60" t="s">
        <v>645</v>
      </c>
      <c r="AM680" s="15">
        <f t="shared" si="74"/>
        <v>27</v>
      </c>
      <c r="AN680" s="15" t="str">
        <f t="shared" si="75"/>
        <v>高级神器1配件5</v>
      </c>
      <c r="AO680" s="15">
        <f>INDEX(芦花古楼!$BX$19:$BX$58,神器!AM680)</f>
        <v>25</v>
      </c>
      <c r="AP680" s="15" t="s">
        <v>88</v>
      </c>
      <c r="AQ680" s="15">
        <f t="shared" si="76"/>
        <v>19295</v>
      </c>
      <c r="AR680" s="15" t="s">
        <v>654</v>
      </c>
      <c r="AS680" s="15">
        <f t="shared" si="77"/>
        <v>430</v>
      </c>
    </row>
    <row r="681" spans="35:45" ht="16.5" x14ac:dyDescent="0.2">
      <c r="AI681" s="60">
        <v>668</v>
      </c>
      <c r="AJ681" s="15">
        <f t="shared" si="72"/>
        <v>1606019</v>
      </c>
      <c r="AK681" s="15" t="str">
        <f t="shared" si="73"/>
        <v>高级神器1配件5-魔骨Lvs28</v>
      </c>
      <c r="AL681" s="60" t="s">
        <v>645</v>
      </c>
      <c r="AM681" s="15">
        <f t="shared" si="74"/>
        <v>28</v>
      </c>
      <c r="AN681" s="15" t="str">
        <f t="shared" si="75"/>
        <v>高级神器1配件5</v>
      </c>
      <c r="AO681" s="15">
        <f>INDEX(芦花古楼!$BX$19:$BX$58,神器!AM681)</f>
        <v>25</v>
      </c>
      <c r="AP681" s="15" t="s">
        <v>88</v>
      </c>
      <c r="AQ681" s="15">
        <f t="shared" si="76"/>
        <v>20035</v>
      </c>
      <c r="AR681" s="15" t="s">
        <v>654</v>
      </c>
      <c r="AS681" s="15">
        <f t="shared" si="77"/>
        <v>460</v>
      </c>
    </row>
    <row r="682" spans="35:45" ht="16.5" x14ac:dyDescent="0.2">
      <c r="AI682" s="60">
        <v>669</v>
      </c>
      <c r="AJ682" s="15">
        <f t="shared" si="72"/>
        <v>1606019</v>
      </c>
      <c r="AK682" s="15" t="str">
        <f t="shared" si="73"/>
        <v>高级神器1配件5-魔骨Lvs29</v>
      </c>
      <c r="AL682" s="60" t="s">
        <v>645</v>
      </c>
      <c r="AM682" s="15">
        <f t="shared" si="74"/>
        <v>29</v>
      </c>
      <c r="AN682" s="15" t="str">
        <f t="shared" si="75"/>
        <v>高级神器1配件5</v>
      </c>
      <c r="AO682" s="15">
        <f>INDEX(芦花古楼!$BX$19:$BX$58,神器!AM682)</f>
        <v>25</v>
      </c>
      <c r="AP682" s="15" t="s">
        <v>88</v>
      </c>
      <c r="AQ682" s="15">
        <f t="shared" si="76"/>
        <v>20780</v>
      </c>
      <c r="AR682" s="15" t="s">
        <v>654</v>
      </c>
      <c r="AS682" s="15">
        <f t="shared" si="77"/>
        <v>485</v>
      </c>
    </row>
    <row r="683" spans="35:45" ht="16.5" x14ac:dyDescent="0.2">
      <c r="AI683" s="60">
        <v>670</v>
      </c>
      <c r="AJ683" s="15">
        <f t="shared" si="72"/>
        <v>1606019</v>
      </c>
      <c r="AK683" s="15" t="str">
        <f t="shared" si="73"/>
        <v>高级神器1配件5-魔骨Lvs30</v>
      </c>
      <c r="AL683" s="60" t="s">
        <v>645</v>
      </c>
      <c r="AM683" s="15">
        <f t="shared" si="74"/>
        <v>30</v>
      </c>
      <c r="AN683" s="15" t="str">
        <f t="shared" si="75"/>
        <v>高级神器1配件5</v>
      </c>
      <c r="AO683" s="15">
        <f>INDEX(芦花古楼!$BX$19:$BX$58,神器!AM683)</f>
        <v>25</v>
      </c>
      <c r="AP683" s="15" t="s">
        <v>88</v>
      </c>
      <c r="AQ683" s="15">
        <f t="shared" si="76"/>
        <v>22265</v>
      </c>
      <c r="AR683" s="15" t="s">
        <v>654</v>
      </c>
      <c r="AS683" s="15">
        <f t="shared" si="77"/>
        <v>520</v>
      </c>
    </row>
    <row r="684" spans="35:45" ht="16.5" x14ac:dyDescent="0.2">
      <c r="AI684" s="60">
        <v>671</v>
      </c>
      <c r="AJ684" s="15">
        <f t="shared" si="72"/>
        <v>1606019</v>
      </c>
      <c r="AK684" s="15" t="str">
        <f t="shared" si="73"/>
        <v>高级神器1配件5-魔骨Lvs31</v>
      </c>
      <c r="AL684" s="60" t="s">
        <v>645</v>
      </c>
      <c r="AM684" s="15">
        <f t="shared" si="74"/>
        <v>31</v>
      </c>
      <c r="AN684" s="15" t="str">
        <f t="shared" si="75"/>
        <v>高级神器1配件5</v>
      </c>
      <c r="AO684" s="15">
        <f>INDEX(芦花古楼!$BX$19:$BX$58,神器!AM684)</f>
        <v>30</v>
      </c>
      <c r="AP684" s="15" t="s">
        <v>88</v>
      </c>
      <c r="AQ684" s="15">
        <f t="shared" si="76"/>
        <v>21700</v>
      </c>
      <c r="AR684" s="15" t="s">
        <v>654</v>
      </c>
      <c r="AS684" s="15">
        <f t="shared" si="77"/>
        <v>550</v>
      </c>
    </row>
    <row r="685" spans="35:45" ht="16.5" x14ac:dyDescent="0.2">
      <c r="AI685" s="60">
        <v>672</v>
      </c>
      <c r="AJ685" s="15">
        <f t="shared" si="72"/>
        <v>1606019</v>
      </c>
      <c r="AK685" s="15" t="str">
        <f t="shared" si="73"/>
        <v>高级神器1配件5-魔骨Lvs32</v>
      </c>
      <c r="AL685" s="60" t="s">
        <v>645</v>
      </c>
      <c r="AM685" s="15">
        <f t="shared" si="74"/>
        <v>32</v>
      </c>
      <c r="AN685" s="15" t="str">
        <f t="shared" si="75"/>
        <v>高级神器1配件5</v>
      </c>
      <c r="AO685" s="15">
        <f>INDEX(芦花古楼!$BX$19:$BX$58,神器!AM685)</f>
        <v>30</v>
      </c>
      <c r="AP685" s="15" t="s">
        <v>88</v>
      </c>
      <c r="AQ685" s="15">
        <f t="shared" si="76"/>
        <v>32550</v>
      </c>
      <c r="AR685" s="15" t="s">
        <v>654</v>
      </c>
      <c r="AS685" s="15">
        <f t="shared" si="77"/>
        <v>585</v>
      </c>
    </row>
    <row r="686" spans="35:45" ht="16.5" x14ac:dyDescent="0.2">
      <c r="AI686" s="60">
        <v>673</v>
      </c>
      <c r="AJ686" s="15">
        <f t="shared" si="72"/>
        <v>1606019</v>
      </c>
      <c r="AK686" s="15" t="str">
        <f t="shared" si="73"/>
        <v>高级神器1配件5-魔骨Lvs33</v>
      </c>
      <c r="AL686" s="60" t="s">
        <v>645</v>
      </c>
      <c r="AM686" s="15">
        <f t="shared" si="74"/>
        <v>33</v>
      </c>
      <c r="AN686" s="15" t="str">
        <f t="shared" si="75"/>
        <v>高级神器1配件5</v>
      </c>
      <c r="AO686" s="15">
        <f>INDEX(芦花古楼!$BX$19:$BX$58,神器!AM686)</f>
        <v>30</v>
      </c>
      <c r="AP686" s="15" t="s">
        <v>88</v>
      </c>
      <c r="AQ686" s="15">
        <f t="shared" si="76"/>
        <v>43400</v>
      </c>
      <c r="AR686" s="15" t="s">
        <v>654</v>
      </c>
      <c r="AS686" s="15">
        <f t="shared" si="77"/>
        <v>620</v>
      </c>
    </row>
    <row r="687" spans="35:45" ht="16.5" x14ac:dyDescent="0.2">
      <c r="AI687" s="60">
        <v>674</v>
      </c>
      <c r="AJ687" s="15">
        <f t="shared" si="72"/>
        <v>1606019</v>
      </c>
      <c r="AK687" s="15" t="str">
        <f t="shared" si="73"/>
        <v>高级神器1配件5-魔骨Lvs34</v>
      </c>
      <c r="AL687" s="60" t="s">
        <v>645</v>
      </c>
      <c r="AM687" s="15">
        <f t="shared" si="74"/>
        <v>34</v>
      </c>
      <c r="AN687" s="15" t="str">
        <f t="shared" si="75"/>
        <v>高级神器1配件5</v>
      </c>
      <c r="AO687" s="15">
        <f>INDEX(芦花古楼!$BX$19:$BX$58,神器!AM687)</f>
        <v>30</v>
      </c>
      <c r="AP687" s="15" t="s">
        <v>88</v>
      </c>
      <c r="AQ687" s="15">
        <f t="shared" si="76"/>
        <v>54250</v>
      </c>
      <c r="AR687" s="15" t="s">
        <v>654</v>
      </c>
      <c r="AS687" s="15">
        <f t="shared" si="77"/>
        <v>660</v>
      </c>
    </row>
    <row r="688" spans="35:45" ht="16.5" x14ac:dyDescent="0.2">
      <c r="AI688" s="60">
        <v>675</v>
      </c>
      <c r="AJ688" s="15">
        <f t="shared" si="72"/>
        <v>1606019</v>
      </c>
      <c r="AK688" s="15" t="str">
        <f t="shared" si="73"/>
        <v>高级神器1配件5-魔骨Lvs35</v>
      </c>
      <c r="AL688" s="60" t="s">
        <v>645</v>
      </c>
      <c r="AM688" s="15">
        <f t="shared" si="74"/>
        <v>35</v>
      </c>
      <c r="AN688" s="15" t="str">
        <f t="shared" si="75"/>
        <v>高级神器1配件5</v>
      </c>
      <c r="AO688" s="15">
        <f>INDEX(芦花古楼!$BX$19:$BX$58,神器!AM688)</f>
        <v>30</v>
      </c>
      <c r="AP688" s="15" t="s">
        <v>88</v>
      </c>
      <c r="AQ688" s="15">
        <f t="shared" si="76"/>
        <v>65100</v>
      </c>
      <c r="AR688" s="15" t="s">
        <v>654</v>
      </c>
      <c r="AS688" s="15">
        <f t="shared" si="77"/>
        <v>700</v>
      </c>
    </row>
    <row r="689" spans="35:45" ht="16.5" x14ac:dyDescent="0.2">
      <c r="AI689" s="60">
        <v>676</v>
      </c>
      <c r="AJ689" s="15">
        <f t="shared" si="72"/>
        <v>1606019</v>
      </c>
      <c r="AK689" s="15" t="str">
        <f t="shared" si="73"/>
        <v>高级神器1配件5-魔骨Lvs36</v>
      </c>
      <c r="AL689" s="60" t="s">
        <v>645</v>
      </c>
      <c r="AM689" s="15">
        <f t="shared" si="74"/>
        <v>36</v>
      </c>
      <c r="AN689" s="15" t="str">
        <f t="shared" si="75"/>
        <v>高级神器1配件5</v>
      </c>
      <c r="AO689" s="15">
        <f>INDEX(芦花古楼!$BX$19:$BX$58,神器!AM689)</f>
        <v>40</v>
      </c>
      <c r="AP689" s="15" t="s">
        <v>88</v>
      </c>
      <c r="AQ689" s="15">
        <f t="shared" si="76"/>
        <v>75950</v>
      </c>
      <c r="AR689" s="15" t="s">
        <v>654</v>
      </c>
      <c r="AS689" s="15">
        <f t="shared" si="77"/>
        <v>740</v>
      </c>
    </row>
    <row r="690" spans="35:45" ht="16.5" x14ac:dyDescent="0.2">
      <c r="AI690" s="60">
        <v>677</v>
      </c>
      <c r="AJ690" s="15">
        <f t="shared" si="72"/>
        <v>1606019</v>
      </c>
      <c r="AK690" s="15" t="str">
        <f t="shared" si="73"/>
        <v>高级神器1配件5-魔骨Lvs37</v>
      </c>
      <c r="AL690" s="60" t="s">
        <v>645</v>
      </c>
      <c r="AM690" s="15">
        <f t="shared" si="74"/>
        <v>37</v>
      </c>
      <c r="AN690" s="15" t="str">
        <f t="shared" si="75"/>
        <v>高级神器1配件5</v>
      </c>
      <c r="AO690" s="15">
        <f>INDEX(芦花古楼!$BX$19:$BX$58,神器!AM690)</f>
        <v>40</v>
      </c>
      <c r="AP690" s="15" t="s">
        <v>88</v>
      </c>
      <c r="AQ690" s="15">
        <f t="shared" si="76"/>
        <v>86805</v>
      </c>
      <c r="AR690" s="15" t="s">
        <v>654</v>
      </c>
      <c r="AS690" s="15">
        <f t="shared" si="77"/>
        <v>785</v>
      </c>
    </row>
    <row r="691" spans="35:45" ht="16.5" x14ac:dyDescent="0.2">
      <c r="AI691" s="60">
        <v>678</v>
      </c>
      <c r="AJ691" s="15">
        <f t="shared" si="72"/>
        <v>1606019</v>
      </c>
      <c r="AK691" s="15" t="str">
        <f t="shared" si="73"/>
        <v>高级神器1配件5-魔骨Lvs38</v>
      </c>
      <c r="AL691" s="60" t="s">
        <v>645</v>
      </c>
      <c r="AM691" s="15">
        <f t="shared" si="74"/>
        <v>38</v>
      </c>
      <c r="AN691" s="15" t="str">
        <f t="shared" si="75"/>
        <v>高级神器1配件5</v>
      </c>
      <c r="AO691" s="15">
        <f>INDEX(芦花古楼!$BX$19:$BX$58,神器!AM691)</f>
        <v>40</v>
      </c>
      <c r="AP691" s="15" t="s">
        <v>88</v>
      </c>
      <c r="AQ691" s="15">
        <f t="shared" si="76"/>
        <v>97655</v>
      </c>
      <c r="AR691" s="15" t="s">
        <v>654</v>
      </c>
      <c r="AS691" s="15">
        <f t="shared" si="77"/>
        <v>830</v>
      </c>
    </row>
    <row r="692" spans="35:45" ht="16.5" x14ac:dyDescent="0.2">
      <c r="AI692" s="60">
        <v>679</v>
      </c>
      <c r="AJ692" s="15">
        <f t="shared" si="72"/>
        <v>1606019</v>
      </c>
      <c r="AK692" s="15" t="str">
        <f t="shared" si="73"/>
        <v>高级神器1配件5-魔骨Lvs39</v>
      </c>
      <c r="AL692" s="60" t="s">
        <v>645</v>
      </c>
      <c r="AM692" s="15">
        <f t="shared" si="74"/>
        <v>39</v>
      </c>
      <c r="AN692" s="15" t="str">
        <f t="shared" si="75"/>
        <v>高级神器1配件5</v>
      </c>
      <c r="AO692" s="15">
        <f>INDEX(芦花古楼!$BX$19:$BX$58,神器!AM692)</f>
        <v>40</v>
      </c>
      <c r="AP692" s="15" t="s">
        <v>88</v>
      </c>
      <c r="AQ692" s="15">
        <f t="shared" si="76"/>
        <v>108505</v>
      </c>
      <c r="AR692" s="15" t="s">
        <v>654</v>
      </c>
      <c r="AS692" s="15">
        <f t="shared" si="77"/>
        <v>880</v>
      </c>
    </row>
    <row r="693" spans="35:45" ht="16.5" x14ac:dyDescent="0.2">
      <c r="AI693" s="60">
        <v>680</v>
      </c>
      <c r="AJ693" s="15">
        <f t="shared" si="72"/>
        <v>1606019</v>
      </c>
      <c r="AK693" s="15" t="str">
        <f t="shared" si="73"/>
        <v>高级神器1配件5-魔骨Lvs40</v>
      </c>
      <c r="AL693" s="60" t="s">
        <v>645</v>
      </c>
      <c r="AM693" s="15">
        <f t="shared" si="74"/>
        <v>40</v>
      </c>
      <c r="AN693" s="15" t="str">
        <f t="shared" si="75"/>
        <v>高级神器1配件5</v>
      </c>
      <c r="AO693" s="15">
        <f>INDEX(芦花古楼!$BX$19:$BX$58,神器!AM693)</f>
        <v>40</v>
      </c>
      <c r="AP693" s="15" t="s">
        <v>88</v>
      </c>
      <c r="AQ693" s="15">
        <f t="shared" si="76"/>
        <v>130205</v>
      </c>
      <c r="AR693" s="15" t="s">
        <v>654</v>
      </c>
      <c r="AS693" s="15">
        <f t="shared" si="77"/>
        <v>930</v>
      </c>
    </row>
    <row r="694" spans="35:45" ht="16.5" x14ac:dyDescent="0.2">
      <c r="AI694" s="60">
        <v>681</v>
      </c>
      <c r="AJ694" s="15">
        <f t="shared" si="72"/>
        <v>1606020</v>
      </c>
      <c r="AK694" s="15" t="str">
        <f t="shared" si="73"/>
        <v>高级神器1配件6-封魔匣Lvs1</v>
      </c>
      <c r="AL694" s="60" t="s">
        <v>645</v>
      </c>
      <c r="AM694" s="15">
        <f t="shared" si="74"/>
        <v>1</v>
      </c>
      <c r="AN694" s="15" t="str">
        <f t="shared" si="75"/>
        <v>高级神器1配件6</v>
      </c>
      <c r="AO694" s="15">
        <f>INDEX(芦花古楼!$BX$19:$BX$58,神器!AM694)</f>
        <v>1</v>
      </c>
      <c r="AP694" s="15" t="s">
        <v>88</v>
      </c>
      <c r="AQ694" s="15">
        <f t="shared" si="76"/>
        <v>665</v>
      </c>
      <c r="AR694" s="15" t="s">
        <v>654</v>
      </c>
      <c r="AS694" s="15">
        <f t="shared" si="77"/>
        <v>25</v>
      </c>
    </row>
    <row r="695" spans="35:45" ht="16.5" x14ac:dyDescent="0.2">
      <c r="AI695" s="60">
        <v>682</v>
      </c>
      <c r="AJ695" s="15">
        <f t="shared" si="72"/>
        <v>1606020</v>
      </c>
      <c r="AK695" s="15" t="str">
        <f t="shared" si="73"/>
        <v>高级神器1配件6-封魔匣Lvs2</v>
      </c>
      <c r="AL695" s="60" t="s">
        <v>645</v>
      </c>
      <c r="AM695" s="15">
        <f t="shared" si="74"/>
        <v>2</v>
      </c>
      <c r="AN695" s="15" t="str">
        <f t="shared" si="75"/>
        <v>高级神器1配件6</v>
      </c>
      <c r="AO695" s="15">
        <f>INDEX(芦花古楼!$BX$19:$BX$58,神器!AM695)</f>
        <v>1</v>
      </c>
      <c r="AP695" s="15" t="s">
        <v>88</v>
      </c>
      <c r="AQ695" s="15">
        <f t="shared" si="76"/>
        <v>1000</v>
      </c>
      <c r="AR695" s="15" t="s">
        <v>654</v>
      </c>
      <c r="AS695" s="15">
        <f t="shared" si="77"/>
        <v>30</v>
      </c>
    </row>
    <row r="696" spans="35:45" ht="16.5" x14ac:dyDescent="0.2">
      <c r="AI696" s="60">
        <v>683</v>
      </c>
      <c r="AJ696" s="15">
        <f t="shared" si="72"/>
        <v>1606020</v>
      </c>
      <c r="AK696" s="15" t="str">
        <f t="shared" si="73"/>
        <v>高级神器1配件6-封魔匣Lvs3</v>
      </c>
      <c r="AL696" s="60" t="s">
        <v>645</v>
      </c>
      <c r="AM696" s="15">
        <f t="shared" si="74"/>
        <v>3</v>
      </c>
      <c r="AN696" s="15" t="str">
        <f t="shared" si="75"/>
        <v>高级神器1配件6</v>
      </c>
      <c r="AO696" s="15">
        <f>INDEX(芦花古楼!$BX$19:$BX$58,神器!AM696)</f>
        <v>2</v>
      </c>
      <c r="AP696" s="15" t="s">
        <v>88</v>
      </c>
      <c r="AQ696" s="15">
        <f t="shared" si="76"/>
        <v>1335</v>
      </c>
      <c r="AR696" s="15" t="s">
        <v>654</v>
      </c>
      <c r="AS696" s="15">
        <f t="shared" si="77"/>
        <v>40</v>
      </c>
    </row>
    <row r="697" spans="35:45" ht="16.5" x14ac:dyDescent="0.2">
      <c r="AI697" s="60">
        <v>684</v>
      </c>
      <c r="AJ697" s="15">
        <f t="shared" si="72"/>
        <v>1606020</v>
      </c>
      <c r="AK697" s="15" t="str">
        <f t="shared" si="73"/>
        <v>高级神器1配件6-封魔匣Lvs4</v>
      </c>
      <c r="AL697" s="60" t="s">
        <v>645</v>
      </c>
      <c r="AM697" s="15">
        <f t="shared" si="74"/>
        <v>4</v>
      </c>
      <c r="AN697" s="15" t="str">
        <f t="shared" si="75"/>
        <v>高级神器1配件6</v>
      </c>
      <c r="AO697" s="15">
        <f>INDEX(芦花古楼!$BX$19:$BX$58,神器!AM697)</f>
        <v>3</v>
      </c>
      <c r="AP697" s="15" t="s">
        <v>88</v>
      </c>
      <c r="AQ697" s="15">
        <f t="shared" si="76"/>
        <v>1670</v>
      </c>
      <c r="AR697" s="15" t="s">
        <v>654</v>
      </c>
      <c r="AS697" s="15">
        <f t="shared" si="77"/>
        <v>50</v>
      </c>
    </row>
    <row r="698" spans="35:45" ht="16.5" x14ac:dyDescent="0.2">
      <c r="AI698" s="60">
        <v>685</v>
      </c>
      <c r="AJ698" s="15">
        <f t="shared" si="72"/>
        <v>1606020</v>
      </c>
      <c r="AK698" s="15" t="str">
        <f t="shared" si="73"/>
        <v>高级神器1配件6-封魔匣Lvs5</v>
      </c>
      <c r="AL698" s="60" t="s">
        <v>645</v>
      </c>
      <c r="AM698" s="15">
        <f t="shared" si="74"/>
        <v>5</v>
      </c>
      <c r="AN698" s="15" t="str">
        <f t="shared" si="75"/>
        <v>高级神器1配件6</v>
      </c>
      <c r="AO698" s="15">
        <f>INDEX(芦花古楼!$BX$19:$BX$58,神器!AM698)</f>
        <v>3</v>
      </c>
      <c r="AP698" s="15" t="s">
        <v>88</v>
      </c>
      <c r="AQ698" s="15">
        <f t="shared" si="76"/>
        <v>2005</v>
      </c>
      <c r="AR698" s="15" t="s">
        <v>654</v>
      </c>
      <c r="AS698" s="15">
        <f t="shared" si="77"/>
        <v>60</v>
      </c>
    </row>
    <row r="699" spans="35:45" ht="16.5" x14ac:dyDescent="0.2">
      <c r="AI699" s="60">
        <v>686</v>
      </c>
      <c r="AJ699" s="15">
        <f t="shared" si="72"/>
        <v>1606020</v>
      </c>
      <c r="AK699" s="15" t="str">
        <f t="shared" si="73"/>
        <v>高级神器1配件6-封魔匣Lvs6</v>
      </c>
      <c r="AL699" s="60" t="s">
        <v>645</v>
      </c>
      <c r="AM699" s="15">
        <f t="shared" si="74"/>
        <v>6</v>
      </c>
      <c r="AN699" s="15" t="str">
        <f t="shared" si="75"/>
        <v>高级神器1配件6</v>
      </c>
      <c r="AO699" s="15">
        <f>INDEX(芦花古楼!$BX$19:$BX$58,神器!AM699)</f>
        <v>5</v>
      </c>
      <c r="AP699" s="15" t="s">
        <v>88</v>
      </c>
      <c r="AQ699" s="15">
        <f t="shared" si="76"/>
        <v>2340</v>
      </c>
      <c r="AR699" s="15" t="s">
        <v>654</v>
      </c>
      <c r="AS699" s="15">
        <f t="shared" si="77"/>
        <v>70</v>
      </c>
    </row>
    <row r="700" spans="35:45" ht="16.5" x14ac:dyDescent="0.2">
      <c r="AI700" s="60">
        <v>687</v>
      </c>
      <c r="AJ700" s="15">
        <f t="shared" si="72"/>
        <v>1606020</v>
      </c>
      <c r="AK700" s="15" t="str">
        <f t="shared" si="73"/>
        <v>高级神器1配件6-封魔匣Lvs7</v>
      </c>
      <c r="AL700" s="60" t="s">
        <v>645</v>
      </c>
      <c r="AM700" s="15">
        <f t="shared" si="74"/>
        <v>7</v>
      </c>
      <c r="AN700" s="15" t="str">
        <f t="shared" si="75"/>
        <v>高级神器1配件6</v>
      </c>
      <c r="AO700" s="15">
        <f>INDEX(芦花古楼!$BX$19:$BX$58,神器!AM700)</f>
        <v>5</v>
      </c>
      <c r="AP700" s="15" t="s">
        <v>88</v>
      </c>
      <c r="AQ700" s="15">
        <f t="shared" si="76"/>
        <v>2675</v>
      </c>
      <c r="AR700" s="15" t="s">
        <v>654</v>
      </c>
      <c r="AS700" s="15">
        <f t="shared" si="77"/>
        <v>80</v>
      </c>
    </row>
    <row r="701" spans="35:45" ht="16.5" x14ac:dyDescent="0.2">
      <c r="AI701" s="60">
        <v>688</v>
      </c>
      <c r="AJ701" s="15">
        <f t="shared" si="72"/>
        <v>1606020</v>
      </c>
      <c r="AK701" s="15" t="str">
        <f t="shared" si="73"/>
        <v>高级神器1配件6-封魔匣Lvs8</v>
      </c>
      <c r="AL701" s="60" t="s">
        <v>645</v>
      </c>
      <c r="AM701" s="15">
        <f t="shared" si="74"/>
        <v>8</v>
      </c>
      <c r="AN701" s="15" t="str">
        <f t="shared" si="75"/>
        <v>高级神器1配件6</v>
      </c>
      <c r="AO701" s="15">
        <f>INDEX(芦花古楼!$BX$19:$BX$58,神器!AM701)</f>
        <v>5</v>
      </c>
      <c r="AP701" s="15" t="s">
        <v>88</v>
      </c>
      <c r="AQ701" s="15">
        <f t="shared" si="76"/>
        <v>3010</v>
      </c>
      <c r="AR701" s="15" t="s">
        <v>654</v>
      </c>
      <c r="AS701" s="15">
        <f t="shared" si="77"/>
        <v>90</v>
      </c>
    </row>
    <row r="702" spans="35:45" ht="16.5" x14ac:dyDescent="0.2">
      <c r="AI702" s="60">
        <v>689</v>
      </c>
      <c r="AJ702" s="15">
        <f t="shared" si="72"/>
        <v>1606020</v>
      </c>
      <c r="AK702" s="15" t="str">
        <f t="shared" si="73"/>
        <v>高级神器1配件6-封魔匣Lvs9</v>
      </c>
      <c r="AL702" s="60" t="s">
        <v>645</v>
      </c>
      <c r="AM702" s="15">
        <f t="shared" si="74"/>
        <v>9</v>
      </c>
      <c r="AN702" s="15" t="str">
        <f t="shared" si="75"/>
        <v>高级神器1配件6</v>
      </c>
      <c r="AO702" s="15">
        <f>INDEX(芦花古楼!$BX$19:$BX$58,神器!AM702)</f>
        <v>5</v>
      </c>
      <c r="AP702" s="15" t="s">
        <v>88</v>
      </c>
      <c r="AQ702" s="15">
        <f t="shared" si="76"/>
        <v>3345</v>
      </c>
      <c r="AR702" s="15" t="s">
        <v>654</v>
      </c>
      <c r="AS702" s="15">
        <f t="shared" si="77"/>
        <v>100</v>
      </c>
    </row>
    <row r="703" spans="35:45" ht="16.5" x14ac:dyDescent="0.2">
      <c r="AI703" s="60">
        <v>690</v>
      </c>
      <c r="AJ703" s="15">
        <f t="shared" si="72"/>
        <v>1606020</v>
      </c>
      <c r="AK703" s="15" t="str">
        <f t="shared" si="73"/>
        <v>高级神器1配件6-封魔匣Lvs10</v>
      </c>
      <c r="AL703" s="60" t="s">
        <v>645</v>
      </c>
      <c r="AM703" s="15">
        <f t="shared" si="74"/>
        <v>10</v>
      </c>
      <c r="AN703" s="15" t="str">
        <f t="shared" si="75"/>
        <v>高级神器1配件6</v>
      </c>
      <c r="AO703" s="15">
        <f>INDEX(芦花古楼!$BX$19:$BX$58,神器!AM703)</f>
        <v>7</v>
      </c>
      <c r="AP703" s="15" t="s">
        <v>88</v>
      </c>
      <c r="AQ703" s="15">
        <f t="shared" si="76"/>
        <v>4015</v>
      </c>
      <c r="AR703" s="15" t="s">
        <v>654</v>
      </c>
      <c r="AS703" s="15">
        <f t="shared" si="77"/>
        <v>110</v>
      </c>
    </row>
    <row r="704" spans="35:45" ht="16.5" x14ac:dyDescent="0.2">
      <c r="AI704" s="60">
        <v>691</v>
      </c>
      <c r="AJ704" s="15">
        <f t="shared" si="72"/>
        <v>1606020</v>
      </c>
      <c r="AK704" s="15" t="str">
        <f t="shared" si="73"/>
        <v>高级神器1配件6-封魔匣Lvs11</v>
      </c>
      <c r="AL704" s="60" t="s">
        <v>645</v>
      </c>
      <c r="AM704" s="15">
        <f t="shared" si="74"/>
        <v>11</v>
      </c>
      <c r="AN704" s="15" t="str">
        <f t="shared" si="75"/>
        <v>高级神器1配件6</v>
      </c>
      <c r="AO704" s="15">
        <f>INDEX(芦花古楼!$BX$19:$BX$58,神器!AM704)</f>
        <v>7</v>
      </c>
      <c r="AP704" s="15" t="s">
        <v>88</v>
      </c>
      <c r="AQ704" s="15">
        <f t="shared" si="76"/>
        <v>5040</v>
      </c>
      <c r="AR704" s="15" t="s">
        <v>654</v>
      </c>
      <c r="AS704" s="15">
        <f t="shared" si="77"/>
        <v>125</v>
      </c>
    </row>
    <row r="705" spans="35:45" ht="16.5" x14ac:dyDescent="0.2">
      <c r="AI705" s="60">
        <v>692</v>
      </c>
      <c r="AJ705" s="15">
        <f t="shared" si="72"/>
        <v>1606020</v>
      </c>
      <c r="AK705" s="15" t="str">
        <f t="shared" si="73"/>
        <v>高级神器1配件6-封魔匣Lvs12</v>
      </c>
      <c r="AL705" s="60" t="s">
        <v>645</v>
      </c>
      <c r="AM705" s="15">
        <f t="shared" si="74"/>
        <v>12</v>
      </c>
      <c r="AN705" s="15" t="str">
        <f t="shared" si="75"/>
        <v>高级神器1配件6</v>
      </c>
      <c r="AO705" s="15">
        <f>INDEX(芦花古楼!$BX$19:$BX$58,神器!AM705)</f>
        <v>7</v>
      </c>
      <c r="AP705" s="15" t="s">
        <v>88</v>
      </c>
      <c r="AQ705" s="15">
        <f t="shared" si="76"/>
        <v>5880</v>
      </c>
      <c r="AR705" s="15" t="s">
        <v>654</v>
      </c>
      <c r="AS705" s="15">
        <f t="shared" si="77"/>
        <v>135</v>
      </c>
    </row>
    <row r="706" spans="35:45" ht="16.5" x14ac:dyDescent="0.2">
      <c r="AI706" s="60">
        <v>693</v>
      </c>
      <c r="AJ706" s="15">
        <f t="shared" si="72"/>
        <v>1606020</v>
      </c>
      <c r="AK706" s="15" t="str">
        <f t="shared" si="73"/>
        <v>高级神器1配件6-封魔匣Lvs13</v>
      </c>
      <c r="AL706" s="60" t="s">
        <v>645</v>
      </c>
      <c r="AM706" s="15">
        <f t="shared" si="74"/>
        <v>13</v>
      </c>
      <c r="AN706" s="15" t="str">
        <f t="shared" si="75"/>
        <v>高级神器1配件6</v>
      </c>
      <c r="AO706" s="15">
        <f>INDEX(芦花古楼!$BX$19:$BX$58,神器!AM706)</f>
        <v>7</v>
      </c>
      <c r="AP706" s="15" t="s">
        <v>88</v>
      </c>
      <c r="AQ706" s="15">
        <f t="shared" si="76"/>
        <v>6720</v>
      </c>
      <c r="AR706" s="15" t="s">
        <v>654</v>
      </c>
      <c r="AS706" s="15">
        <f t="shared" si="77"/>
        <v>150</v>
      </c>
    </row>
    <row r="707" spans="35:45" ht="16.5" x14ac:dyDescent="0.2">
      <c r="AI707" s="60">
        <v>694</v>
      </c>
      <c r="AJ707" s="15">
        <f t="shared" si="72"/>
        <v>1606020</v>
      </c>
      <c r="AK707" s="15" t="str">
        <f t="shared" si="73"/>
        <v>高级神器1配件6-封魔匣Lvs14</v>
      </c>
      <c r="AL707" s="60" t="s">
        <v>645</v>
      </c>
      <c r="AM707" s="15">
        <f t="shared" si="74"/>
        <v>14</v>
      </c>
      <c r="AN707" s="15" t="str">
        <f t="shared" si="75"/>
        <v>高级神器1配件6</v>
      </c>
      <c r="AO707" s="15">
        <f>INDEX(芦花古楼!$BX$19:$BX$58,神器!AM707)</f>
        <v>7</v>
      </c>
      <c r="AP707" s="15" t="s">
        <v>88</v>
      </c>
      <c r="AQ707" s="15">
        <f t="shared" si="76"/>
        <v>7560</v>
      </c>
      <c r="AR707" s="15" t="s">
        <v>654</v>
      </c>
      <c r="AS707" s="15">
        <f t="shared" si="77"/>
        <v>165</v>
      </c>
    </row>
    <row r="708" spans="35:45" ht="16.5" x14ac:dyDescent="0.2">
      <c r="AI708" s="60">
        <v>695</v>
      </c>
      <c r="AJ708" s="15">
        <f t="shared" si="72"/>
        <v>1606020</v>
      </c>
      <c r="AK708" s="15" t="str">
        <f t="shared" si="73"/>
        <v>高级神器1配件6-封魔匣Lvs15</v>
      </c>
      <c r="AL708" s="60" t="s">
        <v>645</v>
      </c>
      <c r="AM708" s="15">
        <f t="shared" si="74"/>
        <v>15</v>
      </c>
      <c r="AN708" s="15" t="str">
        <f t="shared" si="75"/>
        <v>高级神器1配件6</v>
      </c>
      <c r="AO708" s="15">
        <f>INDEX(芦花古楼!$BX$19:$BX$58,神器!AM708)</f>
        <v>10</v>
      </c>
      <c r="AP708" s="15" t="s">
        <v>88</v>
      </c>
      <c r="AQ708" s="15">
        <f t="shared" si="76"/>
        <v>8400</v>
      </c>
      <c r="AR708" s="15" t="s">
        <v>654</v>
      </c>
      <c r="AS708" s="15">
        <f t="shared" si="77"/>
        <v>180</v>
      </c>
    </row>
    <row r="709" spans="35:45" ht="16.5" x14ac:dyDescent="0.2">
      <c r="AI709" s="60">
        <v>696</v>
      </c>
      <c r="AJ709" s="15">
        <f t="shared" si="72"/>
        <v>1606020</v>
      </c>
      <c r="AK709" s="15" t="str">
        <f t="shared" si="73"/>
        <v>高级神器1配件6-封魔匣Lvs16</v>
      </c>
      <c r="AL709" s="60" t="s">
        <v>645</v>
      </c>
      <c r="AM709" s="15">
        <f t="shared" si="74"/>
        <v>16</v>
      </c>
      <c r="AN709" s="15" t="str">
        <f t="shared" si="75"/>
        <v>高级神器1配件6</v>
      </c>
      <c r="AO709" s="15">
        <f>INDEX(芦花古楼!$BX$19:$BX$58,神器!AM709)</f>
        <v>10</v>
      </c>
      <c r="AP709" s="15" t="s">
        <v>88</v>
      </c>
      <c r="AQ709" s="15">
        <f t="shared" si="76"/>
        <v>9240</v>
      </c>
      <c r="AR709" s="15" t="s">
        <v>654</v>
      </c>
      <c r="AS709" s="15">
        <f t="shared" si="77"/>
        <v>195</v>
      </c>
    </row>
    <row r="710" spans="35:45" ht="16.5" x14ac:dyDescent="0.2">
      <c r="AI710" s="60">
        <v>697</v>
      </c>
      <c r="AJ710" s="15">
        <f t="shared" si="72"/>
        <v>1606020</v>
      </c>
      <c r="AK710" s="15" t="str">
        <f t="shared" si="73"/>
        <v>高级神器1配件6-封魔匣Lvs17</v>
      </c>
      <c r="AL710" s="60" t="s">
        <v>645</v>
      </c>
      <c r="AM710" s="15">
        <f t="shared" si="74"/>
        <v>17</v>
      </c>
      <c r="AN710" s="15" t="str">
        <f t="shared" si="75"/>
        <v>高级神器1配件6</v>
      </c>
      <c r="AO710" s="15">
        <f>INDEX(芦花古楼!$BX$19:$BX$58,神器!AM710)</f>
        <v>10</v>
      </c>
      <c r="AP710" s="15" t="s">
        <v>88</v>
      </c>
      <c r="AQ710" s="15">
        <f t="shared" si="76"/>
        <v>10080</v>
      </c>
      <c r="AR710" s="15" t="s">
        <v>654</v>
      </c>
      <c r="AS710" s="15">
        <f t="shared" si="77"/>
        <v>210</v>
      </c>
    </row>
    <row r="711" spans="35:45" ht="16.5" x14ac:dyDescent="0.2">
      <c r="AI711" s="60">
        <v>698</v>
      </c>
      <c r="AJ711" s="15">
        <f t="shared" si="72"/>
        <v>1606020</v>
      </c>
      <c r="AK711" s="15" t="str">
        <f t="shared" si="73"/>
        <v>高级神器1配件6-封魔匣Lvs18</v>
      </c>
      <c r="AL711" s="60" t="s">
        <v>645</v>
      </c>
      <c r="AM711" s="15">
        <f t="shared" si="74"/>
        <v>18</v>
      </c>
      <c r="AN711" s="15" t="str">
        <f t="shared" si="75"/>
        <v>高级神器1配件6</v>
      </c>
      <c r="AO711" s="15">
        <f>INDEX(芦花古楼!$BX$19:$BX$58,神器!AM711)</f>
        <v>10</v>
      </c>
      <c r="AP711" s="15" t="s">
        <v>88</v>
      </c>
      <c r="AQ711" s="15">
        <f t="shared" si="76"/>
        <v>10920</v>
      </c>
      <c r="AR711" s="15" t="s">
        <v>654</v>
      </c>
      <c r="AS711" s="15">
        <f t="shared" si="77"/>
        <v>230</v>
      </c>
    </row>
    <row r="712" spans="35:45" ht="16.5" x14ac:dyDescent="0.2">
      <c r="AI712" s="60">
        <v>699</v>
      </c>
      <c r="AJ712" s="15">
        <f t="shared" si="72"/>
        <v>1606020</v>
      </c>
      <c r="AK712" s="15" t="str">
        <f t="shared" si="73"/>
        <v>高级神器1配件6-封魔匣Lvs19</v>
      </c>
      <c r="AL712" s="60" t="s">
        <v>645</v>
      </c>
      <c r="AM712" s="15">
        <f t="shared" si="74"/>
        <v>19</v>
      </c>
      <c r="AN712" s="15" t="str">
        <f t="shared" si="75"/>
        <v>高级神器1配件6</v>
      </c>
      <c r="AO712" s="15">
        <f>INDEX(芦花古楼!$BX$19:$BX$58,神器!AM712)</f>
        <v>10</v>
      </c>
      <c r="AP712" s="15" t="s">
        <v>88</v>
      </c>
      <c r="AQ712" s="15">
        <f t="shared" si="76"/>
        <v>11760</v>
      </c>
      <c r="AR712" s="15" t="s">
        <v>654</v>
      </c>
      <c r="AS712" s="15">
        <f t="shared" si="77"/>
        <v>245</v>
      </c>
    </row>
    <row r="713" spans="35:45" ht="16.5" x14ac:dyDescent="0.2">
      <c r="AI713" s="60">
        <v>700</v>
      </c>
      <c r="AJ713" s="15">
        <f t="shared" si="72"/>
        <v>1606020</v>
      </c>
      <c r="AK713" s="15" t="str">
        <f t="shared" si="73"/>
        <v>高级神器1配件6-封魔匣Lvs20</v>
      </c>
      <c r="AL713" s="60" t="s">
        <v>645</v>
      </c>
      <c r="AM713" s="15">
        <f t="shared" si="74"/>
        <v>20</v>
      </c>
      <c r="AN713" s="15" t="str">
        <f t="shared" si="75"/>
        <v>高级神器1配件6</v>
      </c>
      <c r="AO713" s="15">
        <f>INDEX(芦花古楼!$BX$19:$BX$58,神器!AM713)</f>
        <v>10</v>
      </c>
      <c r="AP713" s="15" t="s">
        <v>88</v>
      </c>
      <c r="AQ713" s="15">
        <f t="shared" si="76"/>
        <v>13440</v>
      </c>
      <c r="AR713" s="15" t="s">
        <v>654</v>
      </c>
      <c r="AS713" s="15">
        <f t="shared" si="77"/>
        <v>265</v>
      </c>
    </row>
    <row r="714" spans="35:45" ht="16.5" x14ac:dyDescent="0.2">
      <c r="AI714" s="60">
        <v>701</v>
      </c>
      <c r="AJ714" s="15">
        <f t="shared" si="72"/>
        <v>1606020</v>
      </c>
      <c r="AK714" s="15" t="str">
        <f t="shared" si="73"/>
        <v>高级神器1配件6-封魔匣Lvs21</v>
      </c>
      <c r="AL714" s="60" t="s">
        <v>645</v>
      </c>
      <c r="AM714" s="15">
        <f t="shared" si="74"/>
        <v>21</v>
      </c>
      <c r="AN714" s="15" t="str">
        <f t="shared" si="75"/>
        <v>高级神器1配件6</v>
      </c>
      <c r="AO714" s="15">
        <f>INDEX(芦花古楼!$BX$19:$BX$58,神器!AM714)</f>
        <v>15</v>
      </c>
      <c r="AP714" s="15" t="s">
        <v>88</v>
      </c>
      <c r="AQ714" s="15">
        <f t="shared" si="76"/>
        <v>14840</v>
      </c>
      <c r="AR714" s="15" t="s">
        <v>654</v>
      </c>
      <c r="AS714" s="15">
        <f t="shared" si="77"/>
        <v>285</v>
      </c>
    </row>
    <row r="715" spans="35:45" ht="16.5" x14ac:dyDescent="0.2">
      <c r="AI715" s="60">
        <v>702</v>
      </c>
      <c r="AJ715" s="15">
        <f t="shared" si="72"/>
        <v>1606020</v>
      </c>
      <c r="AK715" s="15" t="str">
        <f t="shared" si="73"/>
        <v>高级神器1配件6-封魔匣Lvs22</v>
      </c>
      <c r="AL715" s="60" t="s">
        <v>645</v>
      </c>
      <c r="AM715" s="15">
        <f t="shared" si="74"/>
        <v>22</v>
      </c>
      <c r="AN715" s="15" t="str">
        <f t="shared" si="75"/>
        <v>高级神器1配件6</v>
      </c>
      <c r="AO715" s="15">
        <f>INDEX(芦花古楼!$BX$19:$BX$58,神器!AM715)</f>
        <v>15</v>
      </c>
      <c r="AP715" s="15" t="s">
        <v>88</v>
      </c>
      <c r="AQ715" s="15">
        <f t="shared" si="76"/>
        <v>15585</v>
      </c>
      <c r="AR715" s="15" t="s">
        <v>654</v>
      </c>
      <c r="AS715" s="15">
        <f t="shared" si="77"/>
        <v>305</v>
      </c>
    </row>
    <row r="716" spans="35:45" ht="16.5" x14ac:dyDescent="0.2">
      <c r="AI716" s="60">
        <v>703</v>
      </c>
      <c r="AJ716" s="15">
        <f t="shared" si="72"/>
        <v>1606020</v>
      </c>
      <c r="AK716" s="15" t="str">
        <f t="shared" si="73"/>
        <v>高级神器1配件6-封魔匣Lvs23</v>
      </c>
      <c r="AL716" s="60" t="s">
        <v>645</v>
      </c>
      <c r="AM716" s="15">
        <f t="shared" si="74"/>
        <v>23</v>
      </c>
      <c r="AN716" s="15" t="str">
        <f t="shared" si="75"/>
        <v>高级神器1配件6</v>
      </c>
      <c r="AO716" s="15">
        <f>INDEX(芦花古楼!$BX$19:$BX$58,神器!AM716)</f>
        <v>15</v>
      </c>
      <c r="AP716" s="15" t="s">
        <v>88</v>
      </c>
      <c r="AQ716" s="15">
        <f t="shared" si="76"/>
        <v>16325</v>
      </c>
      <c r="AR716" s="15" t="s">
        <v>654</v>
      </c>
      <c r="AS716" s="15">
        <f t="shared" si="77"/>
        <v>330</v>
      </c>
    </row>
    <row r="717" spans="35:45" ht="16.5" x14ac:dyDescent="0.2">
      <c r="AI717" s="60">
        <v>704</v>
      </c>
      <c r="AJ717" s="15">
        <f t="shared" si="72"/>
        <v>1606020</v>
      </c>
      <c r="AK717" s="15" t="str">
        <f t="shared" si="73"/>
        <v>高级神器1配件6-封魔匣Lvs24</v>
      </c>
      <c r="AL717" s="60" t="s">
        <v>645</v>
      </c>
      <c r="AM717" s="15">
        <f t="shared" si="74"/>
        <v>24</v>
      </c>
      <c r="AN717" s="15" t="str">
        <f t="shared" si="75"/>
        <v>高级神器1配件6</v>
      </c>
      <c r="AO717" s="15">
        <f>INDEX(芦花古楼!$BX$19:$BX$58,神器!AM717)</f>
        <v>15</v>
      </c>
      <c r="AP717" s="15" t="s">
        <v>88</v>
      </c>
      <c r="AQ717" s="15">
        <f t="shared" si="76"/>
        <v>17070</v>
      </c>
      <c r="AR717" s="15" t="s">
        <v>654</v>
      </c>
      <c r="AS717" s="15">
        <f t="shared" si="77"/>
        <v>355</v>
      </c>
    </row>
    <row r="718" spans="35:45" ht="16.5" x14ac:dyDescent="0.2">
      <c r="AI718" s="60">
        <v>705</v>
      </c>
      <c r="AJ718" s="15">
        <f t="shared" si="72"/>
        <v>1606020</v>
      </c>
      <c r="AK718" s="15" t="str">
        <f t="shared" si="73"/>
        <v>高级神器1配件6-封魔匣Lvs25</v>
      </c>
      <c r="AL718" s="60" t="s">
        <v>645</v>
      </c>
      <c r="AM718" s="15">
        <f t="shared" si="74"/>
        <v>25</v>
      </c>
      <c r="AN718" s="15" t="str">
        <f t="shared" si="75"/>
        <v>高级神器1配件6</v>
      </c>
      <c r="AO718" s="15">
        <f>INDEX(芦花古楼!$BX$19:$BX$58,神器!AM718)</f>
        <v>15</v>
      </c>
      <c r="AP718" s="15" t="s">
        <v>88</v>
      </c>
      <c r="AQ718" s="15">
        <f t="shared" si="76"/>
        <v>17810</v>
      </c>
      <c r="AR718" s="15" t="s">
        <v>654</v>
      </c>
      <c r="AS718" s="15">
        <f t="shared" si="77"/>
        <v>375</v>
      </c>
    </row>
    <row r="719" spans="35:45" ht="16.5" x14ac:dyDescent="0.2">
      <c r="AI719" s="60">
        <v>706</v>
      </c>
      <c r="AJ719" s="15">
        <f t="shared" ref="AJ719:AJ782" si="78">INDEX($AC$4:$AC$33,INT((AI719-1)/40)+1)</f>
        <v>1606020</v>
      </c>
      <c r="AK719" s="15" t="str">
        <f t="shared" ref="AK719:AK782" si="79">INDEX($AF$4:$AF$33,INT((AI719-1)/40)+1)&amp;AL719&amp;AM719</f>
        <v>高级神器1配件6-封魔匣Lvs26</v>
      </c>
      <c r="AL719" s="60" t="s">
        <v>645</v>
      </c>
      <c r="AM719" s="15">
        <f t="shared" ref="AM719:AM782" si="80">MOD(AI719-1,40)+1</f>
        <v>26</v>
      </c>
      <c r="AN719" s="15" t="str">
        <f t="shared" ref="AN719:AN782" si="81">INDEX($AD$4:$AD$33,INT((AI719-1)/40)+1)</f>
        <v>高级神器1配件6</v>
      </c>
      <c r="AO719" s="15">
        <f>INDEX(芦花古楼!$BX$19:$BX$58,神器!AM719)</f>
        <v>25</v>
      </c>
      <c r="AP719" s="15" t="s">
        <v>88</v>
      </c>
      <c r="AQ719" s="15">
        <f t="shared" ref="AQ719:AQ782" si="82">INDEX($F$14:$L$53,AM719,INDEX($AB$4:$AB$33,INT((AI719-1)/40)+1))</f>
        <v>18550</v>
      </c>
      <c r="AR719" s="15" t="s">
        <v>654</v>
      </c>
      <c r="AS719" s="15">
        <f t="shared" ref="AS719:AS782" si="83">INDEX($P$14:$V$53,AM719,INDEX($AB$4:$AB$33,INT((AI719-1)/40)+1))</f>
        <v>405</v>
      </c>
    </row>
    <row r="720" spans="35:45" ht="16.5" x14ac:dyDescent="0.2">
      <c r="AI720" s="60">
        <v>707</v>
      </c>
      <c r="AJ720" s="15">
        <f t="shared" si="78"/>
        <v>1606020</v>
      </c>
      <c r="AK720" s="15" t="str">
        <f t="shared" si="79"/>
        <v>高级神器1配件6-封魔匣Lvs27</v>
      </c>
      <c r="AL720" s="60" t="s">
        <v>645</v>
      </c>
      <c r="AM720" s="15">
        <f t="shared" si="80"/>
        <v>27</v>
      </c>
      <c r="AN720" s="15" t="str">
        <f t="shared" si="81"/>
        <v>高级神器1配件6</v>
      </c>
      <c r="AO720" s="15">
        <f>INDEX(芦花古楼!$BX$19:$BX$58,神器!AM720)</f>
        <v>25</v>
      </c>
      <c r="AP720" s="15" t="s">
        <v>88</v>
      </c>
      <c r="AQ720" s="15">
        <f t="shared" si="82"/>
        <v>19295</v>
      </c>
      <c r="AR720" s="15" t="s">
        <v>654</v>
      </c>
      <c r="AS720" s="15">
        <f t="shared" si="83"/>
        <v>430</v>
      </c>
    </row>
    <row r="721" spans="35:45" ht="16.5" x14ac:dyDescent="0.2">
      <c r="AI721" s="60">
        <v>708</v>
      </c>
      <c r="AJ721" s="15">
        <f t="shared" si="78"/>
        <v>1606020</v>
      </c>
      <c r="AK721" s="15" t="str">
        <f t="shared" si="79"/>
        <v>高级神器1配件6-封魔匣Lvs28</v>
      </c>
      <c r="AL721" s="60" t="s">
        <v>645</v>
      </c>
      <c r="AM721" s="15">
        <f t="shared" si="80"/>
        <v>28</v>
      </c>
      <c r="AN721" s="15" t="str">
        <f t="shared" si="81"/>
        <v>高级神器1配件6</v>
      </c>
      <c r="AO721" s="15">
        <f>INDEX(芦花古楼!$BX$19:$BX$58,神器!AM721)</f>
        <v>25</v>
      </c>
      <c r="AP721" s="15" t="s">
        <v>88</v>
      </c>
      <c r="AQ721" s="15">
        <f t="shared" si="82"/>
        <v>20035</v>
      </c>
      <c r="AR721" s="15" t="s">
        <v>654</v>
      </c>
      <c r="AS721" s="15">
        <f t="shared" si="83"/>
        <v>460</v>
      </c>
    </row>
    <row r="722" spans="35:45" ht="16.5" x14ac:dyDescent="0.2">
      <c r="AI722" s="60">
        <v>709</v>
      </c>
      <c r="AJ722" s="15">
        <f t="shared" si="78"/>
        <v>1606020</v>
      </c>
      <c r="AK722" s="15" t="str">
        <f t="shared" si="79"/>
        <v>高级神器1配件6-封魔匣Lvs29</v>
      </c>
      <c r="AL722" s="60" t="s">
        <v>645</v>
      </c>
      <c r="AM722" s="15">
        <f t="shared" si="80"/>
        <v>29</v>
      </c>
      <c r="AN722" s="15" t="str">
        <f t="shared" si="81"/>
        <v>高级神器1配件6</v>
      </c>
      <c r="AO722" s="15">
        <f>INDEX(芦花古楼!$BX$19:$BX$58,神器!AM722)</f>
        <v>25</v>
      </c>
      <c r="AP722" s="15" t="s">
        <v>88</v>
      </c>
      <c r="AQ722" s="15">
        <f t="shared" si="82"/>
        <v>20780</v>
      </c>
      <c r="AR722" s="15" t="s">
        <v>654</v>
      </c>
      <c r="AS722" s="15">
        <f t="shared" si="83"/>
        <v>485</v>
      </c>
    </row>
    <row r="723" spans="35:45" ht="16.5" x14ac:dyDescent="0.2">
      <c r="AI723" s="60">
        <v>710</v>
      </c>
      <c r="AJ723" s="15">
        <f t="shared" si="78"/>
        <v>1606020</v>
      </c>
      <c r="AK723" s="15" t="str">
        <f t="shared" si="79"/>
        <v>高级神器1配件6-封魔匣Lvs30</v>
      </c>
      <c r="AL723" s="60" t="s">
        <v>645</v>
      </c>
      <c r="AM723" s="15">
        <f t="shared" si="80"/>
        <v>30</v>
      </c>
      <c r="AN723" s="15" t="str">
        <f t="shared" si="81"/>
        <v>高级神器1配件6</v>
      </c>
      <c r="AO723" s="15">
        <f>INDEX(芦花古楼!$BX$19:$BX$58,神器!AM723)</f>
        <v>25</v>
      </c>
      <c r="AP723" s="15" t="s">
        <v>88</v>
      </c>
      <c r="AQ723" s="15">
        <f t="shared" si="82"/>
        <v>22265</v>
      </c>
      <c r="AR723" s="15" t="s">
        <v>654</v>
      </c>
      <c r="AS723" s="15">
        <f t="shared" si="83"/>
        <v>520</v>
      </c>
    </row>
    <row r="724" spans="35:45" ht="16.5" x14ac:dyDescent="0.2">
      <c r="AI724" s="60">
        <v>711</v>
      </c>
      <c r="AJ724" s="15">
        <f t="shared" si="78"/>
        <v>1606020</v>
      </c>
      <c r="AK724" s="15" t="str">
        <f t="shared" si="79"/>
        <v>高级神器1配件6-封魔匣Lvs31</v>
      </c>
      <c r="AL724" s="60" t="s">
        <v>645</v>
      </c>
      <c r="AM724" s="15">
        <f t="shared" si="80"/>
        <v>31</v>
      </c>
      <c r="AN724" s="15" t="str">
        <f t="shared" si="81"/>
        <v>高级神器1配件6</v>
      </c>
      <c r="AO724" s="15">
        <f>INDEX(芦花古楼!$BX$19:$BX$58,神器!AM724)</f>
        <v>30</v>
      </c>
      <c r="AP724" s="15" t="s">
        <v>88</v>
      </c>
      <c r="AQ724" s="15">
        <f t="shared" si="82"/>
        <v>21700</v>
      </c>
      <c r="AR724" s="15" t="s">
        <v>654</v>
      </c>
      <c r="AS724" s="15">
        <f t="shared" si="83"/>
        <v>550</v>
      </c>
    </row>
    <row r="725" spans="35:45" ht="16.5" x14ac:dyDescent="0.2">
      <c r="AI725" s="60">
        <v>712</v>
      </c>
      <c r="AJ725" s="15">
        <f t="shared" si="78"/>
        <v>1606020</v>
      </c>
      <c r="AK725" s="15" t="str">
        <f t="shared" si="79"/>
        <v>高级神器1配件6-封魔匣Lvs32</v>
      </c>
      <c r="AL725" s="60" t="s">
        <v>645</v>
      </c>
      <c r="AM725" s="15">
        <f t="shared" si="80"/>
        <v>32</v>
      </c>
      <c r="AN725" s="15" t="str">
        <f t="shared" si="81"/>
        <v>高级神器1配件6</v>
      </c>
      <c r="AO725" s="15">
        <f>INDEX(芦花古楼!$BX$19:$BX$58,神器!AM725)</f>
        <v>30</v>
      </c>
      <c r="AP725" s="15" t="s">
        <v>88</v>
      </c>
      <c r="AQ725" s="15">
        <f t="shared" si="82"/>
        <v>32550</v>
      </c>
      <c r="AR725" s="15" t="s">
        <v>654</v>
      </c>
      <c r="AS725" s="15">
        <f t="shared" si="83"/>
        <v>585</v>
      </c>
    </row>
    <row r="726" spans="35:45" ht="16.5" x14ac:dyDescent="0.2">
      <c r="AI726" s="60">
        <v>713</v>
      </c>
      <c r="AJ726" s="15">
        <f t="shared" si="78"/>
        <v>1606020</v>
      </c>
      <c r="AK726" s="15" t="str">
        <f t="shared" si="79"/>
        <v>高级神器1配件6-封魔匣Lvs33</v>
      </c>
      <c r="AL726" s="60" t="s">
        <v>645</v>
      </c>
      <c r="AM726" s="15">
        <f t="shared" si="80"/>
        <v>33</v>
      </c>
      <c r="AN726" s="15" t="str">
        <f t="shared" si="81"/>
        <v>高级神器1配件6</v>
      </c>
      <c r="AO726" s="15">
        <f>INDEX(芦花古楼!$BX$19:$BX$58,神器!AM726)</f>
        <v>30</v>
      </c>
      <c r="AP726" s="15" t="s">
        <v>88</v>
      </c>
      <c r="AQ726" s="15">
        <f t="shared" si="82"/>
        <v>43400</v>
      </c>
      <c r="AR726" s="15" t="s">
        <v>654</v>
      </c>
      <c r="AS726" s="15">
        <f t="shared" si="83"/>
        <v>620</v>
      </c>
    </row>
    <row r="727" spans="35:45" ht="16.5" x14ac:dyDescent="0.2">
      <c r="AI727" s="60">
        <v>714</v>
      </c>
      <c r="AJ727" s="15">
        <f t="shared" si="78"/>
        <v>1606020</v>
      </c>
      <c r="AK727" s="15" t="str">
        <f t="shared" si="79"/>
        <v>高级神器1配件6-封魔匣Lvs34</v>
      </c>
      <c r="AL727" s="60" t="s">
        <v>645</v>
      </c>
      <c r="AM727" s="15">
        <f t="shared" si="80"/>
        <v>34</v>
      </c>
      <c r="AN727" s="15" t="str">
        <f t="shared" si="81"/>
        <v>高级神器1配件6</v>
      </c>
      <c r="AO727" s="15">
        <f>INDEX(芦花古楼!$BX$19:$BX$58,神器!AM727)</f>
        <v>30</v>
      </c>
      <c r="AP727" s="15" t="s">
        <v>88</v>
      </c>
      <c r="AQ727" s="15">
        <f t="shared" si="82"/>
        <v>54250</v>
      </c>
      <c r="AR727" s="15" t="s">
        <v>654</v>
      </c>
      <c r="AS727" s="15">
        <f t="shared" si="83"/>
        <v>660</v>
      </c>
    </row>
    <row r="728" spans="35:45" ht="16.5" x14ac:dyDescent="0.2">
      <c r="AI728" s="60">
        <v>715</v>
      </c>
      <c r="AJ728" s="15">
        <f t="shared" si="78"/>
        <v>1606020</v>
      </c>
      <c r="AK728" s="15" t="str">
        <f t="shared" si="79"/>
        <v>高级神器1配件6-封魔匣Lvs35</v>
      </c>
      <c r="AL728" s="60" t="s">
        <v>645</v>
      </c>
      <c r="AM728" s="15">
        <f t="shared" si="80"/>
        <v>35</v>
      </c>
      <c r="AN728" s="15" t="str">
        <f t="shared" si="81"/>
        <v>高级神器1配件6</v>
      </c>
      <c r="AO728" s="15">
        <f>INDEX(芦花古楼!$BX$19:$BX$58,神器!AM728)</f>
        <v>30</v>
      </c>
      <c r="AP728" s="15" t="s">
        <v>88</v>
      </c>
      <c r="AQ728" s="15">
        <f t="shared" si="82"/>
        <v>65100</v>
      </c>
      <c r="AR728" s="15" t="s">
        <v>654</v>
      </c>
      <c r="AS728" s="15">
        <f t="shared" si="83"/>
        <v>700</v>
      </c>
    </row>
    <row r="729" spans="35:45" ht="16.5" x14ac:dyDescent="0.2">
      <c r="AI729" s="60">
        <v>716</v>
      </c>
      <c r="AJ729" s="15">
        <f t="shared" si="78"/>
        <v>1606020</v>
      </c>
      <c r="AK729" s="15" t="str">
        <f t="shared" si="79"/>
        <v>高级神器1配件6-封魔匣Lvs36</v>
      </c>
      <c r="AL729" s="60" t="s">
        <v>645</v>
      </c>
      <c r="AM729" s="15">
        <f t="shared" si="80"/>
        <v>36</v>
      </c>
      <c r="AN729" s="15" t="str">
        <f t="shared" si="81"/>
        <v>高级神器1配件6</v>
      </c>
      <c r="AO729" s="15">
        <f>INDEX(芦花古楼!$BX$19:$BX$58,神器!AM729)</f>
        <v>40</v>
      </c>
      <c r="AP729" s="15" t="s">
        <v>88</v>
      </c>
      <c r="AQ729" s="15">
        <f t="shared" si="82"/>
        <v>75950</v>
      </c>
      <c r="AR729" s="15" t="s">
        <v>654</v>
      </c>
      <c r="AS729" s="15">
        <f t="shared" si="83"/>
        <v>740</v>
      </c>
    </row>
    <row r="730" spans="35:45" ht="16.5" x14ac:dyDescent="0.2">
      <c r="AI730" s="60">
        <v>717</v>
      </c>
      <c r="AJ730" s="15">
        <f t="shared" si="78"/>
        <v>1606020</v>
      </c>
      <c r="AK730" s="15" t="str">
        <f t="shared" si="79"/>
        <v>高级神器1配件6-封魔匣Lvs37</v>
      </c>
      <c r="AL730" s="60" t="s">
        <v>645</v>
      </c>
      <c r="AM730" s="15">
        <f t="shared" si="80"/>
        <v>37</v>
      </c>
      <c r="AN730" s="15" t="str">
        <f t="shared" si="81"/>
        <v>高级神器1配件6</v>
      </c>
      <c r="AO730" s="15">
        <f>INDEX(芦花古楼!$BX$19:$BX$58,神器!AM730)</f>
        <v>40</v>
      </c>
      <c r="AP730" s="15" t="s">
        <v>88</v>
      </c>
      <c r="AQ730" s="15">
        <f t="shared" si="82"/>
        <v>86805</v>
      </c>
      <c r="AR730" s="15" t="s">
        <v>654</v>
      </c>
      <c r="AS730" s="15">
        <f t="shared" si="83"/>
        <v>785</v>
      </c>
    </row>
    <row r="731" spans="35:45" ht="16.5" x14ac:dyDescent="0.2">
      <c r="AI731" s="60">
        <v>718</v>
      </c>
      <c r="AJ731" s="15">
        <f t="shared" si="78"/>
        <v>1606020</v>
      </c>
      <c r="AK731" s="15" t="str">
        <f t="shared" si="79"/>
        <v>高级神器1配件6-封魔匣Lvs38</v>
      </c>
      <c r="AL731" s="60" t="s">
        <v>645</v>
      </c>
      <c r="AM731" s="15">
        <f t="shared" si="80"/>
        <v>38</v>
      </c>
      <c r="AN731" s="15" t="str">
        <f t="shared" si="81"/>
        <v>高级神器1配件6</v>
      </c>
      <c r="AO731" s="15">
        <f>INDEX(芦花古楼!$BX$19:$BX$58,神器!AM731)</f>
        <v>40</v>
      </c>
      <c r="AP731" s="15" t="s">
        <v>88</v>
      </c>
      <c r="AQ731" s="15">
        <f t="shared" si="82"/>
        <v>97655</v>
      </c>
      <c r="AR731" s="15" t="s">
        <v>654</v>
      </c>
      <c r="AS731" s="15">
        <f t="shared" si="83"/>
        <v>830</v>
      </c>
    </row>
    <row r="732" spans="35:45" ht="16.5" x14ac:dyDescent="0.2">
      <c r="AI732" s="60">
        <v>719</v>
      </c>
      <c r="AJ732" s="15">
        <f t="shared" si="78"/>
        <v>1606020</v>
      </c>
      <c r="AK732" s="15" t="str">
        <f t="shared" si="79"/>
        <v>高级神器1配件6-封魔匣Lvs39</v>
      </c>
      <c r="AL732" s="60" t="s">
        <v>645</v>
      </c>
      <c r="AM732" s="15">
        <f t="shared" si="80"/>
        <v>39</v>
      </c>
      <c r="AN732" s="15" t="str">
        <f t="shared" si="81"/>
        <v>高级神器1配件6</v>
      </c>
      <c r="AO732" s="15">
        <f>INDEX(芦花古楼!$BX$19:$BX$58,神器!AM732)</f>
        <v>40</v>
      </c>
      <c r="AP732" s="15" t="s">
        <v>88</v>
      </c>
      <c r="AQ732" s="15">
        <f t="shared" si="82"/>
        <v>108505</v>
      </c>
      <c r="AR732" s="15" t="s">
        <v>654</v>
      </c>
      <c r="AS732" s="15">
        <f t="shared" si="83"/>
        <v>880</v>
      </c>
    </row>
    <row r="733" spans="35:45" ht="16.5" x14ac:dyDescent="0.2">
      <c r="AI733" s="60">
        <v>720</v>
      </c>
      <c r="AJ733" s="15">
        <f t="shared" si="78"/>
        <v>1606020</v>
      </c>
      <c r="AK733" s="15" t="str">
        <f t="shared" si="79"/>
        <v>高级神器1配件6-封魔匣Lvs40</v>
      </c>
      <c r="AL733" s="60" t="s">
        <v>645</v>
      </c>
      <c r="AM733" s="15">
        <f t="shared" si="80"/>
        <v>40</v>
      </c>
      <c r="AN733" s="15" t="str">
        <f t="shared" si="81"/>
        <v>高级神器1配件6</v>
      </c>
      <c r="AO733" s="15">
        <f>INDEX(芦花古楼!$BX$19:$BX$58,神器!AM733)</f>
        <v>40</v>
      </c>
      <c r="AP733" s="15" t="s">
        <v>88</v>
      </c>
      <c r="AQ733" s="15">
        <f t="shared" si="82"/>
        <v>130205</v>
      </c>
      <c r="AR733" s="15" t="s">
        <v>654</v>
      </c>
      <c r="AS733" s="15">
        <f t="shared" si="83"/>
        <v>930</v>
      </c>
    </row>
    <row r="734" spans="35:45" ht="16.5" x14ac:dyDescent="0.2">
      <c r="AI734" s="60">
        <v>721</v>
      </c>
      <c r="AJ734" s="15">
        <f t="shared" si="78"/>
        <v>1606021</v>
      </c>
      <c r="AK734" s="15" t="str">
        <f t="shared" si="79"/>
        <v>高级神器2配件1-龙雀刀鞘Lvs1</v>
      </c>
      <c r="AL734" s="60" t="s">
        <v>645</v>
      </c>
      <c r="AM734" s="15">
        <f t="shared" si="80"/>
        <v>1</v>
      </c>
      <c r="AN734" s="15" t="str">
        <f t="shared" si="81"/>
        <v>高级神器2配件1</v>
      </c>
      <c r="AO734" s="15">
        <f>INDEX(芦花古楼!$BX$19:$BX$58,神器!AM734)</f>
        <v>1</v>
      </c>
      <c r="AP734" s="15" t="s">
        <v>88</v>
      </c>
      <c r="AQ734" s="15">
        <f t="shared" si="82"/>
        <v>130</v>
      </c>
      <c r="AR734" s="15" t="s">
        <v>654</v>
      </c>
      <c r="AS734" s="15">
        <f t="shared" si="83"/>
        <v>5</v>
      </c>
    </row>
    <row r="735" spans="35:45" ht="16.5" x14ac:dyDescent="0.2">
      <c r="AI735" s="60">
        <v>722</v>
      </c>
      <c r="AJ735" s="15">
        <f t="shared" si="78"/>
        <v>1606021</v>
      </c>
      <c r="AK735" s="15" t="str">
        <f t="shared" si="79"/>
        <v>高级神器2配件1-龙雀刀鞘Lvs2</v>
      </c>
      <c r="AL735" s="60" t="s">
        <v>645</v>
      </c>
      <c r="AM735" s="15">
        <f t="shared" si="80"/>
        <v>2</v>
      </c>
      <c r="AN735" s="15" t="str">
        <f t="shared" si="81"/>
        <v>高级神器2配件1</v>
      </c>
      <c r="AO735" s="15">
        <f>INDEX(芦花古楼!$BX$19:$BX$58,神器!AM735)</f>
        <v>1</v>
      </c>
      <c r="AP735" s="15" t="s">
        <v>88</v>
      </c>
      <c r="AQ735" s="15">
        <f t="shared" si="82"/>
        <v>200</v>
      </c>
      <c r="AR735" s="15" t="s">
        <v>654</v>
      </c>
      <c r="AS735" s="15">
        <f t="shared" si="83"/>
        <v>6</v>
      </c>
    </row>
    <row r="736" spans="35:45" ht="16.5" x14ac:dyDescent="0.2">
      <c r="AI736" s="60">
        <v>723</v>
      </c>
      <c r="AJ736" s="15">
        <f t="shared" si="78"/>
        <v>1606021</v>
      </c>
      <c r="AK736" s="15" t="str">
        <f t="shared" si="79"/>
        <v>高级神器2配件1-龙雀刀鞘Lvs3</v>
      </c>
      <c r="AL736" s="60" t="s">
        <v>645</v>
      </c>
      <c r="AM736" s="15">
        <f t="shared" si="80"/>
        <v>3</v>
      </c>
      <c r="AN736" s="15" t="str">
        <f t="shared" si="81"/>
        <v>高级神器2配件1</v>
      </c>
      <c r="AO736" s="15">
        <f>INDEX(芦花古楼!$BX$19:$BX$58,神器!AM736)</f>
        <v>2</v>
      </c>
      <c r="AP736" s="15" t="s">
        <v>88</v>
      </c>
      <c r="AQ736" s="15">
        <f t="shared" si="82"/>
        <v>265</v>
      </c>
      <c r="AR736" s="15" t="s">
        <v>654</v>
      </c>
      <c r="AS736" s="15">
        <f t="shared" si="83"/>
        <v>8</v>
      </c>
    </row>
    <row r="737" spans="35:45" ht="16.5" x14ac:dyDescent="0.2">
      <c r="AI737" s="60">
        <v>724</v>
      </c>
      <c r="AJ737" s="15">
        <f t="shared" si="78"/>
        <v>1606021</v>
      </c>
      <c r="AK737" s="15" t="str">
        <f t="shared" si="79"/>
        <v>高级神器2配件1-龙雀刀鞘Lvs4</v>
      </c>
      <c r="AL737" s="60" t="s">
        <v>645</v>
      </c>
      <c r="AM737" s="15">
        <f t="shared" si="80"/>
        <v>4</v>
      </c>
      <c r="AN737" s="15" t="str">
        <f t="shared" si="81"/>
        <v>高级神器2配件1</v>
      </c>
      <c r="AO737" s="15">
        <f>INDEX(芦花古楼!$BX$19:$BX$58,神器!AM737)</f>
        <v>3</v>
      </c>
      <c r="AP737" s="15" t="s">
        <v>88</v>
      </c>
      <c r="AQ737" s="15">
        <f t="shared" si="82"/>
        <v>330</v>
      </c>
      <c r="AR737" s="15" t="s">
        <v>654</v>
      </c>
      <c r="AS737" s="15">
        <f t="shared" si="83"/>
        <v>10</v>
      </c>
    </row>
    <row r="738" spans="35:45" ht="16.5" x14ac:dyDescent="0.2">
      <c r="AI738" s="60">
        <v>725</v>
      </c>
      <c r="AJ738" s="15">
        <f t="shared" si="78"/>
        <v>1606021</v>
      </c>
      <c r="AK738" s="15" t="str">
        <f t="shared" si="79"/>
        <v>高级神器2配件1-龙雀刀鞘Lvs5</v>
      </c>
      <c r="AL738" s="60" t="s">
        <v>645</v>
      </c>
      <c r="AM738" s="15">
        <f t="shared" si="80"/>
        <v>5</v>
      </c>
      <c r="AN738" s="15" t="str">
        <f t="shared" si="81"/>
        <v>高级神器2配件1</v>
      </c>
      <c r="AO738" s="15">
        <f>INDEX(芦花古楼!$BX$19:$BX$58,神器!AM738)</f>
        <v>3</v>
      </c>
      <c r="AP738" s="15" t="s">
        <v>88</v>
      </c>
      <c r="AQ738" s="15">
        <f t="shared" si="82"/>
        <v>400</v>
      </c>
      <c r="AR738" s="15" t="s">
        <v>654</v>
      </c>
      <c r="AS738" s="15">
        <f t="shared" si="83"/>
        <v>12</v>
      </c>
    </row>
    <row r="739" spans="35:45" ht="16.5" x14ac:dyDescent="0.2">
      <c r="AI739" s="60">
        <v>726</v>
      </c>
      <c r="AJ739" s="15">
        <f t="shared" si="78"/>
        <v>1606021</v>
      </c>
      <c r="AK739" s="15" t="str">
        <f t="shared" si="79"/>
        <v>高级神器2配件1-龙雀刀鞘Lvs6</v>
      </c>
      <c r="AL739" s="60" t="s">
        <v>645</v>
      </c>
      <c r="AM739" s="15">
        <f t="shared" si="80"/>
        <v>6</v>
      </c>
      <c r="AN739" s="15" t="str">
        <f t="shared" si="81"/>
        <v>高级神器2配件1</v>
      </c>
      <c r="AO739" s="15">
        <f>INDEX(芦花古楼!$BX$19:$BX$58,神器!AM739)</f>
        <v>5</v>
      </c>
      <c r="AP739" s="15" t="s">
        <v>88</v>
      </c>
      <c r="AQ739" s="15">
        <f t="shared" si="82"/>
        <v>465</v>
      </c>
      <c r="AR739" s="15" t="s">
        <v>654</v>
      </c>
      <c r="AS739" s="15">
        <f t="shared" si="83"/>
        <v>14</v>
      </c>
    </row>
    <row r="740" spans="35:45" ht="16.5" x14ac:dyDescent="0.2">
      <c r="AI740" s="60">
        <v>727</v>
      </c>
      <c r="AJ740" s="15">
        <f t="shared" si="78"/>
        <v>1606021</v>
      </c>
      <c r="AK740" s="15" t="str">
        <f t="shared" si="79"/>
        <v>高级神器2配件1-龙雀刀鞘Lvs7</v>
      </c>
      <c r="AL740" s="60" t="s">
        <v>645</v>
      </c>
      <c r="AM740" s="15">
        <f t="shared" si="80"/>
        <v>7</v>
      </c>
      <c r="AN740" s="15" t="str">
        <f t="shared" si="81"/>
        <v>高级神器2配件1</v>
      </c>
      <c r="AO740" s="15">
        <f>INDEX(芦花古楼!$BX$19:$BX$58,神器!AM740)</f>
        <v>5</v>
      </c>
      <c r="AP740" s="15" t="s">
        <v>88</v>
      </c>
      <c r="AQ740" s="15">
        <f t="shared" si="82"/>
        <v>535</v>
      </c>
      <c r="AR740" s="15" t="s">
        <v>654</v>
      </c>
      <c r="AS740" s="15">
        <f t="shared" si="83"/>
        <v>16</v>
      </c>
    </row>
    <row r="741" spans="35:45" ht="16.5" x14ac:dyDescent="0.2">
      <c r="AI741" s="60">
        <v>728</v>
      </c>
      <c r="AJ741" s="15">
        <f t="shared" si="78"/>
        <v>1606021</v>
      </c>
      <c r="AK741" s="15" t="str">
        <f t="shared" si="79"/>
        <v>高级神器2配件1-龙雀刀鞘Lvs8</v>
      </c>
      <c r="AL741" s="60" t="s">
        <v>645</v>
      </c>
      <c r="AM741" s="15">
        <f t="shared" si="80"/>
        <v>8</v>
      </c>
      <c r="AN741" s="15" t="str">
        <f t="shared" si="81"/>
        <v>高级神器2配件1</v>
      </c>
      <c r="AO741" s="15">
        <f>INDEX(芦花古楼!$BX$19:$BX$58,神器!AM741)</f>
        <v>5</v>
      </c>
      <c r="AP741" s="15" t="s">
        <v>88</v>
      </c>
      <c r="AQ741" s="15">
        <f t="shared" si="82"/>
        <v>600</v>
      </c>
      <c r="AR741" s="15" t="s">
        <v>654</v>
      </c>
      <c r="AS741" s="15">
        <f t="shared" si="83"/>
        <v>18</v>
      </c>
    </row>
    <row r="742" spans="35:45" ht="16.5" x14ac:dyDescent="0.2">
      <c r="AI742" s="60">
        <v>729</v>
      </c>
      <c r="AJ742" s="15">
        <f t="shared" si="78"/>
        <v>1606021</v>
      </c>
      <c r="AK742" s="15" t="str">
        <f t="shared" si="79"/>
        <v>高级神器2配件1-龙雀刀鞘Lvs9</v>
      </c>
      <c r="AL742" s="60" t="s">
        <v>645</v>
      </c>
      <c r="AM742" s="15">
        <f t="shared" si="80"/>
        <v>9</v>
      </c>
      <c r="AN742" s="15" t="str">
        <f t="shared" si="81"/>
        <v>高级神器2配件1</v>
      </c>
      <c r="AO742" s="15">
        <f>INDEX(芦花古楼!$BX$19:$BX$58,神器!AM742)</f>
        <v>5</v>
      </c>
      <c r="AP742" s="15" t="s">
        <v>88</v>
      </c>
      <c r="AQ742" s="15">
        <f t="shared" si="82"/>
        <v>665</v>
      </c>
      <c r="AR742" s="15" t="s">
        <v>654</v>
      </c>
      <c r="AS742" s="15">
        <f t="shared" si="83"/>
        <v>20</v>
      </c>
    </row>
    <row r="743" spans="35:45" ht="16.5" x14ac:dyDescent="0.2">
      <c r="AI743" s="60">
        <v>730</v>
      </c>
      <c r="AJ743" s="15">
        <f t="shared" si="78"/>
        <v>1606021</v>
      </c>
      <c r="AK743" s="15" t="str">
        <f t="shared" si="79"/>
        <v>高级神器2配件1-龙雀刀鞘Lvs10</v>
      </c>
      <c r="AL743" s="60" t="s">
        <v>645</v>
      </c>
      <c r="AM743" s="15">
        <f t="shared" si="80"/>
        <v>10</v>
      </c>
      <c r="AN743" s="15" t="str">
        <f t="shared" si="81"/>
        <v>高级神器2配件1</v>
      </c>
      <c r="AO743" s="15">
        <f>INDEX(芦花古楼!$BX$19:$BX$58,神器!AM743)</f>
        <v>7</v>
      </c>
      <c r="AP743" s="15" t="s">
        <v>88</v>
      </c>
      <c r="AQ743" s="15">
        <f t="shared" si="82"/>
        <v>800</v>
      </c>
      <c r="AR743" s="15" t="s">
        <v>654</v>
      </c>
      <c r="AS743" s="15">
        <f t="shared" si="83"/>
        <v>22</v>
      </c>
    </row>
    <row r="744" spans="35:45" ht="16.5" x14ac:dyDescent="0.2">
      <c r="AI744" s="60">
        <v>731</v>
      </c>
      <c r="AJ744" s="15">
        <f t="shared" si="78"/>
        <v>1606021</v>
      </c>
      <c r="AK744" s="15" t="str">
        <f t="shared" si="79"/>
        <v>高级神器2配件1-龙雀刀鞘Lvs11</v>
      </c>
      <c r="AL744" s="60" t="s">
        <v>645</v>
      </c>
      <c r="AM744" s="15">
        <f t="shared" si="80"/>
        <v>11</v>
      </c>
      <c r="AN744" s="15" t="str">
        <f t="shared" si="81"/>
        <v>高级神器2配件1</v>
      </c>
      <c r="AO744" s="15">
        <f>INDEX(芦花古楼!$BX$19:$BX$58,神器!AM744)</f>
        <v>7</v>
      </c>
      <c r="AP744" s="15" t="s">
        <v>88</v>
      </c>
      <c r="AQ744" s="15">
        <f t="shared" si="82"/>
        <v>1005</v>
      </c>
      <c r="AR744" s="15" t="s">
        <v>654</v>
      </c>
      <c r="AS744" s="15">
        <f t="shared" si="83"/>
        <v>25</v>
      </c>
    </row>
    <row r="745" spans="35:45" ht="16.5" x14ac:dyDescent="0.2">
      <c r="AI745" s="60">
        <v>732</v>
      </c>
      <c r="AJ745" s="15">
        <f t="shared" si="78"/>
        <v>1606021</v>
      </c>
      <c r="AK745" s="15" t="str">
        <f t="shared" si="79"/>
        <v>高级神器2配件1-龙雀刀鞘Lvs12</v>
      </c>
      <c r="AL745" s="60" t="s">
        <v>645</v>
      </c>
      <c r="AM745" s="15">
        <f t="shared" si="80"/>
        <v>12</v>
      </c>
      <c r="AN745" s="15" t="str">
        <f t="shared" si="81"/>
        <v>高级神器2配件1</v>
      </c>
      <c r="AO745" s="15">
        <f>INDEX(芦花古楼!$BX$19:$BX$58,神器!AM745)</f>
        <v>7</v>
      </c>
      <c r="AP745" s="15" t="s">
        <v>88</v>
      </c>
      <c r="AQ745" s="15">
        <f t="shared" si="82"/>
        <v>1175</v>
      </c>
      <c r="AR745" s="15" t="s">
        <v>654</v>
      </c>
      <c r="AS745" s="15">
        <f t="shared" si="83"/>
        <v>27</v>
      </c>
    </row>
    <row r="746" spans="35:45" ht="16.5" x14ac:dyDescent="0.2">
      <c r="AI746" s="60">
        <v>733</v>
      </c>
      <c r="AJ746" s="15">
        <f t="shared" si="78"/>
        <v>1606021</v>
      </c>
      <c r="AK746" s="15" t="str">
        <f t="shared" si="79"/>
        <v>高级神器2配件1-龙雀刀鞘Lvs13</v>
      </c>
      <c r="AL746" s="60" t="s">
        <v>645</v>
      </c>
      <c r="AM746" s="15">
        <f t="shared" si="80"/>
        <v>13</v>
      </c>
      <c r="AN746" s="15" t="str">
        <f t="shared" si="81"/>
        <v>高级神器2配件1</v>
      </c>
      <c r="AO746" s="15">
        <f>INDEX(芦花古楼!$BX$19:$BX$58,神器!AM746)</f>
        <v>7</v>
      </c>
      <c r="AP746" s="15" t="s">
        <v>88</v>
      </c>
      <c r="AQ746" s="15">
        <f t="shared" si="82"/>
        <v>1340</v>
      </c>
      <c r="AR746" s="15" t="s">
        <v>654</v>
      </c>
      <c r="AS746" s="15">
        <f t="shared" si="83"/>
        <v>30</v>
      </c>
    </row>
    <row r="747" spans="35:45" ht="16.5" x14ac:dyDescent="0.2">
      <c r="AI747" s="60">
        <v>734</v>
      </c>
      <c r="AJ747" s="15">
        <f t="shared" si="78"/>
        <v>1606021</v>
      </c>
      <c r="AK747" s="15" t="str">
        <f t="shared" si="79"/>
        <v>高级神器2配件1-龙雀刀鞘Lvs14</v>
      </c>
      <c r="AL747" s="60" t="s">
        <v>645</v>
      </c>
      <c r="AM747" s="15">
        <f t="shared" si="80"/>
        <v>14</v>
      </c>
      <c r="AN747" s="15" t="str">
        <f t="shared" si="81"/>
        <v>高级神器2配件1</v>
      </c>
      <c r="AO747" s="15">
        <f>INDEX(芦花古楼!$BX$19:$BX$58,神器!AM747)</f>
        <v>7</v>
      </c>
      <c r="AP747" s="15" t="s">
        <v>88</v>
      </c>
      <c r="AQ747" s="15">
        <f t="shared" si="82"/>
        <v>1510</v>
      </c>
      <c r="AR747" s="15" t="s">
        <v>654</v>
      </c>
      <c r="AS747" s="15">
        <f t="shared" si="83"/>
        <v>33</v>
      </c>
    </row>
    <row r="748" spans="35:45" ht="16.5" x14ac:dyDescent="0.2">
      <c r="AI748" s="60">
        <v>735</v>
      </c>
      <c r="AJ748" s="15">
        <f t="shared" si="78"/>
        <v>1606021</v>
      </c>
      <c r="AK748" s="15" t="str">
        <f t="shared" si="79"/>
        <v>高级神器2配件1-龙雀刀鞘Lvs15</v>
      </c>
      <c r="AL748" s="60" t="s">
        <v>645</v>
      </c>
      <c r="AM748" s="15">
        <f t="shared" si="80"/>
        <v>15</v>
      </c>
      <c r="AN748" s="15" t="str">
        <f t="shared" si="81"/>
        <v>高级神器2配件1</v>
      </c>
      <c r="AO748" s="15">
        <f>INDEX(芦花古楼!$BX$19:$BX$58,神器!AM748)</f>
        <v>10</v>
      </c>
      <c r="AP748" s="15" t="s">
        <v>88</v>
      </c>
      <c r="AQ748" s="15">
        <f t="shared" si="82"/>
        <v>1680</v>
      </c>
      <c r="AR748" s="15" t="s">
        <v>654</v>
      </c>
      <c r="AS748" s="15">
        <f t="shared" si="83"/>
        <v>36</v>
      </c>
    </row>
    <row r="749" spans="35:45" ht="16.5" x14ac:dyDescent="0.2">
      <c r="AI749" s="60">
        <v>736</v>
      </c>
      <c r="AJ749" s="15">
        <f t="shared" si="78"/>
        <v>1606021</v>
      </c>
      <c r="AK749" s="15" t="str">
        <f t="shared" si="79"/>
        <v>高级神器2配件1-龙雀刀鞘Lvs16</v>
      </c>
      <c r="AL749" s="60" t="s">
        <v>645</v>
      </c>
      <c r="AM749" s="15">
        <f t="shared" si="80"/>
        <v>16</v>
      </c>
      <c r="AN749" s="15" t="str">
        <f t="shared" si="81"/>
        <v>高级神器2配件1</v>
      </c>
      <c r="AO749" s="15">
        <f>INDEX(芦花古楼!$BX$19:$BX$58,神器!AM749)</f>
        <v>10</v>
      </c>
      <c r="AP749" s="15" t="s">
        <v>88</v>
      </c>
      <c r="AQ749" s="15">
        <f t="shared" si="82"/>
        <v>1845</v>
      </c>
      <c r="AR749" s="15" t="s">
        <v>654</v>
      </c>
      <c r="AS749" s="15">
        <f t="shared" si="83"/>
        <v>39</v>
      </c>
    </row>
    <row r="750" spans="35:45" ht="16.5" x14ac:dyDescent="0.2">
      <c r="AI750" s="60">
        <v>737</v>
      </c>
      <c r="AJ750" s="15">
        <f t="shared" si="78"/>
        <v>1606021</v>
      </c>
      <c r="AK750" s="15" t="str">
        <f t="shared" si="79"/>
        <v>高级神器2配件1-龙雀刀鞘Lvs17</v>
      </c>
      <c r="AL750" s="60" t="s">
        <v>645</v>
      </c>
      <c r="AM750" s="15">
        <f t="shared" si="80"/>
        <v>17</v>
      </c>
      <c r="AN750" s="15" t="str">
        <f t="shared" si="81"/>
        <v>高级神器2配件1</v>
      </c>
      <c r="AO750" s="15">
        <f>INDEX(芦花古楼!$BX$19:$BX$58,神器!AM750)</f>
        <v>10</v>
      </c>
      <c r="AP750" s="15" t="s">
        <v>88</v>
      </c>
      <c r="AQ750" s="15">
        <f t="shared" si="82"/>
        <v>2015</v>
      </c>
      <c r="AR750" s="15" t="s">
        <v>654</v>
      </c>
      <c r="AS750" s="15">
        <f t="shared" si="83"/>
        <v>42</v>
      </c>
    </row>
    <row r="751" spans="35:45" ht="16.5" x14ac:dyDescent="0.2">
      <c r="AI751" s="60">
        <v>738</v>
      </c>
      <c r="AJ751" s="15">
        <f t="shared" si="78"/>
        <v>1606021</v>
      </c>
      <c r="AK751" s="15" t="str">
        <f t="shared" si="79"/>
        <v>高级神器2配件1-龙雀刀鞘Lvs18</v>
      </c>
      <c r="AL751" s="60" t="s">
        <v>645</v>
      </c>
      <c r="AM751" s="15">
        <f t="shared" si="80"/>
        <v>18</v>
      </c>
      <c r="AN751" s="15" t="str">
        <f t="shared" si="81"/>
        <v>高级神器2配件1</v>
      </c>
      <c r="AO751" s="15">
        <f>INDEX(芦花古楼!$BX$19:$BX$58,神器!AM751)</f>
        <v>10</v>
      </c>
      <c r="AP751" s="15" t="s">
        <v>88</v>
      </c>
      <c r="AQ751" s="15">
        <f t="shared" si="82"/>
        <v>2180</v>
      </c>
      <c r="AR751" s="15" t="s">
        <v>654</v>
      </c>
      <c r="AS751" s="15">
        <f t="shared" si="83"/>
        <v>46</v>
      </c>
    </row>
    <row r="752" spans="35:45" ht="16.5" x14ac:dyDescent="0.2">
      <c r="AI752" s="60">
        <v>739</v>
      </c>
      <c r="AJ752" s="15">
        <f t="shared" si="78"/>
        <v>1606021</v>
      </c>
      <c r="AK752" s="15" t="str">
        <f t="shared" si="79"/>
        <v>高级神器2配件1-龙雀刀鞘Lvs19</v>
      </c>
      <c r="AL752" s="60" t="s">
        <v>645</v>
      </c>
      <c r="AM752" s="15">
        <f t="shared" si="80"/>
        <v>19</v>
      </c>
      <c r="AN752" s="15" t="str">
        <f t="shared" si="81"/>
        <v>高级神器2配件1</v>
      </c>
      <c r="AO752" s="15">
        <f>INDEX(芦花古楼!$BX$19:$BX$58,神器!AM752)</f>
        <v>10</v>
      </c>
      <c r="AP752" s="15" t="s">
        <v>88</v>
      </c>
      <c r="AQ752" s="15">
        <f t="shared" si="82"/>
        <v>2350</v>
      </c>
      <c r="AR752" s="15" t="s">
        <v>654</v>
      </c>
      <c r="AS752" s="15">
        <f t="shared" si="83"/>
        <v>49</v>
      </c>
    </row>
    <row r="753" spans="35:45" ht="16.5" x14ac:dyDescent="0.2">
      <c r="AI753" s="60">
        <v>740</v>
      </c>
      <c r="AJ753" s="15">
        <f t="shared" si="78"/>
        <v>1606021</v>
      </c>
      <c r="AK753" s="15" t="str">
        <f t="shared" si="79"/>
        <v>高级神器2配件1-龙雀刀鞘Lvs20</v>
      </c>
      <c r="AL753" s="60" t="s">
        <v>645</v>
      </c>
      <c r="AM753" s="15">
        <f t="shared" si="80"/>
        <v>20</v>
      </c>
      <c r="AN753" s="15" t="str">
        <f t="shared" si="81"/>
        <v>高级神器2配件1</v>
      </c>
      <c r="AO753" s="15">
        <f>INDEX(芦花古楼!$BX$19:$BX$58,神器!AM753)</f>
        <v>10</v>
      </c>
      <c r="AP753" s="15" t="s">
        <v>88</v>
      </c>
      <c r="AQ753" s="15">
        <f t="shared" si="82"/>
        <v>2685</v>
      </c>
      <c r="AR753" s="15" t="s">
        <v>654</v>
      </c>
      <c r="AS753" s="15">
        <f t="shared" si="83"/>
        <v>53</v>
      </c>
    </row>
    <row r="754" spans="35:45" ht="16.5" x14ac:dyDescent="0.2">
      <c r="AI754" s="60">
        <v>741</v>
      </c>
      <c r="AJ754" s="15">
        <f t="shared" si="78"/>
        <v>1606021</v>
      </c>
      <c r="AK754" s="15" t="str">
        <f t="shared" si="79"/>
        <v>高级神器2配件1-龙雀刀鞘Lvs21</v>
      </c>
      <c r="AL754" s="60" t="s">
        <v>645</v>
      </c>
      <c r="AM754" s="15">
        <f t="shared" si="80"/>
        <v>21</v>
      </c>
      <c r="AN754" s="15" t="str">
        <f t="shared" si="81"/>
        <v>高级神器2配件1</v>
      </c>
      <c r="AO754" s="15">
        <f>INDEX(芦花古楼!$BX$19:$BX$58,神器!AM754)</f>
        <v>15</v>
      </c>
      <c r="AP754" s="15" t="s">
        <v>88</v>
      </c>
      <c r="AQ754" s="15">
        <f t="shared" si="82"/>
        <v>2965</v>
      </c>
      <c r="AR754" s="15" t="s">
        <v>654</v>
      </c>
      <c r="AS754" s="15">
        <f t="shared" si="83"/>
        <v>57</v>
      </c>
    </row>
    <row r="755" spans="35:45" ht="16.5" x14ac:dyDescent="0.2">
      <c r="AI755" s="60">
        <v>742</v>
      </c>
      <c r="AJ755" s="15">
        <f t="shared" si="78"/>
        <v>1606021</v>
      </c>
      <c r="AK755" s="15" t="str">
        <f t="shared" si="79"/>
        <v>高级神器2配件1-龙雀刀鞘Lvs22</v>
      </c>
      <c r="AL755" s="60" t="s">
        <v>645</v>
      </c>
      <c r="AM755" s="15">
        <f t="shared" si="80"/>
        <v>22</v>
      </c>
      <c r="AN755" s="15" t="str">
        <f t="shared" si="81"/>
        <v>高级神器2配件1</v>
      </c>
      <c r="AO755" s="15">
        <f>INDEX(芦花古楼!$BX$19:$BX$58,神器!AM755)</f>
        <v>15</v>
      </c>
      <c r="AP755" s="15" t="s">
        <v>88</v>
      </c>
      <c r="AQ755" s="15">
        <f t="shared" si="82"/>
        <v>3115</v>
      </c>
      <c r="AR755" s="15" t="s">
        <v>654</v>
      </c>
      <c r="AS755" s="15">
        <f t="shared" si="83"/>
        <v>61</v>
      </c>
    </row>
    <row r="756" spans="35:45" ht="16.5" x14ac:dyDescent="0.2">
      <c r="AI756" s="60">
        <v>743</v>
      </c>
      <c r="AJ756" s="15">
        <f t="shared" si="78"/>
        <v>1606021</v>
      </c>
      <c r="AK756" s="15" t="str">
        <f t="shared" si="79"/>
        <v>高级神器2配件1-龙雀刀鞘Lvs23</v>
      </c>
      <c r="AL756" s="60" t="s">
        <v>645</v>
      </c>
      <c r="AM756" s="15">
        <f t="shared" si="80"/>
        <v>23</v>
      </c>
      <c r="AN756" s="15" t="str">
        <f t="shared" si="81"/>
        <v>高级神器2配件1</v>
      </c>
      <c r="AO756" s="15">
        <f>INDEX(芦花古楼!$BX$19:$BX$58,神器!AM756)</f>
        <v>15</v>
      </c>
      <c r="AP756" s="15" t="s">
        <v>88</v>
      </c>
      <c r="AQ756" s="15">
        <f t="shared" si="82"/>
        <v>3265</v>
      </c>
      <c r="AR756" s="15" t="s">
        <v>654</v>
      </c>
      <c r="AS756" s="15">
        <f t="shared" si="83"/>
        <v>66</v>
      </c>
    </row>
    <row r="757" spans="35:45" ht="16.5" x14ac:dyDescent="0.2">
      <c r="AI757" s="60">
        <v>744</v>
      </c>
      <c r="AJ757" s="15">
        <f t="shared" si="78"/>
        <v>1606021</v>
      </c>
      <c r="AK757" s="15" t="str">
        <f t="shared" si="79"/>
        <v>高级神器2配件1-龙雀刀鞘Lvs24</v>
      </c>
      <c r="AL757" s="60" t="s">
        <v>645</v>
      </c>
      <c r="AM757" s="15">
        <f t="shared" si="80"/>
        <v>24</v>
      </c>
      <c r="AN757" s="15" t="str">
        <f t="shared" si="81"/>
        <v>高级神器2配件1</v>
      </c>
      <c r="AO757" s="15">
        <f>INDEX(芦花古楼!$BX$19:$BX$58,神器!AM757)</f>
        <v>15</v>
      </c>
      <c r="AP757" s="15" t="s">
        <v>88</v>
      </c>
      <c r="AQ757" s="15">
        <f t="shared" si="82"/>
        <v>3410</v>
      </c>
      <c r="AR757" s="15" t="s">
        <v>654</v>
      </c>
      <c r="AS757" s="15">
        <f t="shared" si="83"/>
        <v>71</v>
      </c>
    </row>
    <row r="758" spans="35:45" ht="16.5" x14ac:dyDescent="0.2">
      <c r="AI758" s="60">
        <v>745</v>
      </c>
      <c r="AJ758" s="15">
        <f t="shared" si="78"/>
        <v>1606021</v>
      </c>
      <c r="AK758" s="15" t="str">
        <f t="shared" si="79"/>
        <v>高级神器2配件1-龙雀刀鞘Lvs25</v>
      </c>
      <c r="AL758" s="60" t="s">
        <v>645</v>
      </c>
      <c r="AM758" s="15">
        <f t="shared" si="80"/>
        <v>25</v>
      </c>
      <c r="AN758" s="15" t="str">
        <f t="shared" si="81"/>
        <v>高级神器2配件1</v>
      </c>
      <c r="AO758" s="15">
        <f>INDEX(芦花古楼!$BX$19:$BX$58,神器!AM758)</f>
        <v>15</v>
      </c>
      <c r="AP758" s="15" t="s">
        <v>88</v>
      </c>
      <c r="AQ758" s="15">
        <f t="shared" si="82"/>
        <v>3560</v>
      </c>
      <c r="AR758" s="15" t="s">
        <v>654</v>
      </c>
      <c r="AS758" s="15">
        <f t="shared" si="83"/>
        <v>75</v>
      </c>
    </row>
    <row r="759" spans="35:45" ht="16.5" x14ac:dyDescent="0.2">
      <c r="AI759" s="60">
        <v>746</v>
      </c>
      <c r="AJ759" s="15">
        <f t="shared" si="78"/>
        <v>1606021</v>
      </c>
      <c r="AK759" s="15" t="str">
        <f t="shared" si="79"/>
        <v>高级神器2配件1-龙雀刀鞘Lvs26</v>
      </c>
      <c r="AL759" s="60" t="s">
        <v>645</v>
      </c>
      <c r="AM759" s="15">
        <f t="shared" si="80"/>
        <v>26</v>
      </c>
      <c r="AN759" s="15" t="str">
        <f t="shared" si="81"/>
        <v>高级神器2配件1</v>
      </c>
      <c r="AO759" s="15">
        <f>INDEX(芦花古楼!$BX$19:$BX$58,神器!AM759)</f>
        <v>25</v>
      </c>
      <c r="AP759" s="15" t="s">
        <v>88</v>
      </c>
      <c r="AQ759" s="15">
        <f t="shared" si="82"/>
        <v>3710</v>
      </c>
      <c r="AR759" s="15" t="s">
        <v>654</v>
      </c>
      <c r="AS759" s="15">
        <f t="shared" si="83"/>
        <v>81</v>
      </c>
    </row>
    <row r="760" spans="35:45" ht="16.5" x14ac:dyDescent="0.2">
      <c r="AI760" s="60">
        <v>747</v>
      </c>
      <c r="AJ760" s="15">
        <f t="shared" si="78"/>
        <v>1606021</v>
      </c>
      <c r="AK760" s="15" t="str">
        <f t="shared" si="79"/>
        <v>高级神器2配件1-龙雀刀鞘Lvs27</v>
      </c>
      <c r="AL760" s="60" t="s">
        <v>645</v>
      </c>
      <c r="AM760" s="15">
        <f t="shared" si="80"/>
        <v>27</v>
      </c>
      <c r="AN760" s="15" t="str">
        <f t="shared" si="81"/>
        <v>高级神器2配件1</v>
      </c>
      <c r="AO760" s="15">
        <f>INDEX(芦花古楼!$BX$19:$BX$58,神器!AM760)</f>
        <v>25</v>
      </c>
      <c r="AP760" s="15" t="s">
        <v>88</v>
      </c>
      <c r="AQ760" s="15">
        <f t="shared" si="82"/>
        <v>3855</v>
      </c>
      <c r="AR760" s="15" t="s">
        <v>654</v>
      </c>
      <c r="AS760" s="15">
        <f t="shared" si="83"/>
        <v>86</v>
      </c>
    </row>
    <row r="761" spans="35:45" ht="16.5" x14ac:dyDescent="0.2">
      <c r="AI761" s="60">
        <v>748</v>
      </c>
      <c r="AJ761" s="15">
        <f t="shared" si="78"/>
        <v>1606021</v>
      </c>
      <c r="AK761" s="15" t="str">
        <f t="shared" si="79"/>
        <v>高级神器2配件1-龙雀刀鞘Lvs28</v>
      </c>
      <c r="AL761" s="60" t="s">
        <v>645</v>
      </c>
      <c r="AM761" s="15">
        <f t="shared" si="80"/>
        <v>28</v>
      </c>
      <c r="AN761" s="15" t="str">
        <f t="shared" si="81"/>
        <v>高级神器2配件1</v>
      </c>
      <c r="AO761" s="15">
        <f>INDEX(芦花古楼!$BX$19:$BX$58,神器!AM761)</f>
        <v>25</v>
      </c>
      <c r="AP761" s="15" t="s">
        <v>88</v>
      </c>
      <c r="AQ761" s="15">
        <f t="shared" si="82"/>
        <v>4005</v>
      </c>
      <c r="AR761" s="15" t="s">
        <v>654</v>
      </c>
      <c r="AS761" s="15">
        <f t="shared" si="83"/>
        <v>92</v>
      </c>
    </row>
    <row r="762" spans="35:45" ht="16.5" x14ac:dyDescent="0.2">
      <c r="AI762" s="60">
        <v>749</v>
      </c>
      <c r="AJ762" s="15">
        <f t="shared" si="78"/>
        <v>1606021</v>
      </c>
      <c r="AK762" s="15" t="str">
        <f t="shared" si="79"/>
        <v>高级神器2配件1-龙雀刀鞘Lvs29</v>
      </c>
      <c r="AL762" s="60" t="s">
        <v>645</v>
      </c>
      <c r="AM762" s="15">
        <f t="shared" si="80"/>
        <v>29</v>
      </c>
      <c r="AN762" s="15" t="str">
        <f t="shared" si="81"/>
        <v>高级神器2配件1</v>
      </c>
      <c r="AO762" s="15">
        <f>INDEX(芦花古楼!$BX$19:$BX$58,神器!AM762)</f>
        <v>25</v>
      </c>
      <c r="AP762" s="15" t="s">
        <v>88</v>
      </c>
      <c r="AQ762" s="15">
        <f t="shared" si="82"/>
        <v>4155</v>
      </c>
      <c r="AR762" s="15" t="s">
        <v>654</v>
      </c>
      <c r="AS762" s="15">
        <f t="shared" si="83"/>
        <v>97</v>
      </c>
    </row>
    <row r="763" spans="35:45" ht="16.5" x14ac:dyDescent="0.2">
      <c r="AI763" s="60">
        <v>750</v>
      </c>
      <c r="AJ763" s="15">
        <f t="shared" si="78"/>
        <v>1606021</v>
      </c>
      <c r="AK763" s="15" t="str">
        <f t="shared" si="79"/>
        <v>高级神器2配件1-龙雀刀鞘Lvs30</v>
      </c>
      <c r="AL763" s="60" t="s">
        <v>645</v>
      </c>
      <c r="AM763" s="15">
        <f t="shared" si="80"/>
        <v>30</v>
      </c>
      <c r="AN763" s="15" t="str">
        <f t="shared" si="81"/>
        <v>高级神器2配件1</v>
      </c>
      <c r="AO763" s="15">
        <f>INDEX(芦花古楼!$BX$19:$BX$58,神器!AM763)</f>
        <v>25</v>
      </c>
      <c r="AP763" s="15" t="s">
        <v>88</v>
      </c>
      <c r="AQ763" s="15">
        <f t="shared" si="82"/>
        <v>4450</v>
      </c>
      <c r="AR763" s="15" t="s">
        <v>654</v>
      </c>
      <c r="AS763" s="15">
        <f t="shared" si="83"/>
        <v>104</v>
      </c>
    </row>
    <row r="764" spans="35:45" ht="16.5" x14ac:dyDescent="0.2">
      <c r="AI764" s="60">
        <v>751</v>
      </c>
      <c r="AJ764" s="15">
        <f t="shared" si="78"/>
        <v>1606021</v>
      </c>
      <c r="AK764" s="15" t="str">
        <f t="shared" si="79"/>
        <v>高级神器2配件1-龙雀刀鞘Lvs31</v>
      </c>
      <c r="AL764" s="60" t="s">
        <v>645</v>
      </c>
      <c r="AM764" s="15">
        <f t="shared" si="80"/>
        <v>31</v>
      </c>
      <c r="AN764" s="15" t="str">
        <f t="shared" si="81"/>
        <v>高级神器2配件1</v>
      </c>
      <c r="AO764" s="15">
        <f>INDEX(芦花古楼!$BX$19:$BX$58,神器!AM764)</f>
        <v>30</v>
      </c>
      <c r="AP764" s="15" t="s">
        <v>88</v>
      </c>
      <c r="AQ764" s="15">
        <f t="shared" si="82"/>
        <v>4340</v>
      </c>
      <c r="AR764" s="15" t="s">
        <v>654</v>
      </c>
      <c r="AS764" s="15">
        <f t="shared" si="83"/>
        <v>110</v>
      </c>
    </row>
    <row r="765" spans="35:45" ht="16.5" x14ac:dyDescent="0.2">
      <c r="AI765" s="60">
        <v>752</v>
      </c>
      <c r="AJ765" s="15">
        <f t="shared" si="78"/>
        <v>1606021</v>
      </c>
      <c r="AK765" s="15" t="str">
        <f t="shared" si="79"/>
        <v>高级神器2配件1-龙雀刀鞘Lvs32</v>
      </c>
      <c r="AL765" s="60" t="s">
        <v>645</v>
      </c>
      <c r="AM765" s="15">
        <f t="shared" si="80"/>
        <v>32</v>
      </c>
      <c r="AN765" s="15" t="str">
        <f t="shared" si="81"/>
        <v>高级神器2配件1</v>
      </c>
      <c r="AO765" s="15">
        <f>INDEX(芦花古楼!$BX$19:$BX$58,神器!AM765)</f>
        <v>30</v>
      </c>
      <c r="AP765" s="15" t="s">
        <v>88</v>
      </c>
      <c r="AQ765" s="15">
        <f t="shared" si="82"/>
        <v>6510</v>
      </c>
      <c r="AR765" s="15" t="s">
        <v>654</v>
      </c>
      <c r="AS765" s="15">
        <f t="shared" si="83"/>
        <v>117</v>
      </c>
    </row>
    <row r="766" spans="35:45" ht="16.5" x14ac:dyDescent="0.2">
      <c r="AI766" s="60">
        <v>753</v>
      </c>
      <c r="AJ766" s="15">
        <f t="shared" si="78"/>
        <v>1606021</v>
      </c>
      <c r="AK766" s="15" t="str">
        <f t="shared" si="79"/>
        <v>高级神器2配件1-龙雀刀鞘Lvs33</v>
      </c>
      <c r="AL766" s="60" t="s">
        <v>645</v>
      </c>
      <c r="AM766" s="15">
        <f t="shared" si="80"/>
        <v>33</v>
      </c>
      <c r="AN766" s="15" t="str">
        <f t="shared" si="81"/>
        <v>高级神器2配件1</v>
      </c>
      <c r="AO766" s="15">
        <f>INDEX(芦花古楼!$BX$19:$BX$58,神器!AM766)</f>
        <v>30</v>
      </c>
      <c r="AP766" s="15" t="s">
        <v>88</v>
      </c>
      <c r="AQ766" s="15">
        <f t="shared" si="82"/>
        <v>8680</v>
      </c>
      <c r="AR766" s="15" t="s">
        <v>654</v>
      </c>
      <c r="AS766" s="15">
        <f t="shared" si="83"/>
        <v>124</v>
      </c>
    </row>
    <row r="767" spans="35:45" ht="16.5" x14ac:dyDescent="0.2">
      <c r="AI767" s="60">
        <v>754</v>
      </c>
      <c r="AJ767" s="15">
        <f t="shared" si="78"/>
        <v>1606021</v>
      </c>
      <c r="AK767" s="15" t="str">
        <f t="shared" si="79"/>
        <v>高级神器2配件1-龙雀刀鞘Lvs34</v>
      </c>
      <c r="AL767" s="60" t="s">
        <v>645</v>
      </c>
      <c r="AM767" s="15">
        <f t="shared" si="80"/>
        <v>34</v>
      </c>
      <c r="AN767" s="15" t="str">
        <f t="shared" si="81"/>
        <v>高级神器2配件1</v>
      </c>
      <c r="AO767" s="15">
        <f>INDEX(芦花古楼!$BX$19:$BX$58,神器!AM767)</f>
        <v>30</v>
      </c>
      <c r="AP767" s="15" t="s">
        <v>88</v>
      </c>
      <c r="AQ767" s="15">
        <f t="shared" si="82"/>
        <v>10850</v>
      </c>
      <c r="AR767" s="15" t="s">
        <v>654</v>
      </c>
      <c r="AS767" s="15">
        <f t="shared" si="83"/>
        <v>132</v>
      </c>
    </row>
    <row r="768" spans="35:45" ht="16.5" x14ac:dyDescent="0.2">
      <c r="AI768" s="60">
        <v>755</v>
      </c>
      <c r="AJ768" s="15">
        <f t="shared" si="78"/>
        <v>1606021</v>
      </c>
      <c r="AK768" s="15" t="str">
        <f t="shared" si="79"/>
        <v>高级神器2配件1-龙雀刀鞘Lvs35</v>
      </c>
      <c r="AL768" s="60" t="s">
        <v>645</v>
      </c>
      <c r="AM768" s="15">
        <f t="shared" si="80"/>
        <v>35</v>
      </c>
      <c r="AN768" s="15" t="str">
        <f t="shared" si="81"/>
        <v>高级神器2配件1</v>
      </c>
      <c r="AO768" s="15">
        <f>INDEX(芦花古楼!$BX$19:$BX$58,神器!AM768)</f>
        <v>30</v>
      </c>
      <c r="AP768" s="15" t="s">
        <v>88</v>
      </c>
      <c r="AQ768" s="15">
        <f t="shared" si="82"/>
        <v>13020</v>
      </c>
      <c r="AR768" s="15" t="s">
        <v>654</v>
      </c>
      <c r="AS768" s="15">
        <f t="shared" si="83"/>
        <v>140</v>
      </c>
    </row>
    <row r="769" spans="35:45" ht="16.5" x14ac:dyDescent="0.2">
      <c r="AI769" s="60">
        <v>756</v>
      </c>
      <c r="AJ769" s="15">
        <f t="shared" si="78"/>
        <v>1606021</v>
      </c>
      <c r="AK769" s="15" t="str">
        <f t="shared" si="79"/>
        <v>高级神器2配件1-龙雀刀鞘Lvs36</v>
      </c>
      <c r="AL769" s="60" t="s">
        <v>645</v>
      </c>
      <c r="AM769" s="15">
        <f t="shared" si="80"/>
        <v>36</v>
      </c>
      <c r="AN769" s="15" t="str">
        <f t="shared" si="81"/>
        <v>高级神器2配件1</v>
      </c>
      <c r="AO769" s="15">
        <f>INDEX(芦花古楼!$BX$19:$BX$58,神器!AM769)</f>
        <v>40</v>
      </c>
      <c r="AP769" s="15" t="s">
        <v>88</v>
      </c>
      <c r="AQ769" s="15">
        <f t="shared" si="82"/>
        <v>15190</v>
      </c>
      <c r="AR769" s="15" t="s">
        <v>654</v>
      </c>
      <c r="AS769" s="15">
        <f t="shared" si="83"/>
        <v>148</v>
      </c>
    </row>
    <row r="770" spans="35:45" ht="16.5" x14ac:dyDescent="0.2">
      <c r="AI770" s="60">
        <v>757</v>
      </c>
      <c r="AJ770" s="15">
        <f t="shared" si="78"/>
        <v>1606021</v>
      </c>
      <c r="AK770" s="15" t="str">
        <f t="shared" si="79"/>
        <v>高级神器2配件1-龙雀刀鞘Lvs37</v>
      </c>
      <c r="AL770" s="60" t="s">
        <v>645</v>
      </c>
      <c r="AM770" s="15">
        <f t="shared" si="80"/>
        <v>37</v>
      </c>
      <c r="AN770" s="15" t="str">
        <f t="shared" si="81"/>
        <v>高级神器2配件1</v>
      </c>
      <c r="AO770" s="15">
        <f>INDEX(芦花古楼!$BX$19:$BX$58,神器!AM770)</f>
        <v>40</v>
      </c>
      <c r="AP770" s="15" t="s">
        <v>88</v>
      </c>
      <c r="AQ770" s="15">
        <f t="shared" si="82"/>
        <v>17360</v>
      </c>
      <c r="AR770" s="15" t="s">
        <v>654</v>
      </c>
      <c r="AS770" s="15">
        <f t="shared" si="83"/>
        <v>157</v>
      </c>
    </row>
    <row r="771" spans="35:45" ht="16.5" x14ac:dyDescent="0.2">
      <c r="AI771" s="60">
        <v>758</v>
      </c>
      <c r="AJ771" s="15">
        <f t="shared" si="78"/>
        <v>1606021</v>
      </c>
      <c r="AK771" s="15" t="str">
        <f t="shared" si="79"/>
        <v>高级神器2配件1-龙雀刀鞘Lvs38</v>
      </c>
      <c r="AL771" s="60" t="s">
        <v>645</v>
      </c>
      <c r="AM771" s="15">
        <f t="shared" si="80"/>
        <v>38</v>
      </c>
      <c r="AN771" s="15" t="str">
        <f t="shared" si="81"/>
        <v>高级神器2配件1</v>
      </c>
      <c r="AO771" s="15">
        <f>INDEX(芦花古楼!$BX$19:$BX$58,神器!AM771)</f>
        <v>40</v>
      </c>
      <c r="AP771" s="15" t="s">
        <v>88</v>
      </c>
      <c r="AQ771" s="15">
        <f t="shared" si="82"/>
        <v>19530</v>
      </c>
      <c r="AR771" s="15" t="s">
        <v>654</v>
      </c>
      <c r="AS771" s="15">
        <f t="shared" si="83"/>
        <v>166</v>
      </c>
    </row>
    <row r="772" spans="35:45" ht="16.5" x14ac:dyDescent="0.2">
      <c r="AI772" s="60">
        <v>759</v>
      </c>
      <c r="AJ772" s="15">
        <f t="shared" si="78"/>
        <v>1606021</v>
      </c>
      <c r="AK772" s="15" t="str">
        <f t="shared" si="79"/>
        <v>高级神器2配件1-龙雀刀鞘Lvs39</v>
      </c>
      <c r="AL772" s="60" t="s">
        <v>645</v>
      </c>
      <c r="AM772" s="15">
        <f t="shared" si="80"/>
        <v>39</v>
      </c>
      <c r="AN772" s="15" t="str">
        <f t="shared" si="81"/>
        <v>高级神器2配件1</v>
      </c>
      <c r="AO772" s="15">
        <f>INDEX(芦花古楼!$BX$19:$BX$58,神器!AM772)</f>
        <v>40</v>
      </c>
      <c r="AP772" s="15" t="s">
        <v>88</v>
      </c>
      <c r="AQ772" s="15">
        <f t="shared" si="82"/>
        <v>21700</v>
      </c>
      <c r="AR772" s="15" t="s">
        <v>654</v>
      </c>
      <c r="AS772" s="15">
        <f t="shared" si="83"/>
        <v>176</v>
      </c>
    </row>
    <row r="773" spans="35:45" ht="16.5" x14ac:dyDescent="0.2">
      <c r="AI773" s="60">
        <v>760</v>
      </c>
      <c r="AJ773" s="15">
        <f t="shared" si="78"/>
        <v>1606021</v>
      </c>
      <c r="AK773" s="15" t="str">
        <f t="shared" si="79"/>
        <v>高级神器2配件1-龙雀刀鞘Lvs40</v>
      </c>
      <c r="AL773" s="60" t="s">
        <v>645</v>
      </c>
      <c r="AM773" s="15">
        <f t="shared" si="80"/>
        <v>40</v>
      </c>
      <c r="AN773" s="15" t="str">
        <f t="shared" si="81"/>
        <v>高级神器2配件1</v>
      </c>
      <c r="AO773" s="15">
        <f>INDEX(芦花古楼!$BX$19:$BX$58,神器!AM773)</f>
        <v>40</v>
      </c>
      <c r="AP773" s="15" t="s">
        <v>88</v>
      </c>
      <c r="AQ773" s="15">
        <f t="shared" si="82"/>
        <v>26040</v>
      </c>
      <c r="AR773" s="15" t="s">
        <v>654</v>
      </c>
      <c r="AS773" s="15">
        <f t="shared" si="83"/>
        <v>186</v>
      </c>
    </row>
    <row r="774" spans="35:45" ht="16.5" x14ac:dyDescent="0.2">
      <c r="AI774" s="60">
        <v>761</v>
      </c>
      <c r="AJ774" s="15">
        <f t="shared" si="78"/>
        <v>1606022</v>
      </c>
      <c r="AK774" s="15" t="str">
        <f t="shared" si="79"/>
        <v>高级神器2配件2-雀环Lvs1</v>
      </c>
      <c r="AL774" s="60" t="s">
        <v>645</v>
      </c>
      <c r="AM774" s="15">
        <f t="shared" si="80"/>
        <v>1</v>
      </c>
      <c r="AN774" s="15" t="str">
        <f t="shared" si="81"/>
        <v>高级神器2配件2</v>
      </c>
      <c r="AO774" s="15">
        <f>INDEX(芦花古楼!$BX$19:$BX$58,神器!AM774)</f>
        <v>1</v>
      </c>
      <c r="AP774" s="15" t="s">
        <v>88</v>
      </c>
      <c r="AQ774" s="15">
        <f t="shared" si="82"/>
        <v>200</v>
      </c>
      <c r="AR774" s="15" t="s">
        <v>654</v>
      </c>
      <c r="AS774" s="15">
        <f t="shared" si="83"/>
        <v>7</v>
      </c>
    </row>
    <row r="775" spans="35:45" ht="16.5" x14ac:dyDescent="0.2">
      <c r="AI775" s="60">
        <v>762</v>
      </c>
      <c r="AJ775" s="15">
        <f t="shared" si="78"/>
        <v>1606022</v>
      </c>
      <c r="AK775" s="15" t="str">
        <f t="shared" si="79"/>
        <v>高级神器2配件2-雀环Lvs2</v>
      </c>
      <c r="AL775" s="60" t="s">
        <v>645</v>
      </c>
      <c r="AM775" s="15">
        <f t="shared" si="80"/>
        <v>2</v>
      </c>
      <c r="AN775" s="15" t="str">
        <f t="shared" si="81"/>
        <v>高级神器2配件2</v>
      </c>
      <c r="AO775" s="15">
        <f>INDEX(芦花古楼!$BX$19:$BX$58,神器!AM775)</f>
        <v>1</v>
      </c>
      <c r="AP775" s="15" t="s">
        <v>88</v>
      </c>
      <c r="AQ775" s="15">
        <f t="shared" si="82"/>
        <v>300</v>
      </c>
      <c r="AR775" s="15" t="s">
        <v>654</v>
      </c>
      <c r="AS775" s="15">
        <f t="shared" si="83"/>
        <v>10</v>
      </c>
    </row>
    <row r="776" spans="35:45" ht="16.5" x14ac:dyDescent="0.2">
      <c r="AI776" s="60">
        <v>763</v>
      </c>
      <c r="AJ776" s="15">
        <f t="shared" si="78"/>
        <v>1606022</v>
      </c>
      <c r="AK776" s="15" t="str">
        <f t="shared" si="79"/>
        <v>高级神器2配件2-雀环Lvs3</v>
      </c>
      <c r="AL776" s="60" t="s">
        <v>645</v>
      </c>
      <c r="AM776" s="15">
        <f t="shared" si="80"/>
        <v>3</v>
      </c>
      <c r="AN776" s="15" t="str">
        <f t="shared" si="81"/>
        <v>高级神器2配件2</v>
      </c>
      <c r="AO776" s="15">
        <f>INDEX(芦花古楼!$BX$19:$BX$58,神器!AM776)</f>
        <v>2</v>
      </c>
      <c r="AP776" s="15" t="s">
        <v>88</v>
      </c>
      <c r="AQ776" s="15">
        <f t="shared" si="82"/>
        <v>400</v>
      </c>
      <c r="AR776" s="15" t="s">
        <v>654</v>
      </c>
      <c r="AS776" s="15">
        <f t="shared" si="83"/>
        <v>12</v>
      </c>
    </row>
    <row r="777" spans="35:45" ht="16.5" x14ac:dyDescent="0.2">
      <c r="AI777" s="60">
        <v>764</v>
      </c>
      <c r="AJ777" s="15">
        <f t="shared" si="78"/>
        <v>1606022</v>
      </c>
      <c r="AK777" s="15" t="str">
        <f t="shared" si="79"/>
        <v>高级神器2配件2-雀环Lvs4</v>
      </c>
      <c r="AL777" s="60" t="s">
        <v>645</v>
      </c>
      <c r="AM777" s="15">
        <f t="shared" si="80"/>
        <v>4</v>
      </c>
      <c r="AN777" s="15" t="str">
        <f t="shared" si="81"/>
        <v>高级神器2配件2</v>
      </c>
      <c r="AO777" s="15">
        <f>INDEX(芦花古楼!$BX$19:$BX$58,神器!AM777)</f>
        <v>3</v>
      </c>
      <c r="AP777" s="15" t="s">
        <v>88</v>
      </c>
      <c r="AQ777" s="15">
        <f t="shared" si="82"/>
        <v>500</v>
      </c>
      <c r="AR777" s="15" t="s">
        <v>654</v>
      </c>
      <c r="AS777" s="15">
        <f t="shared" si="83"/>
        <v>15</v>
      </c>
    </row>
    <row r="778" spans="35:45" ht="16.5" x14ac:dyDescent="0.2">
      <c r="AI778" s="60">
        <v>765</v>
      </c>
      <c r="AJ778" s="15">
        <f t="shared" si="78"/>
        <v>1606022</v>
      </c>
      <c r="AK778" s="15" t="str">
        <f t="shared" si="79"/>
        <v>高级神器2配件2-雀环Lvs5</v>
      </c>
      <c r="AL778" s="60" t="s">
        <v>645</v>
      </c>
      <c r="AM778" s="15">
        <f t="shared" si="80"/>
        <v>5</v>
      </c>
      <c r="AN778" s="15" t="str">
        <f t="shared" si="81"/>
        <v>高级神器2配件2</v>
      </c>
      <c r="AO778" s="15">
        <f>INDEX(芦花古楼!$BX$19:$BX$58,神器!AM778)</f>
        <v>3</v>
      </c>
      <c r="AP778" s="15" t="s">
        <v>88</v>
      </c>
      <c r="AQ778" s="15">
        <f t="shared" si="82"/>
        <v>600</v>
      </c>
      <c r="AR778" s="15" t="s">
        <v>654</v>
      </c>
      <c r="AS778" s="15">
        <f t="shared" si="83"/>
        <v>18</v>
      </c>
    </row>
    <row r="779" spans="35:45" ht="16.5" x14ac:dyDescent="0.2">
      <c r="AI779" s="60">
        <v>766</v>
      </c>
      <c r="AJ779" s="15">
        <f t="shared" si="78"/>
        <v>1606022</v>
      </c>
      <c r="AK779" s="15" t="str">
        <f t="shared" si="79"/>
        <v>高级神器2配件2-雀环Lvs6</v>
      </c>
      <c r="AL779" s="60" t="s">
        <v>645</v>
      </c>
      <c r="AM779" s="15">
        <f t="shared" si="80"/>
        <v>6</v>
      </c>
      <c r="AN779" s="15" t="str">
        <f t="shared" si="81"/>
        <v>高级神器2配件2</v>
      </c>
      <c r="AO779" s="15">
        <f>INDEX(芦花古楼!$BX$19:$BX$58,神器!AM779)</f>
        <v>5</v>
      </c>
      <c r="AP779" s="15" t="s">
        <v>88</v>
      </c>
      <c r="AQ779" s="15">
        <f t="shared" si="82"/>
        <v>700</v>
      </c>
      <c r="AR779" s="15" t="s">
        <v>654</v>
      </c>
      <c r="AS779" s="15">
        <f t="shared" si="83"/>
        <v>21</v>
      </c>
    </row>
    <row r="780" spans="35:45" ht="16.5" x14ac:dyDescent="0.2">
      <c r="AI780" s="60">
        <v>767</v>
      </c>
      <c r="AJ780" s="15">
        <f t="shared" si="78"/>
        <v>1606022</v>
      </c>
      <c r="AK780" s="15" t="str">
        <f t="shared" si="79"/>
        <v>高级神器2配件2-雀环Lvs7</v>
      </c>
      <c r="AL780" s="60" t="s">
        <v>645</v>
      </c>
      <c r="AM780" s="15">
        <f t="shared" si="80"/>
        <v>7</v>
      </c>
      <c r="AN780" s="15" t="str">
        <f t="shared" si="81"/>
        <v>高级神器2配件2</v>
      </c>
      <c r="AO780" s="15">
        <f>INDEX(芦花古楼!$BX$19:$BX$58,神器!AM780)</f>
        <v>5</v>
      </c>
      <c r="AP780" s="15" t="s">
        <v>88</v>
      </c>
      <c r="AQ780" s="15">
        <f t="shared" si="82"/>
        <v>800</v>
      </c>
      <c r="AR780" s="15" t="s">
        <v>654</v>
      </c>
      <c r="AS780" s="15">
        <f t="shared" si="83"/>
        <v>24</v>
      </c>
    </row>
    <row r="781" spans="35:45" ht="16.5" x14ac:dyDescent="0.2">
      <c r="AI781" s="60">
        <v>768</v>
      </c>
      <c r="AJ781" s="15">
        <f t="shared" si="78"/>
        <v>1606022</v>
      </c>
      <c r="AK781" s="15" t="str">
        <f t="shared" si="79"/>
        <v>高级神器2配件2-雀环Lvs8</v>
      </c>
      <c r="AL781" s="60" t="s">
        <v>645</v>
      </c>
      <c r="AM781" s="15">
        <f t="shared" si="80"/>
        <v>8</v>
      </c>
      <c r="AN781" s="15" t="str">
        <f t="shared" si="81"/>
        <v>高级神器2配件2</v>
      </c>
      <c r="AO781" s="15">
        <f>INDEX(芦花古楼!$BX$19:$BX$58,神器!AM781)</f>
        <v>5</v>
      </c>
      <c r="AP781" s="15" t="s">
        <v>88</v>
      </c>
      <c r="AQ781" s="15">
        <f t="shared" si="82"/>
        <v>900</v>
      </c>
      <c r="AR781" s="15" t="s">
        <v>654</v>
      </c>
      <c r="AS781" s="15">
        <f t="shared" si="83"/>
        <v>27</v>
      </c>
    </row>
    <row r="782" spans="35:45" ht="16.5" x14ac:dyDescent="0.2">
      <c r="AI782" s="60">
        <v>769</v>
      </c>
      <c r="AJ782" s="15">
        <f t="shared" si="78"/>
        <v>1606022</v>
      </c>
      <c r="AK782" s="15" t="str">
        <f t="shared" si="79"/>
        <v>高级神器2配件2-雀环Lvs9</v>
      </c>
      <c r="AL782" s="60" t="s">
        <v>645</v>
      </c>
      <c r="AM782" s="15">
        <f t="shared" si="80"/>
        <v>9</v>
      </c>
      <c r="AN782" s="15" t="str">
        <f t="shared" si="81"/>
        <v>高级神器2配件2</v>
      </c>
      <c r="AO782" s="15">
        <f>INDEX(芦花古楼!$BX$19:$BX$58,神器!AM782)</f>
        <v>5</v>
      </c>
      <c r="AP782" s="15" t="s">
        <v>88</v>
      </c>
      <c r="AQ782" s="15">
        <f t="shared" si="82"/>
        <v>1000</v>
      </c>
      <c r="AR782" s="15" t="s">
        <v>654</v>
      </c>
      <c r="AS782" s="15">
        <f t="shared" si="83"/>
        <v>30</v>
      </c>
    </row>
    <row r="783" spans="35:45" ht="16.5" x14ac:dyDescent="0.2">
      <c r="AI783" s="60">
        <v>770</v>
      </c>
      <c r="AJ783" s="15">
        <f t="shared" ref="AJ783:AJ846" si="84">INDEX($AC$4:$AC$33,INT((AI783-1)/40)+1)</f>
        <v>1606022</v>
      </c>
      <c r="AK783" s="15" t="str">
        <f t="shared" ref="AK783:AK846" si="85">INDEX($AF$4:$AF$33,INT((AI783-1)/40)+1)&amp;AL783&amp;AM783</f>
        <v>高级神器2配件2-雀环Lvs10</v>
      </c>
      <c r="AL783" s="60" t="s">
        <v>645</v>
      </c>
      <c r="AM783" s="15">
        <f t="shared" ref="AM783:AM846" si="86">MOD(AI783-1,40)+1</f>
        <v>10</v>
      </c>
      <c r="AN783" s="15" t="str">
        <f t="shared" ref="AN783:AN846" si="87">INDEX($AD$4:$AD$33,INT((AI783-1)/40)+1)</f>
        <v>高级神器2配件2</v>
      </c>
      <c r="AO783" s="15">
        <f>INDEX(芦花古楼!$BX$19:$BX$58,神器!AM783)</f>
        <v>7</v>
      </c>
      <c r="AP783" s="15" t="s">
        <v>88</v>
      </c>
      <c r="AQ783" s="15">
        <f t="shared" ref="AQ783:AQ846" si="88">INDEX($F$14:$L$53,AM783,INDEX($AB$4:$AB$33,INT((AI783-1)/40)+1))</f>
        <v>1205</v>
      </c>
      <c r="AR783" s="15" t="s">
        <v>654</v>
      </c>
      <c r="AS783" s="15">
        <f t="shared" ref="AS783:AS846" si="89">INDEX($P$14:$V$53,AM783,INDEX($AB$4:$AB$33,INT((AI783-1)/40)+1))</f>
        <v>34</v>
      </c>
    </row>
    <row r="784" spans="35:45" ht="16.5" x14ac:dyDescent="0.2">
      <c r="AI784" s="60">
        <v>771</v>
      </c>
      <c r="AJ784" s="15">
        <f t="shared" si="84"/>
        <v>1606022</v>
      </c>
      <c r="AK784" s="15" t="str">
        <f t="shared" si="85"/>
        <v>高级神器2配件2-雀环Lvs11</v>
      </c>
      <c r="AL784" s="60" t="s">
        <v>645</v>
      </c>
      <c r="AM784" s="15">
        <f t="shared" si="86"/>
        <v>11</v>
      </c>
      <c r="AN784" s="15" t="str">
        <f t="shared" si="87"/>
        <v>高级神器2配件2</v>
      </c>
      <c r="AO784" s="15">
        <f>INDEX(芦花古楼!$BX$19:$BX$58,神器!AM784)</f>
        <v>7</v>
      </c>
      <c r="AP784" s="15" t="s">
        <v>88</v>
      </c>
      <c r="AQ784" s="15">
        <f t="shared" si="88"/>
        <v>1510</v>
      </c>
      <c r="AR784" s="15" t="s">
        <v>654</v>
      </c>
      <c r="AS784" s="15">
        <f t="shared" si="89"/>
        <v>37</v>
      </c>
    </row>
    <row r="785" spans="35:45" ht="16.5" x14ac:dyDescent="0.2">
      <c r="AI785" s="60">
        <v>772</v>
      </c>
      <c r="AJ785" s="15">
        <f t="shared" si="84"/>
        <v>1606022</v>
      </c>
      <c r="AK785" s="15" t="str">
        <f t="shared" si="85"/>
        <v>高级神器2配件2-雀环Lvs12</v>
      </c>
      <c r="AL785" s="60" t="s">
        <v>645</v>
      </c>
      <c r="AM785" s="15">
        <f t="shared" si="86"/>
        <v>12</v>
      </c>
      <c r="AN785" s="15" t="str">
        <f t="shared" si="87"/>
        <v>高级神器2配件2</v>
      </c>
      <c r="AO785" s="15">
        <f>INDEX(芦花古楼!$BX$19:$BX$58,神器!AM785)</f>
        <v>7</v>
      </c>
      <c r="AP785" s="15" t="s">
        <v>88</v>
      </c>
      <c r="AQ785" s="15">
        <f t="shared" si="88"/>
        <v>1760</v>
      </c>
      <c r="AR785" s="15" t="s">
        <v>654</v>
      </c>
      <c r="AS785" s="15">
        <f t="shared" si="89"/>
        <v>41</v>
      </c>
    </row>
    <row r="786" spans="35:45" ht="16.5" x14ac:dyDescent="0.2">
      <c r="AI786" s="60">
        <v>773</v>
      </c>
      <c r="AJ786" s="15">
        <f t="shared" si="84"/>
        <v>1606022</v>
      </c>
      <c r="AK786" s="15" t="str">
        <f t="shared" si="85"/>
        <v>高级神器2配件2-雀环Lvs13</v>
      </c>
      <c r="AL786" s="60" t="s">
        <v>645</v>
      </c>
      <c r="AM786" s="15">
        <f t="shared" si="86"/>
        <v>13</v>
      </c>
      <c r="AN786" s="15" t="str">
        <f t="shared" si="87"/>
        <v>高级神器2配件2</v>
      </c>
      <c r="AO786" s="15">
        <f>INDEX(芦花古楼!$BX$19:$BX$58,神器!AM786)</f>
        <v>7</v>
      </c>
      <c r="AP786" s="15" t="s">
        <v>88</v>
      </c>
      <c r="AQ786" s="15">
        <f t="shared" si="88"/>
        <v>2015</v>
      </c>
      <c r="AR786" s="15" t="s">
        <v>654</v>
      </c>
      <c r="AS786" s="15">
        <f t="shared" si="89"/>
        <v>45</v>
      </c>
    </row>
    <row r="787" spans="35:45" ht="16.5" x14ac:dyDescent="0.2">
      <c r="AI787" s="60">
        <v>774</v>
      </c>
      <c r="AJ787" s="15">
        <f t="shared" si="84"/>
        <v>1606022</v>
      </c>
      <c r="AK787" s="15" t="str">
        <f t="shared" si="85"/>
        <v>高级神器2配件2-雀环Lvs14</v>
      </c>
      <c r="AL787" s="60" t="s">
        <v>645</v>
      </c>
      <c r="AM787" s="15">
        <f t="shared" si="86"/>
        <v>14</v>
      </c>
      <c r="AN787" s="15" t="str">
        <f t="shared" si="87"/>
        <v>高级神器2配件2</v>
      </c>
      <c r="AO787" s="15">
        <f>INDEX(芦花古楼!$BX$19:$BX$58,神器!AM787)</f>
        <v>7</v>
      </c>
      <c r="AP787" s="15" t="s">
        <v>88</v>
      </c>
      <c r="AQ787" s="15">
        <f t="shared" si="88"/>
        <v>2265</v>
      </c>
      <c r="AR787" s="15" t="s">
        <v>654</v>
      </c>
      <c r="AS787" s="15">
        <f t="shared" si="89"/>
        <v>50</v>
      </c>
    </row>
    <row r="788" spans="35:45" ht="16.5" x14ac:dyDescent="0.2">
      <c r="AI788" s="60">
        <v>775</v>
      </c>
      <c r="AJ788" s="15">
        <f t="shared" si="84"/>
        <v>1606022</v>
      </c>
      <c r="AK788" s="15" t="str">
        <f t="shared" si="85"/>
        <v>高级神器2配件2-雀环Lvs15</v>
      </c>
      <c r="AL788" s="60" t="s">
        <v>645</v>
      </c>
      <c r="AM788" s="15">
        <f t="shared" si="86"/>
        <v>15</v>
      </c>
      <c r="AN788" s="15" t="str">
        <f t="shared" si="87"/>
        <v>高级神器2配件2</v>
      </c>
      <c r="AO788" s="15">
        <f>INDEX(芦花古楼!$BX$19:$BX$58,神器!AM788)</f>
        <v>10</v>
      </c>
      <c r="AP788" s="15" t="s">
        <v>88</v>
      </c>
      <c r="AQ788" s="15">
        <f t="shared" si="88"/>
        <v>2520</v>
      </c>
      <c r="AR788" s="15" t="s">
        <v>654</v>
      </c>
      <c r="AS788" s="15">
        <f t="shared" si="89"/>
        <v>54</v>
      </c>
    </row>
    <row r="789" spans="35:45" ht="16.5" x14ac:dyDescent="0.2">
      <c r="AI789" s="60">
        <v>776</v>
      </c>
      <c r="AJ789" s="15">
        <f t="shared" si="84"/>
        <v>1606022</v>
      </c>
      <c r="AK789" s="15" t="str">
        <f t="shared" si="85"/>
        <v>高级神器2配件2-雀环Lvs16</v>
      </c>
      <c r="AL789" s="60" t="s">
        <v>645</v>
      </c>
      <c r="AM789" s="15">
        <f t="shared" si="86"/>
        <v>16</v>
      </c>
      <c r="AN789" s="15" t="str">
        <f t="shared" si="87"/>
        <v>高级神器2配件2</v>
      </c>
      <c r="AO789" s="15">
        <f>INDEX(芦花古楼!$BX$19:$BX$58,神器!AM789)</f>
        <v>10</v>
      </c>
      <c r="AP789" s="15" t="s">
        <v>88</v>
      </c>
      <c r="AQ789" s="15">
        <f t="shared" si="88"/>
        <v>2770</v>
      </c>
      <c r="AR789" s="15" t="s">
        <v>654</v>
      </c>
      <c r="AS789" s="15">
        <f t="shared" si="89"/>
        <v>59</v>
      </c>
    </row>
    <row r="790" spans="35:45" ht="16.5" x14ac:dyDescent="0.2">
      <c r="AI790" s="60">
        <v>777</v>
      </c>
      <c r="AJ790" s="15">
        <f t="shared" si="84"/>
        <v>1606022</v>
      </c>
      <c r="AK790" s="15" t="str">
        <f t="shared" si="85"/>
        <v>高级神器2配件2-雀环Lvs17</v>
      </c>
      <c r="AL790" s="60" t="s">
        <v>645</v>
      </c>
      <c r="AM790" s="15">
        <f t="shared" si="86"/>
        <v>17</v>
      </c>
      <c r="AN790" s="15" t="str">
        <f t="shared" si="87"/>
        <v>高级神器2配件2</v>
      </c>
      <c r="AO790" s="15">
        <f>INDEX(芦花古楼!$BX$19:$BX$58,神器!AM790)</f>
        <v>10</v>
      </c>
      <c r="AP790" s="15" t="s">
        <v>88</v>
      </c>
      <c r="AQ790" s="15">
        <f t="shared" si="88"/>
        <v>3020</v>
      </c>
      <c r="AR790" s="15" t="s">
        <v>654</v>
      </c>
      <c r="AS790" s="15">
        <f t="shared" si="89"/>
        <v>64</v>
      </c>
    </row>
    <row r="791" spans="35:45" ht="16.5" x14ac:dyDescent="0.2">
      <c r="AI791" s="60">
        <v>778</v>
      </c>
      <c r="AJ791" s="15">
        <f t="shared" si="84"/>
        <v>1606022</v>
      </c>
      <c r="AK791" s="15" t="str">
        <f t="shared" si="85"/>
        <v>高级神器2配件2-雀环Lvs18</v>
      </c>
      <c r="AL791" s="60" t="s">
        <v>645</v>
      </c>
      <c r="AM791" s="15">
        <f t="shared" si="86"/>
        <v>18</v>
      </c>
      <c r="AN791" s="15" t="str">
        <f t="shared" si="87"/>
        <v>高级神器2配件2</v>
      </c>
      <c r="AO791" s="15">
        <f>INDEX(芦花古楼!$BX$19:$BX$58,神器!AM791)</f>
        <v>10</v>
      </c>
      <c r="AP791" s="15" t="s">
        <v>88</v>
      </c>
      <c r="AQ791" s="15">
        <f t="shared" si="88"/>
        <v>3275</v>
      </c>
      <c r="AR791" s="15" t="s">
        <v>654</v>
      </c>
      <c r="AS791" s="15">
        <f t="shared" si="89"/>
        <v>69</v>
      </c>
    </row>
    <row r="792" spans="35:45" ht="16.5" x14ac:dyDescent="0.2">
      <c r="AI792" s="60">
        <v>779</v>
      </c>
      <c r="AJ792" s="15">
        <f t="shared" si="84"/>
        <v>1606022</v>
      </c>
      <c r="AK792" s="15" t="str">
        <f t="shared" si="85"/>
        <v>高级神器2配件2-雀环Lvs19</v>
      </c>
      <c r="AL792" s="60" t="s">
        <v>645</v>
      </c>
      <c r="AM792" s="15">
        <f t="shared" si="86"/>
        <v>19</v>
      </c>
      <c r="AN792" s="15" t="str">
        <f t="shared" si="87"/>
        <v>高级神器2配件2</v>
      </c>
      <c r="AO792" s="15">
        <f>INDEX(芦花古楼!$BX$19:$BX$58,神器!AM792)</f>
        <v>10</v>
      </c>
      <c r="AP792" s="15" t="s">
        <v>88</v>
      </c>
      <c r="AQ792" s="15">
        <f t="shared" si="88"/>
        <v>3525</v>
      </c>
      <c r="AR792" s="15" t="s">
        <v>654</v>
      </c>
      <c r="AS792" s="15">
        <f t="shared" si="89"/>
        <v>74</v>
      </c>
    </row>
    <row r="793" spans="35:45" ht="16.5" x14ac:dyDescent="0.2">
      <c r="AI793" s="60">
        <v>780</v>
      </c>
      <c r="AJ793" s="15">
        <f t="shared" si="84"/>
        <v>1606022</v>
      </c>
      <c r="AK793" s="15" t="str">
        <f t="shared" si="85"/>
        <v>高级神器2配件2-雀环Lvs20</v>
      </c>
      <c r="AL793" s="60" t="s">
        <v>645</v>
      </c>
      <c r="AM793" s="15">
        <f t="shared" si="86"/>
        <v>20</v>
      </c>
      <c r="AN793" s="15" t="str">
        <f t="shared" si="87"/>
        <v>高级神器2配件2</v>
      </c>
      <c r="AO793" s="15">
        <f>INDEX(芦花古楼!$BX$19:$BX$58,神器!AM793)</f>
        <v>10</v>
      </c>
      <c r="AP793" s="15" t="s">
        <v>88</v>
      </c>
      <c r="AQ793" s="15">
        <f t="shared" si="88"/>
        <v>4030</v>
      </c>
      <c r="AR793" s="15" t="s">
        <v>654</v>
      </c>
      <c r="AS793" s="15">
        <f t="shared" si="89"/>
        <v>80</v>
      </c>
    </row>
    <row r="794" spans="35:45" ht="16.5" x14ac:dyDescent="0.2">
      <c r="AI794" s="60">
        <v>781</v>
      </c>
      <c r="AJ794" s="15">
        <f t="shared" si="84"/>
        <v>1606022</v>
      </c>
      <c r="AK794" s="15" t="str">
        <f t="shared" si="85"/>
        <v>高级神器2配件2-雀环Lvs21</v>
      </c>
      <c r="AL794" s="60" t="s">
        <v>645</v>
      </c>
      <c r="AM794" s="15">
        <f t="shared" si="86"/>
        <v>21</v>
      </c>
      <c r="AN794" s="15" t="str">
        <f t="shared" si="87"/>
        <v>高级神器2配件2</v>
      </c>
      <c r="AO794" s="15">
        <f>INDEX(芦花古楼!$BX$19:$BX$58,神器!AM794)</f>
        <v>15</v>
      </c>
      <c r="AP794" s="15" t="s">
        <v>88</v>
      </c>
      <c r="AQ794" s="15">
        <f t="shared" si="88"/>
        <v>4450</v>
      </c>
      <c r="AR794" s="15" t="s">
        <v>654</v>
      </c>
      <c r="AS794" s="15">
        <f t="shared" si="89"/>
        <v>86</v>
      </c>
    </row>
    <row r="795" spans="35:45" ht="16.5" x14ac:dyDescent="0.2">
      <c r="AI795" s="60">
        <v>782</v>
      </c>
      <c r="AJ795" s="15">
        <f t="shared" si="84"/>
        <v>1606022</v>
      </c>
      <c r="AK795" s="15" t="str">
        <f t="shared" si="85"/>
        <v>高级神器2配件2-雀环Lvs22</v>
      </c>
      <c r="AL795" s="60" t="s">
        <v>645</v>
      </c>
      <c r="AM795" s="15">
        <f t="shared" si="86"/>
        <v>22</v>
      </c>
      <c r="AN795" s="15" t="str">
        <f t="shared" si="87"/>
        <v>高级神器2配件2</v>
      </c>
      <c r="AO795" s="15">
        <f>INDEX(芦花古楼!$BX$19:$BX$58,神器!AM795)</f>
        <v>15</v>
      </c>
      <c r="AP795" s="15" t="s">
        <v>88</v>
      </c>
      <c r="AQ795" s="15">
        <f t="shared" si="88"/>
        <v>4675</v>
      </c>
      <c r="AR795" s="15" t="s">
        <v>654</v>
      </c>
      <c r="AS795" s="15">
        <f t="shared" si="89"/>
        <v>92</v>
      </c>
    </row>
    <row r="796" spans="35:45" ht="16.5" x14ac:dyDescent="0.2">
      <c r="AI796" s="60">
        <v>783</v>
      </c>
      <c r="AJ796" s="15">
        <f t="shared" si="84"/>
        <v>1606022</v>
      </c>
      <c r="AK796" s="15" t="str">
        <f t="shared" si="85"/>
        <v>高级神器2配件2-雀环Lvs23</v>
      </c>
      <c r="AL796" s="60" t="s">
        <v>645</v>
      </c>
      <c r="AM796" s="15">
        <f t="shared" si="86"/>
        <v>23</v>
      </c>
      <c r="AN796" s="15" t="str">
        <f t="shared" si="87"/>
        <v>高级神器2配件2</v>
      </c>
      <c r="AO796" s="15">
        <f>INDEX(芦花古楼!$BX$19:$BX$58,神器!AM796)</f>
        <v>15</v>
      </c>
      <c r="AP796" s="15" t="s">
        <v>88</v>
      </c>
      <c r="AQ796" s="15">
        <f t="shared" si="88"/>
        <v>4895</v>
      </c>
      <c r="AR796" s="15" t="s">
        <v>654</v>
      </c>
      <c r="AS796" s="15">
        <f t="shared" si="89"/>
        <v>99</v>
      </c>
    </row>
    <row r="797" spans="35:45" ht="16.5" x14ac:dyDescent="0.2">
      <c r="AI797" s="60">
        <v>784</v>
      </c>
      <c r="AJ797" s="15">
        <f t="shared" si="84"/>
        <v>1606022</v>
      </c>
      <c r="AK797" s="15" t="str">
        <f t="shared" si="85"/>
        <v>高级神器2配件2-雀环Lvs24</v>
      </c>
      <c r="AL797" s="60" t="s">
        <v>645</v>
      </c>
      <c r="AM797" s="15">
        <f t="shared" si="86"/>
        <v>24</v>
      </c>
      <c r="AN797" s="15" t="str">
        <f t="shared" si="87"/>
        <v>高级神器2配件2</v>
      </c>
      <c r="AO797" s="15">
        <f>INDEX(芦花古楼!$BX$19:$BX$58,神器!AM797)</f>
        <v>15</v>
      </c>
      <c r="AP797" s="15" t="s">
        <v>88</v>
      </c>
      <c r="AQ797" s="15">
        <f t="shared" si="88"/>
        <v>5120</v>
      </c>
      <c r="AR797" s="15" t="s">
        <v>654</v>
      </c>
      <c r="AS797" s="15">
        <f t="shared" si="89"/>
        <v>106</v>
      </c>
    </row>
    <row r="798" spans="35:45" ht="16.5" x14ac:dyDescent="0.2">
      <c r="AI798" s="60">
        <v>785</v>
      </c>
      <c r="AJ798" s="15">
        <f t="shared" si="84"/>
        <v>1606022</v>
      </c>
      <c r="AK798" s="15" t="str">
        <f t="shared" si="85"/>
        <v>高级神器2配件2-雀环Lvs25</v>
      </c>
      <c r="AL798" s="60" t="s">
        <v>645</v>
      </c>
      <c r="AM798" s="15">
        <f t="shared" si="86"/>
        <v>25</v>
      </c>
      <c r="AN798" s="15" t="str">
        <f t="shared" si="87"/>
        <v>高级神器2配件2</v>
      </c>
      <c r="AO798" s="15">
        <f>INDEX(芦花古楼!$BX$19:$BX$58,神器!AM798)</f>
        <v>15</v>
      </c>
      <c r="AP798" s="15" t="s">
        <v>88</v>
      </c>
      <c r="AQ798" s="15">
        <f t="shared" si="88"/>
        <v>5340</v>
      </c>
      <c r="AR798" s="15" t="s">
        <v>654</v>
      </c>
      <c r="AS798" s="15">
        <f t="shared" si="89"/>
        <v>113</v>
      </c>
    </row>
    <row r="799" spans="35:45" ht="16.5" x14ac:dyDescent="0.2">
      <c r="AI799" s="60">
        <v>786</v>
      </c>
      <c r="AJ799" s="15">
        <f t="shared" si="84"/>
        <v>1606022</v>
      </c>
      <c r="AK799" s="15" t="str">
        <f t="shared" si="85"/>
        <v>高级神器2配件2-雀环Lvs26</v>
      </c>
      <c r="AL799" s="60" t="s">
        <v>645</v>
      </c>
      <c r="AM799" s="15">
        <f t="shared" si="86"/>
        <v>26</v>
      </c>
      <c r="AN799" s="15" t="str">
        <f t="shared" si="87"/>
        <v>高级神器2配件2</v>
      </c>
      <c r="AO799" s="15">
        <f>INDEX(芦花古楼!$BX$19:$BX$58,神器!AM799)</f>
        <v>25</v>
      </c>
      <c r="AP799" s="15" t="s">
        <v>88</v>
      </c>
      <c r="AQ799" s="15">
        <f t="shared" si="88"/>
        <v>5565</v>
      </c>
      <c r="AR799" s="15" t="s">
        <v>654</v>
      </c>
      <c r="AS799" s="15">
        <f t="shared" si="89"/>
        <v>121</v>
      </c>
    </row>
    <row r="800" spans="35:45" ht="16.5" x14ac:dyDescent="0.2">
      <c r="AI800" s="60">
        <v>787</v>
      </c>
      <c r="AJ800" s="15">
        <f t="shared" si="84"/>
        <v>1606022</v>
      </c>
      <c r="AK800" s="15" t="str">
        <f t="shared" si="85"/>
        <v>高级神器2配件2-雀环Lvs27</v>
      </c>
      <c r="AL800" s="60" t="s">
        <v>645</v>
      </c>
      <c r="AM800" s="15">
        <f t="shared" si="86"/>
        <v>27</v>
      </c>
      <c r="AN800" s="15" t="str">
        <f t="shared" si="87"/>
        <v>高级神器2配件2</v>
      </c>
      <c r="AO800" s="15">
        <f>INDEX(芦花古楼!$BX$19:$BX$58,神器!AM800)</f>
        <v>25</v>
      </c>
      <c r="AP800" s="15" t="s">
        <v>88</v>
      </c>
      <c r="AQ800" s="15">
        <f t="shared" si="88"/>
        <v>5785</v>
      </c>
      <c r="AR800" s="15" t="s">
        <v>654</v>
      </c>
      <c r="AS800" s="15">
        <f t="shared" si="89"/>
        <v>129</v>
      </c>
    </row>
    <row r="801" spans="35:45" ht="16.5" x14ac:dyDescent="0.2">
      <c r="AI801" s="60">
        <v>788</v>
      </c>
      <c r="AJ801" s="15">
        <f t="shared" si="84"/>
        <v>1606022</v>
      </c>
      <c r="AK801" s="15" t="str">
        <f t="shared" si="85"/>
        <v>高级神器2配件2-雀环Lvs28</v>
      </c>
      <c r="AL801" s="60" t="s">
        <v>645</v>
      </c>
      <c r="AM801" s="15">
        <f t="shared" si="86"/>
        <v>28</v>
      </c>
      <c r="AN801" s="15" t="str">
        <f t="shared" si="87"/>
        <v>高级神器2配件2</v>
      </c>
      <c r="AO801" s="15">
        <f>INDEX(芦花古楼!$BX$19:$BX$58,神器!AM801)</f>
        <v>25</v>
      </c>
      <c r="AP801" s="15" t="s">
        <v>88</v>
      </c>
      <c r="AQ801" s="15">
        <f t="shared" si="88"/>
        <v>6010</v>
      </c>
      <c r="AR801" s="15" t="s">
        <v>654</v>
      </c>
      <c r="AS801" s="15">
        <f t="shared" si="89"/>
        <v>138</v>
      </c>
    </row>
    <row r="802" spans="35:45" ht="16.5" x14ac:dyDescent="0.2">
      <c r="AI802" s="60">
        <v>789</v>
      </c>
      <c r="AJ802" s="15">
        <f t="shared" si="84"/>
        <v>1606022</v>
      </c>
      <c r="AK802" s="15" t="str">
        <f t="shared" si="85"/>
        <v>高级神器2配件2-雀环Lvs29</v>
      </c>
      <c r="AL802" s="60" t="s">
        <v>645</v>
      </c>
      <c r="AM802" s="15">
        <f t="shared" si="86"/>
        <v>29</v>
      </c>
      <c r="AN802" s="15" t="str">
        <f t="shared" si="87"/>
        <v>高级神器2配件2</v>
      </c>
      <c r="AO802" s="15">
        <f>INDEX(芦花古楼!$BX$19:$BX$58,神器!AM802)</f>
        <v>25</v>
      </c>
      <c r="AP802" s="15" t="s">
        <v>88</v>
      </c>
      <c r="AQ802" s="15">
        <f t="shared" si="88"/>
        <v>6230</v>
      </c>
      <c r="AR802" s="15" t="s">
        <v>654</v>
      </c>
      <c r="AS802" s="15">
        <f t="shared" si="89"/>
        <v>146</v>
      </c>
    </row>
    <row r="803" spans="35:45" ht="16.5" x14ac:dyDescent="0.2">
      <c r="AI803" s="60">
        <v>790</v>
      </c>
      <c r="AJ803" s="15">
        <f t="shared" si="84"/>
        <v>1606022</v>
      </c>
      <c r="AK803" s="15" t="str">
        <f t="shared" si="85"/>
        <v>高级神器2配件2-雀环Lvs30</v>
      </c>
      <c r="AL803" s="60" t="s">
        <v>645</v>
      </c>
      <c r="AM803" s="15">
        <f t="shared" si="86"/>
        <v>30</v>
      </c>
      <c r="AN803" s="15" t="str">
        <f t="shared" si="87"/>
        <v>高级神器2配件2</v>
      </c>
      <c r="AO803" s="15">
        <f>INDEX(芦花古楼!$BX$19:$BX$58,神器!AM803)</f>
        <v>25</v>
      </c>
      <c r="AP803" s="15" t="s">
        <v>88</v>
      </c>
      <c r="AQ803" s="15">
        <f t="shared" si="88"/>
        <v>6675</v>
      </c>
      <c r="AR803" s="15" t="s">
        <v>654</v>
      </c>
      <c r="AS803" s="15">
        <f t="shared" si="89"/>
        <v>156</v>
      </c>
    </row>
    <row r="804" spans="35:45" ht="16.5" x14ac:dyDescent="0.2">
      <c r="AI804" s="60">
        <v>791</v>
      </c>
      <c r="AJ804" s="15">
        <f t="shared" si="84"/>
        <v>1606022</v>
      </c>
      <c r="AK804" s="15" t="str">
        <f t="shared" si="85"/>
        <v>高级神器2配件2-雀环Lvs31</v>
      </c>
      <c r="AL804" s="60" t="s">
        <v>645</v>
      </c>
      <c r="AM804" s="15">
        <f t="shared" si="86"/>
        <v>31</v>
      </c>
      <c r="AN804" s="15" t="str">
        <f t="shared" si="87"/>
        <v>高级神器2配件2</v>
      </c>
      <c r="AO804" s="15">
        <f>INDEX(芦花古楼!$BX$19:$BX$58,神器!AM804)</f>
        <v>30</v>
      </c>
      <c r="AP804" s="15" t="s">
        <v>88</v>
      </c>
      <c r="AQ804" s="15">
        <f t="shared" si="88"/>
        <v>6510</v>
      </c>
      <c r="AR804" s="15" t="s">
        <v>654</v>
      </c>
      <c r="AS804" s="15">
        <f t="shared" si="89"/>
        <v>166</v>
      </c>
    </row>
    <row r="805" spans="35:45" ht="16.5" x14ac:dyDescent="0.2">
      <c r="AI805" s="60">
        <v>792</v>
      </c>
      <c r="AJ805" s="15">
        <f t="shared" si="84"/>
        <v>1606022</v>
      </c>
      <c r="AK805" s="15" t="str">
        <f t="shared" si="85"/>
        <v>高级神器2配件2-雀环Lvs32</v>
      </c>
      <c r="AL805" s="60" t="s">
        <v>645</v>
      </c>
      <c r="AM805" s="15">
        <f t="shared" si="86"/>
        <v>32</v>
      </c>
      <c r="AN805" s="15" t="str">
        <f t="shared" si="87"/>
        <v>高级神器2配件2</v>
      </c>
      <c r="AO805" s="15">
        <f>INDEX(芦花古楼!$BX$19:$BX$58,神器!AM805)</f>
        <v>30</v>
      </c>
      <c r="AP805" s="15" t="s">
        <v>88</v>
      </c>
      <c r="AQ805" s="15">
        <f t="shared" si="88"/>
        <v>9765</v>
      </c>
      <c r="AR805" s="15" t="s">
        <v>654</v>
      </c>
      <c r="AS805" s="15">
        <f t="shared" si="89"/>
        <v>176</v>
      </c>
    </row>
    <row r="806" spans="35:45" ht="16.5" x14ac:dyDescent="0.2">
      <c r="AI806" s="60">
        <v>793</v>
      </c>
      <c r="AJ806" s="15">
        <f t="shared" si="84"/>
        <v>1606022</v>
      </c>
      <c r="AK806" s="15" t="str">
        <f t="shared" si="85"/>
        <v>高级神器2配件2-雀环Lvs33</v>
      </c>
      <c r="AL806" s="60" t="s">
        <v>645</v>
      </c>
      <c r="AM806" s="15">
        <f t="shared" si="86"/>
        <v>33</v>
      </c>
      <c r="AN806" s="15" t="str">
        <f t="shared" si="87"/>
        <v>高级神器2配件2</v>
      </c>
      <c r="AO806" s="15">
        <f>INDEX(芦花古楼!$BX$19:$BX$58,神器!AM806)</f>
        <v>30</v>
      </c>
      <c r="AP806" s="15" t="s">
        <v>88</v>
      </c>
      <c r="AQ806" s="15">
        <f t="shared" si="88"/>
        <v>13020</v>
      </c>
      <c r="AR806" s="15" t="s">
        <v>654</v>
      </c>
      <c r="AS806" s="15">
        <f t="shared" si="89"/>
        <v>187</v>
      </c>
    </row>
    <row r="807" spans="35:45" ht="16.5" x14ac:dyDescent="0.2">
      <c r="AI807" s="60">
        <v>794</v>
      </c>
      <c r="AJ807" s="15">
        <f t="shared" si="84"/>
        <v>1606022</v>
      </c>
      <c r="AK807" s="15" t="str">
        <f t="shared" si="85"/>
        <v>高级神器2配件2-雀环Lvs34</v>
      </c>
      <c r="AL807" s="60" t="s">
        <v>645</v>
      </c>
      <c r="AM807" s="15">
        <f t="shared" si="86"/>
        <v>34</v>
      </c>
      <c r="AN807" s="15" t="str">
        <f t="shared" si="87"/>
        <v>高级神器2配件2</v>
      </c>
      <c r="AO807" s="15">
        <f>INDEX(芦花古楼!$BX$19:$BX$58,神器!AM807)</f>
        <v>30</v>
      </c>
      <c r="AP807" s="15" t="s">
        <v>88</v>
      </c>
      <c r="AQ807" s="15">
        <f t="shared" si="88"/>
        <v>16275</v>
      </c>
      <c r="AR807" s="15" t="s">
        <v>654</v>
      </c>
      <c r="AS807" s="15">
        <f t="shared" si="89"/>
        <v>198</v>
      </c>
    </row>
    <row r="808" spans="35:45" ht="16.5" x14ac:dyDescent="0.2">
      <c r="AI808" s="60">
        <v>795</v>
      </c>
      <c r="AJ808" s="15">
        <f t="shared" si="84"/>
        <v>1606022</v>
      </c>
      <c r="AK808" s="15" t="str">
        <f t="shared" si="85"/>
        <v>高级神器2配件2-雀环Lvs35</v>
      </c>
      <c r="AL808" s="60" t="s">
        <v>645</v>
      </c>
      <c r="AM808" s="15">
        <f t="shared" si="86"/>
        <v>35</v>
      </c>
      <c r="AN808" s="15" t="str">
        <f t="shared" si="87"/>
        <v>高级神器2配件2</v>
      </c>
      <c r="AO808" s="15">
        <f>INDEX(芦花古楼!$BX$19:$BX$58,神器!AM808)</f>
        <v>30</v>
      </c>
      <c r="AP808" s="15" t="s">
        <v>88</v>
      </c>
      <c r="AQ808" s="15">
        <f t="shared" si="88"/>
        <v>19530</v>
      </c>
      <c r="AR808" s="15" t="s">
        <v>654</v>
      </c>
      <c r="AS808" s="15">
        <f t="shared" si="89"/>
        <v>210</v>
      </c>
    </row>
    <row r="809" spans="35:45" ht="16.5" x14ac:dyDescent="0.2">
      <c r="AI809" s="60">
        <v>796</v>
      </c>
      <c r="AJ809" s="15">
        <f t="shared" si="84"/>
        <v>1606022</v>
      </c>
      <c r="AK809" s="15" t="str">
        <f t="shared" si="85"/>
        <v>高级神器2配件2-雀环Lvs36</v>
      </c>
      <c r="AL809" s="60" t="s">
        <v>645</v>
      </c>
      <c r="AM809" s="15">
        <f t="shared" si="86"/>
        <v>36</v>
      </c>
      <c r="AN809" s="15" t="str">
        <f t="shared" si="87"/>
        <v>高级神器2配件2</v>
      </c>
      <c r="AO809" s="15">
        <f>INDEX(芦花古楼!$BX$19:$BX$58,神器!AM809)</f>
        <v>40</v>
      </c>
      <c r="AP809" s="15" t="s">
        <v>88</v>
      </c>
      <c r="AQ809" s="15">
        <f t="shared" si="88"/>
        <v>22785</v>
      </c>
      <c r="AR809" s="15" t="s">
        <v>654</v>
      </c>
      <c r="AS809" s="15">
        <f t="shared" si="89"/>
        <v>222</v>
      </c>
    </row>
    <row r="810" spans="35:45" ht="16.5" x14ac:dyDescent="0.2">
      <c r="AI810" s="60">
        <v>797</v>
      </c>
      <c r="AJ810" s="15">
        <f t="shared" si="84"/>
        <v>1606022</v>
      </c>
      <c r="AK810" s="15" t="str">
        <f t="shared" si="85"/>
        <v>高级神器2配件2-雀环Lvs37</v>
      </c>
      <c r="AL810" s="60" t="s">
        <v>645</v>
      </c>
      <c r="AM810" s="15">
        <f t="shared" si="86"/>
        <v>37</v>
      </c>
      <c r="AN810" s="15" t="str">
        <f t="shared" si="87"/>
        <v>高级神器2配件2</v>
      </c>
      <c r="AO810" s="15">
        <f>INDEX(芦花古楼!$BX$19:$BX$58,神器!AM810)</f>
        <v>40</v>
      </c>
      <c r="AP810" s="15" t="s">
        <v>88</v>
      </c>
      <c r="AQ810" s="15">
        <f t="shared" si="88"/>
        <v>26040</v>
      </c>
      <c r="AR810" s="15" t="s">
        <v>654</v>
      </c>
      <c r="AS810" s="15">
        <f t="shared" si="89"/>
        <v>236</v>
      </c>
    </row>
    <row r="811" spans="35:45" ht="16.5" x14ac:dyDescent="0.2">
      <c r="AI811" s="60">
        <v>798</v>
      </c>
      <c r="AJ811" s="15">
        <f t="shared" si="84"/>
        <v>1606022</v>
      </c>
      <c r="AK811" s="15" t="str">
        <f t="shared" si="85"/>
        <v>高级神器2配件2-雀环Lvs38</v>
      </c>
      <c r="AL811" s="60" t="s">
        <v>645</v>
      </c>
      <c r="AM811" s="15">
        <f t="shared" si="86"/>
        <v>38</v>
      </c>
      <c r="AN811" s="15" t="str">
        <f t="shared" si="87"/>
        <v>高级神器2配件2</v>
      </c>
      <c r="AO811" s="15">
        <f>INDEX(芦花古楼!$BX$19:$BX$58,神器!AM811)</f>
        <v>40</v>
      </c>
      <c r="AP811" s="15" t="s">
        <v>88</v>
      </c>
      <c r="AQ811" s="15">
        <f t="shared" si="88"/>
        <v>29295</v>
      </c>
      <c r="AR811" s="15" t="s">
        <v>654</v>
      </c>
      <c r="AS811" s="15">
        <f t="shared" si="89"/>
        <v>249</v>
      </c>
    </row>
    <row r="812" spans="35:45" ht="16.5" x14ac:dyDescent="0.2">
      <c r="AI812" s="60">
        <v>799</v>
      </c>
      <c r="AJ812" s="15">
        <f t="shared" si="84"/>
        <v>1606022</v>
      </c>
      <c r="AK812" s="15" t="str">
        <f t="shared" si="85"/>
        <v>高级神器2配件2-雀环Lvs39</v>
      </c>
      <c r="AL812" s="60" t="s">
        <v>645</v>
      </c>
      <c r="AM812" s="15">
        <f t="shared" si="86"/>
        <v>39</v>
      </c>
      <c r="AN812" s="15" t="str">
        <f t="shared" si="87"/>
        <v>高级神器2配件2</v>
      </c>
      <c r="AO812" s="15">
        <f>INDEX(芦花古楼!$BX$19:$BX$58,神器!AM812)</f>
        <v>40</v>
      </c>
      <c r="AP812" s="15" t="s">
        <v>88</v>
      </c>
      <c r="AQ812" s="15">
        <f t="shared" si="88"/>
        <v>32550</v>
      </c>
      <c r="AR812" s="15" t="s">
        <v>654</v>
      </c>
      <c r="AS812" s="15">
        <f t="shared" si="89"/>
        <v>264</v>
      </c>
    </row>
    <row r="813" spans="35:45" ht="16.5" x14ac:dyDescent="0.2">
      <c r="AI813" s="60">
        <v>800</v>
      </c>
      <c r="AJ813" s="15">
        <f t="shared" si="84"/>
        <v>1606022</v>
      </c>
      <c r="AK813" s="15" t="str">
        <f t="shared" si="85"/>
        <v>高级神器2配件2-雀环Lvs40</v>
      </c>
      <c r="AL813" s="60" t="s">
        <v>645</v>
      </c>
      <c r="AM813" s="15">
        <f t="shared" si="86"/>
        <v>40</v>
      </c>
      <c r="AN813" s="15" t="str">
        <f t="shared" si="87"/>
        <v>高级神器2配件2</v>
      </c>
      <c r="AO813" s="15">
        <f>INDEX(芦花古楼!$BX$19:$BX$58,神器!AM813)</f>
        <v>40</v>
      </c>
      <c r="AP813" s="15" t="s">
        <v>88</v>
      </c>
      <c r="AQ813" s="15">
        <f t="shared" si="88"/>
        <v>39060</v>
      </c>
      <c r="AR813" s="15" t="s">
        <v>654</v>
      </c>
      <c r="AS813" s="15">
        <f t="shared" si="89"/>
        <v>279</v>
      </c>
    </row>
    <row r="814" spans="35:45" ht="16.5" x14ac:dyDescent="0.2">
      <c r="AI814" s="60">
        <v>801</v>
      </c>
      <c r="AJ814" s="15">
        <f t="shared" si="84"/>
        <v>1606023</v>
      </c>
      <c r="AK814" s="15" t="str">
        <f t="shared" si="85"/>
        <v>高级神器2配件3-龙印Lvs1</v>
      </c>
      <c r="AL814" s="60" t="s">
        <v>645</v>
      </c>
      <c r="AM814" s="15">
        <f t="shared" si="86"/>
        <v>1</v>
      </c>
      <c r="AN814" s="15" t="str">
        <f t="shared" si="87"/>
        <v>高级神器2配件3</v>
      </c>
      <c r="AO814" s="15">
        <f>INDEX(芦花古楼!$BX$19:$BX$58,神器!AM814)</f>
        <v>1</v>
      </c>
      <c r="AP814" s="15" t="s">
        <v>88</v>
      </c>
      <c r="AQ814" s="15">
        <f t="shared" si="88"/>
        <v>330</v>
      </c>
      <c r="AR814" s="15" t="s">
        <v>654</v>
      </c>
      <c r="AS814" s="15">
        <f t="shared" si="89"/>
        <v>13</v>
      </c>
    </row>
    <row r="815" spans="35:45" ht="16.5" x14ac:dyDescent="0.2">
      <c r="AI815" s="60">
        <v>802</v>
      </c>
      <c r="AJ815" s="15">
        <f t="shared" si="84"/>
        <v>1606023</v>
      </c>
      <c r="AK815" s="15" t="str">
        <f t="shared" si="85"/>
        <v>高级神器2配件3-龙印Lvs2</v>
      </c>
      <c r="AL815" s="60" t="s">
        <v>645</v>
      </c>
      <c r="AM815" s="15">
        <f t="shared" si="86"/>
        <v>2</v>
      </c>
      <c r="AN815" s="15" t="str">
        <f t="shared" si="87"/>
        <v>高级神器2配件3</v>
      </c>
      <c r="AO815" s="15">
        <f>INDEX(芦花古楼!$BX$19:$BX$58,神器!AM815)</f>
        <v>1</v>
      </c>
      <c r="AP815" s="15" t="s">
        <v>88</v>
      </c>
      <c r="AQ815" s="15">
        <f t="shared" si="88"/>
        <v>500</v>
      </c>
      <c r="AR815" s="15" t="s">
        <v>654</v>
      </c>
      <c r="AS815" s="15">
        <f t="shared" si="89"/>
        <v>17</v>
      </c>
    </row>
    <row r="816" spans="35:45" ht="16.5" x14ac:dyDescent="0.2">
      <c r="AI816" s="60">
        <v>803</v>
      </c>
      <c r="AJ816" s="15">
        <f t="shared" si="84"/>
        <v>1606023</v>
      </c>
      <c r="AK816" s="15" t="str">
        <f t="shared" si="85"/>
        <v>高级神器2配件3-龙印Lvs3</v>
      </c>
      <c r="AL816" s="60" t="s">
        <v>645</v>
      </c>
      <c r="AM816" s="15">
        <f t="shared" si="86"/>
        <v>3</v>
      </c>
      <c r="AN816" s="15" t="str">
        <f t="shared" si="87"/>
        <v>高级神器2配件3</v>
      </c>
      <c r="AO816" s="15">
        <f>INDEX(芦花古楼!$BX$19:$BX$58,神器!AM816)</f>
        <v>2</v>
      </c>
      <c r="AP816" s="15" t="s">
        <v>88</v>
      </c>
      <c r="AQ816" s="15">
        <f t="shared" si="88"/>
        <v>665</v>
      </c>
      <c r="AR816" s="15" t="s">
        <v>654</v>
      </c>
      <c r="AS816" s="15">
        <f t="shared" si="89"/>
        <v>21</v>
      </c>
    </row>
    <row r="817" spans="35:45" ht="16.5" x14ac:dyDescent="0.2">
      <c r="AI817" s="60">
        <v>804</v>
      </c>
      <c r="AJ817" s="15">
        <f t="shared" si="84"/>
        <v>1606023</v>
      </c>
      <c r="AK817" s="15" t="str">
        <f t="shared" si="85"/>
        <v>高级神器2配件3-龙印Lvs4</v>
      </c>
      <c r="AL817" s="60" t="s">
        <v>645</v>
      </c>
      <c r="AM817" s="15">
        <f t="shared" si="86"/>
        <v>4</v>
      </c>
      <c r="AN817" s="15" t="str">
        <f t="shared" si="87"/>
        <v>高级神器2配件3</v>
      </c>
      <c r="AO817" s="15">
        <f>INDEX(芦花古楼!$BX$19:$BX$58,神器!AM817)</f>
        <v>3</v>
      </c>
      <c r="AP817" s="15" t="s">
        <v>88</v>
      </c>
      <c r="AQ817" s="15">
        <f t="shared" si="88"/>
        <v>835</v>
      </c>
      <c r="AR817" s="15" t="s">
        <v>654</v>
      </c>
      <c r="AS817" s="15">
        <f t="shared" si="89"/>
        <v>25</v>
      </c>
    </row>
    <row r="818" spans="35:45" ht="16.5" x14ac:dyDescent="0.2">
      <c r="AI818" s="60">
        <v>805</v>
      </c>
      <c r="AJ818" s="15">
        <f t="shared" si="84"/>
        <v>1606023</v>
      </c>
      <c r="AK818" s="15" t="str">
        <f t="shared" si="85"/>
        <v>高级神器2配件3-龙印Lvs5</v>
      </c>
      <c r="AL818" s="60" t="s">
        <v>645</v>
      </c>
      <c r="AM818" s="15">
        <f t="shared" si="86"/>
        <v>5</v>
      </c>
      <c r="AN818" s="15" t="str">
        <f t="shared" si="87"/>
        <v>高级神器2配件3</v>
      </c>
      <c r="AO818" s="15">
        <f>INDEX(芦花古楼!$BX$19:$BX$58,神器!AM818)</f>
        <v>3</v>
      </c>
      <c r="AP818" s="15" t="s">
        <v>88</v>
      </c>
      <c r="AQ818" s="15">
        <f t="shared" si="88"/>
        <v>1000</v>
      </c>
      <c r="AR818" s="15" t="s">
        <v>654</v>
      </c>
      <c r="AS818" s="15">
        <f t="shared" si="89"/>
        <v>30</v>
      </c>
    </row>
    <row r="819" spans="35:45" ht="16.5" x14ac:dyDescent="0.2">
      <c r="AI819" s="60">
        <v>806</v>
      </c>
      <c r="AJ819" s="15">
        <f t="shared" si="84"/>
        <v>1606023</v>
      </c>
      <c r="AK819" s="15" t="str">
        <f t="shared" si="85"/>
        <v>高级神器2配件3-龙印Lvs6</v>
      </c>
      <c r="AL819" s="60" t="s">
        <v>645</v>
      </c>
      <c r="AM819" s="15">
        <f t="shared" si="86"/>
        <v>6</v>
      </c>
      <c r="AN819" s="15" t="str">
        <f t="shared" si="87"/>
        <v>高级神器2配件3</v>
      </c>
      <c r="AO819" s="15">
        <f>INDEX(芦花古楼!$BX$19:$BX$58,神器!AM819)</f>
        <v>5</v>
      </c>
      <c r="AP819" s="15" t="s">
        <v>88</v>
      </c>
      <c r="AQ819" s="15">
        <f t="shared" si="88"/>
        <v>1170</v>
      </c>
      <c r="AR819" s="15" t="s">
        <v>654</v>
      </c>
      <c r="AS819" s="15">
        <f t="shared" si="89"/>
        <v>35</v>
      </c>
    </row>
    <row r="820" spans="35:45" ht="16.5" x14ac:dyDescent="0.2">
      <c r="AI820" s="60">
        <v>807</v>
      </c>
      <c r="AJ820" s="15">
        <f t="shared" si="84"/>
        <v>1606023</v>
      </c>
      <c r="AK820" s="15" t="str">
        <f t="shared" si="85"/>
        <v>高级神器2配件3-龙印Lvs7</v>
      </c>
      <c r="AL820" s="60" t="s">
        <v>645</v>
      </c>
      <c r="AM820" s="15">
        <f t="shared" si="86"/>
        <v>7</v>
      </c>
      <c r="AN820" s="15" t="str">
        <f t="shared" si="87"/>
        <v>高级神器2配件3</v>
      </c>
      <c r="AO820" s="15">
        <f>INDEX(芦花古楼!$BX$19:$BX$58,神器!AM820)</f>
        <v>5</v>
      </c>
      <c r="AP820" s="15" t="s">
        <v>88</v>
      </c>
      <c r="AQ820" s="15">
        <f t="shared" si="88"/>
        <v>1335</v>
      </c>
      <c r="AR820" s="15" t="s">
        <v>654</v>
      </c>
      <c r="AS820" s="15">
        <f t="shared" si="89"/>
        <v>40</v>
      </c>
    </row>
    <row r="821" spans="35:45" ht="16.5" x14ac:dyDescent="0.2">
      <c r="AI821" s="60">
        <v>808</v>
      </c>
      <c r="AJ821" s="15">
        <f t="shared" si="84"/>
        <v>1606023</v>
      </c>
      <c r="AK821" s="15" t="str">
        <f t="shared" si="85"/>
        <v>高级神器2配件3-龙印Lvs8</v>
      </c>
      <c r="AL821" s="60" t="s">
        <v>645</v>
      </c>
      <c r="AM821" s="15">
        <f t="shared" si="86"/>
        <v>8</v>
      </c>
      <c r="AN821" s="15" t="str">
        <f t="shared" si="87"/>
        <v>高级神器2配件3</v>
      </c>
      <c r="AO821" s="15">
        <f>INDEX(芦花古楼!$BX$19:$BX$58,神器!AM821)</f>
        <v>5</v>
      </c>
      <c r="AP821" s="15" t="s">
        <v>88</v>
      </c>
      <c r="AQ821" s="15">
        <f t="shared" si="88"/>
        <v>1505</v>
      </c>
      <c r="AR821" s="15" t="s">
        <v>654</v>
      </c>
      <c r="AS821" s="15">
        <f t="shared" si="89"/>
        <v>45</v>
      </c>
    </row>
    <row r="822" spans="35:45" ht="16.5" x14ac:dyDescent="0.2">
      <c r="AI822" s="60">
        <v>809</v>
      </c>
      <c r="AJ822" s="15">
        <f t="shared" si="84"/>
        <v>1606023</v>
      </c>
      <c r="AK822" s="15" t="str">
        <f t="shared" si="85"/>
        <v>高级神器2配件3-龙印Lvs9</v>
      </c>
      <c r="AL822" s="60" t="s">
        <v>645</v>
      </c>
      <c r="AM822" s="15">
        <f t="shared" si="86"/>
        <v>9</v>
      </c>
      <c r="AN822" s="15" t="str">
        <f t="shared" si="87"/>
        <v>高级神器2配件3</v>
      </c>
      <c r="AO822" s="15">
        <f>INDEX(芦花古楼!$BX$19:$BX$58,神器!AM822)</f>
        <v>5</v>
      </c>
      <c r="AP822" s="15" t="s">
        <v>88</v>
      </c>
      <c r="AQ822" s="15">
        <f t="shared" si="88"/>
        <v>1670</v>
      </c>
      <c r="AR822" s="15" t="s">
        <v>654</v>
      </c>
      <c r="AS822" s="15">
        <f t="shared" si="89"/>
        <v>51</v>
      </c>
    </row>
    <row r="823" spans="35:45" ht="16.5" x14ac:dyDescent="0.2">
      <c r="AI823" s="60">
        <v>810</v>
      </c>
      <c r="AJ823" s="15">
        <f t="shared" si="84"/>
        <v>1606023</v>
      </c>
      <c r="AK823" s="15" t="str">
        <f t="shared" si="85"/>
        <v>高级神器2配件3-龙印Lvs10</v>
      </c>
      <c r="AL823" s="60" t="s">
        <v>645</v>
      </c>
      <c r="AM823" s="15">
        <f t="shared" si="86"/>
        <v>10</v>
      </c>
      <c r="AN823" s="15" t="str">
        <f t="shared" si="87"/>
        <v>高级神器2配件3</v>
      </c>
      <c r="AO823" s="15">
        <f>INDEX(芦花古楼!$BX$19:$BX$58,神器!AM823)</f>
        <v>7</v>
      </c>
      <c r="AP823" s="15" t="s">
        <v>88</v>
      </c>
      <c r="AQ823" s="15">
        <f t="shared" si="88"/>
        <v>2005</v>
      </c>
      <c r="AR823" s="15" t="s">
        <v>654</v>
      </c>
      <c r="AS823" s="15">
        <f t="shared" si="89"/>
        <v>56</v>
      </c>
    </row>
    <row r="824" spans="35:45" ht="16.5" x14ac:dyDescent="0.2">
      <c r="AI824" s="60">
        <v>811</v>
      </c>
      <c r="AJ824" s="15">
        <f t="shared" si="84"/>
        <v>1606023</v>
      </c>
      <c r="AK824" s="15" t="str">
        <f t="shared" si="85"/>
        <v>高级神器2配件3-龙印Lvs11</v>
      </c>
      <c r="AL824" s="60" t="s">
        <v>645</v>
      </c>
      <c r="AM824" s="15">
        <f t="shared" si="86"/>
        <v>11</v>
      </c>
      <c r="AN824" s="15" t="str">
        <f t="shared" si="87"/>
        <v>高级神器2配件3</v>
      </c>
      <c r="AO824" s="15">
        <f>INDEX(芦花古楼!$BX$19:$BX$58,神器!AM824)</f>
        <v>7</v>
      </c>
      <c r="AP824" s="15" t="s">
        <v>88</v>
      </c>
      <c r="AQ824" s="15">
        <f t="shared" si="88"/>
        <v>2520</v>
      </c>
      <c r="AR824" s="15" t="s">
        <v>654</v>
      </c>
      <c r="AS824" s="15">
        <f t="shared" si="89"/>
        <v>63</v>
      </c>
    </row>
    <row r="825" spans="35:45" ht="16.5" x14ac:dyDescent="0.2">
      <c r="AI825" s="60">
        <v>812</v>
      </c>
      <c r="AJ825" s="15">
        <f t="shared" si="84"/>
        <v>1606023</v>
      </c>
      <c r="AK825" s="15" t="str">
        <f t="shared" si="85"/>
        <v>高级神器2配件3-龙印Lvs12</v>
      </c>
      <c r="AL825" s="60" t="s">
        <v>645</v>
      </c>
      <c r="AM825" s="15">
        <f t="shared" si="86"/>
        <v>12</v>
      </c>
      <c r="AN825" s="15" t="str">
        <f t="shared" si="87"/>
        <v>高级神器2配件3</v>
      </c>
      <c r="AO825" s="15">
        <f>INDEX(芦花古楼!$BX$19:$BX$58,神器!AM825)</f>
        <v>7</v>
      </c>
      <c r="AP825" s="15" t="s">
        <v>88</v>
      </c>
      <c r="AQ825" s="15">
        <f t="shared" si="88"/>
        <v>2940</v>
      </c>
      <c r="AR825" s="15" t="s">
        <v>654</v>
      </c>
      <c r="AS825" s="15">
        <f t="shared" si="89"/>
        <v>69</v>
      </c>
    </row>
    <row r="826" spans="35:45" ht="16.5" x14ac:dyDescent="0.2">
      <c r="AI826" s="60">
        <v>813</v>
      </c>
      <c r="AJ826" s="15">
        <f t="shared" si="84"/>
        <v>1606023</v>
      </c>
      <c r="AK826" s="15" t="str">
        <f t="shared" si="85"/>
        <v>高级神器2配件3-龙印Lvs13</v>
      </c>
      <c r="AL826" s="60" t="s">
        <v>645</v>
      </c>
      <c r="AM826" s="15">
        <f t="shared" si="86"/>
        <v>13</v>
      </c>
      <c r="AN826" s="15" t="str">
        <f t="shared" si="87"/>
        <v>高级神器2配件3</v>
      </c>
      <c r="AO826" s="15">
        <f>INDEX(芦花古楼!$BX$19:$BX$58,神器!AM826)</f>
        <v>7</v>
      </c>
      <c r="AP826" s="15" t="s">
        <v>88</v>
      </c>
      <c r="AQ826" s="15">
        <f t="shared" si="88"/>
        <v>3360</v>
      </c>
      <c r="AR826" s="15" t="s">
        <v>654</v>
      </c>
      <c r="AS826" s="15">
        <f t="shared" si="89"/>
        <v>76</v>
      </c>
    </row>
    <row r="827" spans="35:45" ht="16.5" x14ac:dyDescent="0.2">
      <c r="AI827" s="60">
        <v>814</v>
      </c>
      <c r="AJ827" s="15">
        <f t="shared" si="84"/>
        <v>1606023</v>
      </c>
      <c r="AK827" s="15" t="str">
        <f t="shared" si="85"/>
        <v>高级神器2配件3-龙印Lvs14</v>
      </c>
      <c r="AL827" s="60" t="s">
        <v>645</v>
      </c>
      <c r="AM827" s="15">
        <f t="shared" si="86"/>
        <v>14</v>
      </c>
      <c r="AN827" s="15" t="str">
        <f t="shared" si="87"/>
        <v>高级神器2配件3</v>
      </c>
      <c r="AO827" s="15">
        <f>INDEX(芦花古楼!$BX$19:$BX$58,神器!AM827)</f>
        <v>7</v>
      </c>
      <c r="AP827" s="15" t="s">
        <v>88</v>
      </c>
      <c r="AQ827" s="15">
        <f t="shared" si="88"/>
        <v>3780</v>
      </c>
      <c r="AR827" s="15" t="s">
        <v>654</v>
      </c>
      <c r="AS827" s="15">
        <f t="shared" si="89"/>
        <v>83</v>
      </c>
    </row>
    <row r="828" spans="35:45" ht="16.5" x14ac:dyDescent="0.2">
      <c r="AI828" s="60">
        <v>815</v>
      </c>
      <c r="AJ828" s="15">
        <f t="shared" si="84"/>
        <v>1606023</v>
      </c>
      <c r="AK828" s="15" t="str">
        <f t="shared" si="85"/>
        <v>高级神器2配件3-龙印Lvs15</v>
      </c>
      <c r="AL828" s="60" t="s">
        <v>645</v>
      </c>
      <c r="AM828" s="15">
        <f t="shared" si="86"/>
        <v>15</v>
      </c>
      <c r="AN828" s="15" t="str">
        <f t="shared" si="87"/>
        <v>高级神器2配件3</v>
      </c>
      <c r="AO828" s="15">
        <f>INDEX(芦花古楼!$BX$19:$BX$58,神器!AM828)</f>
        <v>10</v>
      </c>
      <c r="AP828" s="15" t="s">
        <v>88</v>
      </c>
      <c r="AQ828" s="15">
        <f t="shared" si="88"/>
        <v>4200</v>
      </c>
      <c r="AR828" s="15" t="s">
        <v>654</v>
      </c>
      <c r="AS828" s="15">
        <f t="shared" si="89"/>
        <v>90</v>
      </c>
    </row>
    <row r="829" spans="35:45" ht="16.5" x14ac:dyDescent="0.2">
      <c r="AI829" s="60">
        <v>816</v>
      </c>
      <c r="AJ829" s="15">
        <f t="shared" si="84"/>
        <v>1606023</v>
      </c>
      <c r="AK829" s="15" t="str">
        <f t="shared" si="85"/>
        <v>高级神器2配件3-龙印Lvs16</v>
      </c>
      <c r="AL829" s="60" t="s">
        <v>645</v>
      </c>
      <c r="AM829" s="15">
        <f t="shared" si="86"/>
        <v>16</v>
      </c>
      <c r="AN829" s="15" t="str">
        <f t="shared" si="87"/>
        <v>高级神器2配件3</v>
      </c>
      <c r="AO829" s="15">
        <f>INDEX(芦花古楼!$BX$19:$BX$58,神器!AM829)</f>
        <v>10</v>
      </c>
      <c r="AP829" s="15" t="s">
        <v>88</v>
      </c>
      <c r="AQ829" s="15">
        <f t="shared" si="88"/>
        <v>4620</v>
      </c>
      <c r="AR829" s="15" t="s">
        <v>654</v>
      </c>
      <c r="AS829" s="15">
        <f t="shared" si="89"/>
        <v>98</v>
      </c>
    </row>
    <row r="830" spans="35:45" ht="16.5" x14ac:dyDescent="0.2">
      <c r="AI830" s="60">
        <v>817</v>
      </c>
      <c r="AJ830" s="15">
        <f t="shared" si="84"/>
        <v>1606023</v>
      </c>
      <c r="AK830" s="15" t="str">
        <f t="shared" si="85"/>
        <v>高级神器2配件3-龙印Lvs17</v>
      </c>
      <c r="AL830" s="60" t="s">
        <v>645</v>
      </c>
      <c r="AM830" s="15">
        <f t="shared" si="86"/>
        <v>17</v>
      </c>
      <c r="AN830" s="15" t="str">
        <f t="shared" si="87"/>
        <v>高级神器2配件3</v>
      </c>
      <c r="AO830" s="15">
        <f>INDEX(芦花古楼!$BX$19:$BX$58,神器!AM830)</f>
        <v>10</v>
      </c>
      <c r="AP830" s="15" t="s">
        <v>88</v>
      </c>
      <c r="AQ830" s="15">
        <f t="shared" si="88"/>
        <v>5040</v>
      </c>
      <c r="AR830" s="15" t="s">
        <v>654</v>
      </c>
      <c r="AS830" s="15">
        <f t="shared" si="89"/>
        <v>107</v>
      </c>
    </row>
    <row r="831" spans="35:45" ht="16.5" x14ac:dyDescent="0.2">
      <c r="AI831" s="60">
        <v>818</v>
      </c>
      <c r="AJ831" s="15">
        <f t="shared" si="84"/>
        <v>1606023</v>
      </c>
      <c r="AK831" s="15" t="str">
        <f t="shared" si="85"/>
        <v>高级神器2配件3-龙印Lvs18</v>
      </c>
      <c r="AL831" s="60" t="s">
        <v>645</v>
      </c>
      <c r="AM831" s="15">
        <f t="shared" si="86"/>
        <v>18</v>
      </c>
      <c r="AN831" s="15" t="str">
        <f t="shared" si="87"/>
        <v>高级神器2配件3</v>
      </c>
      <c r="AO831" s="15">
        <f>INDEX(芦花古楼!$BX$19:$BX$58,神器!AM831)</f>
        <v>10</v>
      </c>
      <c r="AP831" s="15" t="s">
        <v>88</v>
      </c>
      <c r="AQ831" s="15">
        <f t="shared" si="88"/>
        <v>5460</v>
      </c>
      <c r="AR831" s="15" t="s">
        <v>654</v>
      </c>
      <c r="AS831" s="15">
        <f t="shared" si="89"/>
        <v>115</v>
      </c>
    </row>
    <row r="832" spans="35:45" ht="16.5" x14ac:dyDescent="0.2">
      <c r="AI832" s="60">
        <v>819</v>
      </c>
      <c r="AJ832" s="15">
        <f t="shared" si="84"/>
        <v>1606023</v>
      </c>
      <c r="AK832" s="15" t="str">
        <f t="shared" si="85"/>
        <v>高级神器2配件3-龙印Lvs19</v>
      </c>
      <c r="AL832" s="60" t="s">
        <v>645</v>
      </c>
      <c r="AM832" s="15">
        <f t="shared" si="86"/>
        <v>19</v>
      </c>
      <c r="AN832" s="15" t="str">
        <f t="shared" si="87"/>
        <v>高级神器2配件3</v>
      </c>
      <c r="AO832" s="15">
        <f>INDEX(芦花古楼!$BX$19:$BX$58,神器!AM832)</f>
        <v>10</v>
      </c>
      <c r="AP832" s="15" t="s">
        <v>88</v>
      </c>
      <c r="AQ832" s="15">
        <f t="shared" si="88"/>
        <v>5880</v>
      </c>
      <c r="AR832" s="15" t="s">
        <v>654</v>
      </c>
      <c r="AS832" s="15">
        <f t="shared" si="89"/>
        <v>124</v>
      </c>
    </row>
    <row r="833" spans="35:45" ht="16.5" x14ac:dyDescent="0.2">
      <c r="AI833" s="60">
        <v>820</v>
      </c>
      <c r="AJ833" s="15">
        <f t="shared" si="84"/>
        <v>1606023</v>
      </c>
      <c r="AK833" s="15" t="str">
        <f t="shared" si="85"/>
        <v>高级神器2配件3-龙印Lvs20</v>
      </c>
      <c r="AL833" s="60" t="s">
        <v>645</v>
      </c>
      <c r="AM833" s="15">
        <f t="shared" si="86"/>
        <v>20</v>
      </c>
      <c r="AN833" s="15" t="str">
        <f t="shared" si="87"/>
        <v>高级神器2配件3</v>
      </c>
      <c r="AO833" s="15">
        <f>INDEX(芦花古楼!$BX$19:$BX$58,神器!AM833)</f>
        <v>10</v>
      </c>
      <c r="AP833" s="15" t="s">
        <v>88</v>
      </c>
      <c r="AQ833" s="15">
        <f t="shared" si="88"/>
        <v>6720</v>
      </c>
      <c r="AR833" s="15" t="s">
        <v>654</v>
      </c>
      <c r="AS833" s="15">
        <f t="shared" si="89"/>
        <v>134</v>
      </c>
    </row>
    <row r="834" spans="35:45" ht="16.5" x14ac:dyDescent="0.2">
      <c r="AI834" s="60">
        <v>821</v>
      </c>
      <c r="AJ834" s="15">
        <f t="shared" si="84"/>
        <v>1606023</v>
      </c>
      <c r="AK834" s="15" t="str">
        <f t="shared" si="85"/>
        <v>高级神器2配件3-龙印Lvs21</v>
      </c>
      <c r="AL834" s="60" t="s">
        <v>645</v>
      </c>
      <c r="AM834" s="15">
        <f t="shared" si="86"/>
        <v>21</v>
      </c>
      <c r="AN834" s="15" t="str">
        <f t="shared" si="87"/>
        <v>高级神器2配件3</v>
      </c>
      <c r="AO834" s="15">
        <f>INDEX(芦花古楼!$BX$19:$BX$58,神器!AM834)</f>
        <v>15</v>
      </c>
      <c r="AP834" s="15" t="s">
        <v>88</v>
      </c>
      <c r="AQ834" s="15">
        <f t="shared" si="88"/>
        <v>7420</v>
      </c>
      <c r="AR834" s="15" t="s">
        <v>654</v>
      </c>
      <c r="AS834" s="15">
        <f t="shared" si="89"/>
        <v>144</v>
      </c>
    </row>
    <row r="835" spans="35:45" ht="16.5" x14ac:dyDescent="0.2">
      <c r="AI835" s="60">
        <v>822</v>
      </c>
      <c r="AJ835" s="15">
        <f t="shared" si="84"/>
        <v>1606023</v>
      </c>
      <c r="AK835" s="15" t="str">
        <f t="shared" si="85"/>
        <v>高级神器2配件3-龙印Lvs22</v>
      </c>
      <c r="AL835" s="60" t="s">
        <v>645</v>
      </c>
      <c r="AM835" s="15">
        <f t="shared" si="86"/>
        <v>22</v>
      </c>
      <c r="AN835" s="15" t="str">
        <f t="shared" si="87"/>
        <v>高级神器2配件3</v>
      </c>
      <c r="AO835" s="15">
        <f>INDEX(芦花古楼!$BX$19:$BX$58,神器!AM835)</f>
        <v>15</v>
      </c>
      <c r="AP835" s="15" t="s">
        <v>88</v>
      </c>
      <c r="AQ835" s="15">
        <f t="shared" si="88"/>
        <v>7790</v>
      </c>
      <c r="AR835" s="15" t="s">
        <v>654</v>
      </c>
      <c r="AS835" s="15">
        <f t="shared" si="89"/>
        <v>154</v>
      </c>
    </row>
    <row r="836" spans="35:45" ht="16.5" x14ac:dyDescent="0.2">
      <c r="AI836" s="60">
        <v>823</v>
      </c>
      <c r="AJ836" s="15">
        <f t="shared" si="84"/>
        <v>1606023</v>
      </c>
      <c r="AK836" s="15" t="str">
        <f t="shared" si="85"/>
        <v>高级神器2配件3-龙印Lvs23</v>
      </c>
      <c r="AL836" s="60" t="s">
        <v>645</v>
      </c>
      <c r="AM836" s="15">
        <f t="shared" si="86"/>
        <v>23</v>
      </c>
      <c r="AN836" s="15" t="str">
        <f t="shared" si="87"/>
        <v>高级神器2配件3</v>
      </c>
      <c r="AO836" s="15">
        <f>INDEX(芦花古楼!$BX$19:$BX$58,神器!AM836)</f>
        <v>15</v>
      </c>
      <c r="AP836" s="15" t="s">
        <v>88</v>
      </c>
      <c r="AQ836" s="15">
        <f t="shared" si="88"/>
        <v>8160</v>
      </c>
      <c r="AR836" s="15" t="s">
        <v>654</v>
      </c>
      <c r="AS836" s="15">
        <f t="shared" si="89"/>
        <v>166</v>
      </c>
    </row>
    <row r="837" spans="35:45" ht="16.5" x14ac:dyDescent="0.2">
      <c r="AI837" s="60">
        <v>824</v>
      </c>
      <c r="AJ837" s="15">
        <f t="shared" si="84"/>
        <v>1606023</v>
      </c>
      <c r="AK837" s="15" t="str">
        <f t="shared" si="85"/>
        <v>高级神器2配件3-龙印Lvs24</v>
      </c>
      <c r="AL837" s="60" t="s">
        <v>645</v>
      </c>
      <c r="AM837" s="15">
        <f t="shared" si="86"/>
        <v>24</v>
      </c>
      <c r="AN837" s="15" t="str">
        <f t="shared" si="87"/>
        <v>高级神器2配件3</v>
      </c>
      <c r="AO837" s="15">
        <f>INDEX(芦花古楼!$BX$19:$BX$58,神器!AM837)</f>
        <v>15</v>
      </c>
      <c r="AP837" s="15" t="s">
        <v>88</v>
      </c>
      <c r="AQ837" s="15">
        <f t="shared" si="88"/>
        <v>8535</v>
      </c>
      <c r="AR837" s="15" t="s">
        <v>654</v>
      </c>
      <c r="AS837" s="15">
        <f t="shared" si="89"/>
        <v>177</v>
      </c>
    </row>
    <row r="838" spans="35:45" ht="16.5" x14ac:dyDescent="0.2">
      <c r="AI838" s="60">
        <v>825</v>
      </c>
      <c r="AJ838" s="15">
        <f t="shared" si="84"/>
        <v>1606023</v>
      </c>
      <c r="AK838" s="15" t="str">
        <f t="shared" si="85"/>
        <v>高级神器2配件3-龙印Lvs25</v>
      </c>
      <c r="AL838" s="60" t="s">
        <v>645</v>
      </c>
      <c r="AM838" s="15">
        <f t="shared" si="86"/>
        <v>25</v>
      </c>
      <c r="AN838" s="15" t="str">
        <f t="shared" si="87"/>
        <v>高级神器2配件3</v>
      </c>
      <c r="AO838" s="15">
        <f>INDEX(芦花古楼!$BX$19:$BX$58,神器!AM838)</f>
        <v>15</v>
      </c>
      <c r="AP838" s="15" t="s">
        <v>88</v>
      </c>
      <c r="AQ838" s="15">
        <f t="shared" si="88"/>
        <v>8905</v>
      </c>
      <c r="AR838" s="15" t="s">
        <v>654</v>
      </c>
      <c r="AS838" s="15">
        <f t="shared" si="89"/>
        <v>189</v>
      </c>
    </row>
    <row r="839" spans="35:45" ht="16.5" x14ac:dyDescent="0.2">
      <c r="AI839" s="60">
        <v>826</v>
      </c>
      <c r="AJ839" s="15">
        <f t="shared" si="84"/>
        <v>1606023</v>
      </c>
      <c r="AK839" s="15" t="str">
        <f t="shared" si="85"/>
        <v>高级神器2配件3-龙印Lvs26</v>
      </c>
      <c r="AL839" s="60" t="s">
        <v>645</v>
      </c>
      <c r="AM839" s="15">
        <f t="shared" si="86"/>
        <v>26</v>
      </c>
      <c r="AN839" s="15" t="str">
        <f t="shared" si="87"/>
        <v>高级神器2配件3</v>
      </c>
      <c r="AO839" s="15">
        <f>INDEX(芦花古楼!$BX$19:$BX$58,神器!AM839)</f>
        <v>25</v>
      </c>
      <c r="AP839" s="15" t="s">
        <v>88</v>
      </c>
      <c r="AQ839" s="15">
        <f t="shared" si="88"/>
        <v>9275</v>
      </c>
      <c r="AR839" s="15" t="s">
        <v>654</v>
      </c>
      <c r="AS839" s="15">
        <f t="shared" si="89"/>
        <v>202</v>
      </c>
    </row>
    <row r="840" spans="35:45" ht="16.5" x14ac:dyDescent="0.2">
      <c r="AI840" s="60">
        <v>827</v>
      </c>
      <c r="AJ840" s="15">
        <f t="shared" si="84"/>
        <v>1606023</v>
      </c>
      <c r="AK840" s="15" t="str">
        <f t="shared" si="85"/>
        <v>高级神器2配件3-龙印Lvs27</v>
      </c>
      <c r="AL840" s="60" t="s">
        <v>645</v>
      </c>
      <c r="AM840" s="15">
        <f t="shared" si="86"/>
        <v>27</v>
      </c>
      <c r="AN840" s="15" t="str">
        <f t="shared" si="87"/>
        <v>高级神器2配件3</v>
      </c>
      <c r="AO840" s="15">
        <f>INDEX(芦花古楼!$BX$19:$BX$58,神器!AM840)</f>
        <v>25</v>
      </c>
      <c r="AP840" s="15" t="s">
        <v>88</v>
      </c>
      <c r="AQ840" s="15">
        <f t="shared" si="88"/>
        <v>9645</v>
      </c>
      <c r="AR840" s="15" t="s">
        <v>654</v>
      </c>
      <c r="AS840" s="15">
        <f t="shared" si="89"/>
        <v>216</v>
      </c>
    </row>
    <row r="841" spans="35:45" ht="16.5" x14ac:dyDescent="0.2">
      <c r="AI841" s="60">
        <v>828</v>
      </c>
      <c r="AJ841" s="15">
        <f t="shared" si="84"/>
        <v>1606023</v>
      </c>
      <c r="AK841" s="15" t="str">
        <f t="shared" si="85"/>
        <v>高级神器2配件3-龙印Lvs28</v>
      </c>
      <c r="AL841" s="60" t="s">
        <v>645</v>
      </c>
      <c r="AM841" s="15">
        <f t="shared" si="86"/>
        <v>28</v>
      </c>
      <c r="AN841" s="15" t="str">
        <f t="shared" si="87"/>
        <v>高级神器2配件3</v>
      </c>
      <c r="AO841" s="15">
        <f>INDEX(芦花古楼!$BX$19:$BX$58,神器!AM841)</f>
        <v>25</v>
      </c>
      <c r="AP841" s="15" t="s">
        <v>88</v>
      </c>
      <c r="AQ841" s="15">
        <f t="shared" si="88"/>
        <v>10015</v>
      </c>
      <c r="AR841" s="15" t="s">
        <v>654</v>
      </c>
      <c r="AS841" s="15">
        <f t="shared" si="89"/>
        <v>230</v>
      </c>
    </row>
    <row r="842" spans="35:45" ht="16.5" x14ac:dyDescent="0.2">
      <c r="AI842" s="60">
        <v>829</v>
      </c>
      <c r="AJ842" s="15">
        <f t="shared" si="84"/>
        <v>1606023</v>
      </c>
      <c r="AK842" s="15" t="str">
        <f t="shared" si="85"/>
        <v>高级神器2配件3-龙印Lvs29</v>
      </c>
      <c r="AL842" s="60" t="s">
        <v>645</v>
      </c>
      <c r="AM842" s="15">
        <f t="shared" si="86"/>
        <v>29</v>
      </c>
      <c r="AN842" s="15" t="str">
        <f t="shared" si="87"/>
        <v>高级神器2配件3</v>
      </c>
      <c r="AO842" s="15">
        <f>INDEX(芦花古楼!$BX$19:$BX$58,神器!AM842)</f>
        <v>25</v>
      </c>
      <c r="AP842" s="15" t="s">
        <v>88</v>
      </c>
      <c r="AQ842" s="15">
        <f t="shared" si="88"/>
        <v>10390</v>
      </c>
      <c r="AR842" s="15" t="s">
        <v>654</v>
      </c>
      <c r="AS842" s="15">
        <f t="shared" si="89"/>
        <v>244</v>
      </c>
    </row>
    <row r="843" spans="35:45" ht="16.5" x14ac:dyDescent="0.2">
      <c r="AI843" s="60">
        <v>830</v>
      </c>
      <c r="AJ843" s="15">
        <f t="shared" si="84"/>
        <v>1606023</v>
      </c>
      <c r="AK843" s="15" t="str">
        <f t="shared" si="85"/>
        <v>高级神器2配件3-龙印Lvs30</v>
      </c>
      <c r="AL843" s="60" t="s">
        <v>645</v>
      </c>
      <c r="AM843" s="15">
        <f t="shared" si="86"/>
        <v>30</v>
      </c>
      <c r="AN843" s="15" t="str">
        <f t="shared" si="87"/>
        <v>高级神器2配件3</v>
      </c>
      <c r="AO843" s="15">
        <f>INDEX(芦花古楼!$BX$19:$BX$58,神器!AM843)</f>
        <v>25</v>
      </c>
      <c r="AP843" s="15" t="s">
        <v>88</v>
      </c>
      <c r="AQ843" s="15">
        <f t="shared" si="88"/>
        <v>11130</v>
      </c>
      <c r="AR843" s="15" t="s">
        <v>654</v>
      </c>
      <c r="AS843" s="15">
        <f t="shared" si="89"/>
        <v>260</v>
      </c>
    </row>
    <row r="844" spans="35:45" ht="16.5" x14ac:dyDescent="0.2">
      <c r="AI844" s="60">
        <v>831</v>
      </c>
      <c r="AJ844" s="15">
        <f t="shared" si="84"/>
        <v>1606023</v>
      </c>
      <c r="AK844" s="15" t="str">
        <f t="shared" si="85"/>
        <v>高级神器2配件3-龙印Lvs31</v>
      </c>
      <c r="AL844" s="60" t="s">
        <v>645</v>
      </c>
      <c r="AM844" s="15">
        <f t="shared" si="86"/>
        <v>31</v>
      </c>
      <c r="AN844" s="15" t="str">
        <f t="shared" si="87"/>
        <v>高级神器2配件3</v>
      </c>
      <c r="AO844" s="15">
        <f>INDEX(芦花古楼!$BX$19:$BX$58,神器!AM844)</f>
        <v>30</v>
      </c>
      <c r="AP844" s="15" t="s">
        <v>88</v>
      </c>
      <c r="AQ844" s="15">
        <f t="shared" si="88"/>
        <v>10850</v>
      </c>
      <c r="AR844" s="15" t="s">
        <v>654</v>
      </c>
      <c r="AS844" s="15">
        <f t="shared" si="89"/>
        <v>276</v>
      </c>
    </row>
    <row r="845" spans="35:45" ht="16.5" x14ac:dyDescent="0.2">
      <c r="AI845" s="60">
        <v>832</v>
      </c>
      <c r="AJ845" s="15">
        <f t="shared" si="84"/>
        <v>1606023</v>
      </c>
      <c r="AK845" s="15" t="str">
        <f t="shared" si="85"/>
        <v>高级神器2配件3-龙印Lvs32</v>
      </c>
      <c r="AL845" s="60" t="s">
        <v>645</v>
      </c>
      <c r="AM845" s="15">
        <f t="shared" si="86"/>
        <v>32</v>
      </c>
      <c r="AN845" s="15" t="str">
        <f t="shared" si="87"/>
        <v>高级神器2配件3</v>
      </c>
      <c r="AO845" s="15">
        <f>INDEX(芦花古楼!$BX$19:$BX$58,神器!AM845)</f>
        <v>30</v>
      </c>
      <c r="AP845" s="15" t="s">
        <v>88</v>
      </c>
      <c r="AQ845" s="15">
        <f t="shared" si="88"/>
        <v>16275</v>
      </c>
      <c r="AR845" s="15" t="s">
        <v>654</v>
      </c>
      <c r="AS845" s="15">
        <f t="shared" si="89"/>
        <v>293</v>
      </c>
    </row>
    <row r="846" spans="35:45" ht="16.5" x14ac:dyDescent="0.2">
      <c r="AI846" s="60">
        <v>833</v>
      </c>
      <c r="AJ846" s="15">
        <f t="shared" si="84"/>
        <v>1606023</v>
      </c>
      <c r="AK846" s="15" t="str">
        <f t="shared" si="85"/>
        <v>高级神器2配件3-龙印Lvs33</v>
      </c>
      <c r="AL846" s="60" t="s">
        <v>645</v>
      </c>
      <c r="AM846" s="15">
        <f t="shared" si="86"/>
        <v>33</v>
      </c>
      <c r="AN846" s="15" t="str">
        <f t="shared" si="87"/>
        <v>高级神器2配件3</v>
      </c>
      <c r="AO846" s="15">
        <f>INDEX(芦花古楼!$BX$19:$BX$58,神器!AM846)</f>
        <v>30</v>
      </c>
      <c r="AP846" s="15" t="s">
        <v>88</v>
      </c>
      <c r="AQ846" s="15">
        <f t="shared" si="88"/>
        <v>21700</v>
      </c>
      <c r="AR846" s="15" t="s">
        <v>654</v>
      </c>
      <c r="AS846" s="15">
        <f t="shared" si="89"/>
        <v>312</v>
      </c>
    </row>
    <row r="847" spans="35:45" ht="16.5" x14ac:dyDescent="0.2">
      <c r="AI847" s="60">
        <v>834</v>
      </c>
      <c r="AJ847" s="15">
        <f t="shared" ref="AJ847:AJ910" si="90">INDEX($AC$4:$AC$33,INT((AI847-1)/40)+1)</f>
        <v>1606023</v>
      </c>
      <c r="AK847" s="15" t="str">
        <f t="shared" ref="AK847:AK910" si="91">INDEX($AF$4:$AF$33,INT((AI847-1)/40)+1)&amp;AL847&amp;AM847</f>
        <v>高级神器2配件3-龙印Lvs34</v>
      </c>
      <c r="AL847" s="60" t="s">
        <v>645</v>
      </c>
      <c r="AM847" s="15">
        <f t="shared" ref="AM847:AM910" si="92">MOD(AI847-1,40)+1</f>
        <v>34</v>
      </c>
      <c r="AN847" s="15" t="str">
        <f t="shared" ref="AN847:AN910" si="93">INDEX($AD$4:$AD$33,INT((AI847-1)/40)+1)</f>
        <v>高级神器2配件3</v>
      </c>
      <c r="AO847" s="15">
        <f>INDEX(芦花古楼!$BX$19:$BX$58,神器!AM847)</f>
        <v>30</v>
      </c>
      <c r="AP847" s="15" t="s">
        <v>88</v>
      </c>
      <c r="AQ847" s="15">
        <f t="shared" ref="AQ847:AQ910" si="94">INDEX($F$14:$L$53,AM847,INDEX($AB$4:$AB$33,INT((AI847-1)/40)+1))</f>
        <v>27125</v>
      </c>
      <c r="AR847" s="15" t="s">
        <v>654</v>
      </c>
      <c r="AS847" s="15">
        <f t="shared" ref="AS847:AS910" si="95">INDEX($P$14:$V$53,AM847,INDEX($AB$4:$AB$33,INT((AI847-1)/40)+1))</f>
        <v>330</v>
      </c>
    </row>
    <row r="848" spans="35:45" ht="16.5" x14ac:dyDescent="0.2">
      <c r="AI848" s="60">
        <v>835</v>
      </c>
      <c r="AJ848" s="15">
        <f t="shared" si="90"/>
        <v>1606023</v>
      </c>
      <c r="AK848" s="15" t="str">
        <f t="shared" si="91"/>
        <v>高级神器2配件3-龙印Lvs35</v>
      </c>
      <c r="AL848" s="60" t="s">
        <v>645</v>
      </c>
      <c r="AM848" s="15">
        <f t="shared" si="92"/>
        <v>35</v>
      </c>
      <c r="AN848" s="15" t="str">
        <f t="shared" si="93"/>
        <v>高级神器2配件3</v>
      </c>
      <c r="AO848" s="15">
        <f>INDEX(芦花古楼!$BX$19:$BX$58,神器!AM848)</f>
        <v>30</v>
      </c>
      <c r="AP848" s="15" t="s">
        <v>88</v>
      </c>
      <c r="AQ848" s="15">
        <f t="shared" si="94"/>
        <v>32550</v>
      </c>
      <c r="AR848" s="15" t="s">
        <v>654</v>
      </c>
      <c r="AS848" s="15">
        <f t="shared" si="95"/>
        <v>350</v>
      </c>
    </row>
    <row r="849" spans="35:45" ht="16.5" x14ac:dyDescent="0.2">
      <c r="AI849" s="60">
        <v>836</v>
      </c>
      <c r="AJ849" s="15">
        <f t="shared" si="90"/>
        <v>1606023</v>
      </c>
      <c r="AK849" s="15" t="str">
        <f t="shared" si="91"/>
        <v>高级神器2配件3-龙印Lvs36</v>
      </c>
      <c r="AL849" s="60" t="s">
        <v>645</v>
      </c>
      <c r="AM849" s="15">
        <f t="shared" si="92"/>
        <v>36</v>
      </c>
      <c r="AN849" s="15" t="str">
        <f t="shared" si="93"/>
        <v>高级神器2配件3</v>
      </c>
      <c r="AO849" s="15">
        <f>INDEX(芦花古楼!$BX$19:$BX$58,神器!AM849)</f>
        <v>40</v>
      </c>
      <c r="AP849" s="15" t="s">
        <v>88</v>
      </c>
      <c r="AQ849" s="15">
        <f t="shared" si="94"/>
        <v>37975</v>
      </c>
      <c r="AR849" s="15" t="s">
        <v>654</v>
      </c>
      <c r="AS849" s="15">
        <f t="shared" si="95"/>
        <v>371</v>
      </c>
    </row>
    <row r="850" spans="35:45" ht="16.5" x14ac:dyDescent="0.2">
      <c r="AI850" s="60">
        <v>837</v>
      </c>
      <c r="AJ850" s="15">
        <f t="shared" si="90"/>
        <v>1606023</v>
      </c>
      <c r="AK850" s="15" t="str">
        <f t="shared" si="91"/>
        <v>高级神器2配件3-龙印Lvs37</v>
      </c>
      <c r="AL850" s="60" t="s">
        <v>645</v>
      </c>
      <c r="AM850" s="15">
        <f t="shared" si="92"/>
        <v>37</v>
      </c>
      <c r="AN850" s="15" t="str">
        <f t="shared" si="93"/>
        <v>高级神器2配件3</v>
      </c>
      <c r="AO850" s="15">
        <f>INDEX(芦花古楼!$BX$19:$BX$58,神器!AM850)</f>
        <v>40</v>
      </c>
      <c r="AP850" s="15" t="s">
        <v>88</v>
      </c>
      <c r="AQ850" s="15">
        <f t="shared" si="94"/>
        <v>43400</v>
      </c>
      <c r="AR850" s="15" t="s">
        <v>654</v>
      </c>
      <c r="AS850" s="15">
        <f t="shared" si="95"/>
        <v>393</v>
      </c>
    </row>
    <row r="851" spans="35:45" ht="16.5" x14ac:dyDescent="0.2">
      <c r="AI851" s="60">
        <v>838</v>
      </c>
      <c r="AJ851" s="15">
        <f t="shared" si="90"/>
        <v>1606023</v>
      </c>
      <c r="AK851" s="15" t="str">
        <f t="shared" si="91"/>
        <v>高级神器2配件3-龙印Lvs38</v>
      </c>
      <c r="AL851" s="60" t="s">
        <v>645</v>
      </c>
      <c r="AM851" s="15">
        <f t="shared" si="92"/>
        <v>38</v>
      </c>
      <c r="AN851" s="15" t="str">
        <f t="shared" si="93"/>
        <v>高级神器2配件3</v>
      </c>
      <c r="AO851" s="15">
        <f>INDEX(芦花古楼!$BX$19:$BX$58,神器!AM851)</f>
        <v>40</v>
      </c>
      <c r="AP851" s="15" t="s">
        <v>88</v>
      </c>
      <c r="AQ851" s="15">
        <f t="shared" si="94"/>
        <v>48825</v>
      </c>
      <c r="AR851" s="15" t="s">
        <v>654</v>
      </c>
      <c r="AS851" s="15">
        <f t="shared" si="95"/>
        <v>416</v>
      </c>
    </row>
    <row r="852" spans="35:45" ht="16.5" x14ac:dyDescent="0.2">
      <c r="AI852" s="60">
        <v>839</v>
      </c>
      <c r="AJ852" s="15">
        <f t="shared" si="90"/>
        <v>1606023</v>
      </c>
      <c r="AK852" s="15" t="str">
        <f t="shared" si="91"/>
        <v>高级神器2配件3-龙印Lvs39</v>
      </c>
      <c r="AL852" s="60" t="s">
        <v>645</v>
      </c>
      <c r="AM852" s="15">
        <f t="shared" si="92"/>
        <v>39</v>
      </c>
      <c r="AN852" s="15" t="str">
        <f t="shared" si="93"/>
        <v>高级神器2配件3</v>
      </c>
      <c r="AO852" s="15">
        <f>INDEX(芦花古楼!$BX$19:$BX$58,神器!AM852)</f>
        <v>40</v>
      </c>
      <c r="AP852" s="15" t="s">
        <v>88</v>
      </c>
      <c r="AQ852" s="15">
        <f t="shared" si="94"/>
        <v>54250</v>
      </c>
      <c r="AR852" s="15" t="s">
        <v>654</v>
      </c>
      <c r="AS852" s="15">
        <f t="shared" si="95"/>
        <v>440</v>
      </c>
    </row>
    <row r="853" spans="35:45" ht="16.5" x14ac:dyDescent="0.2">
      <c r="AI853" s="60">
        <v>840</v>
      </c>
      <c r="AJ853" s="15">
        <f t="shared" si="90"/>
        <v>1606023</v>
      </c>
      <c r="AK853" s="15" t="str">
        <f t="shared" si="91"/>
        <v>高级神器2配件3-龙印Lvs40</v>
      </c>
      <c r="AL853" s="60" t="s">
        <v>645</v>
      </c>
      <c r="AM853" s="15">
        <f t="shared" si="92"/>
        <v>40</v>
      </c>
      <c r="AN853" s="15" t="str">
        <f t="shared" si="93"/>
        <v>高级神器2配件3</v>
      </c>
      <c r="AO853" s="15">
        <f>INDEX(芦花古楼!$BX$19:$BX$58,神器!AM853)</f>
        <v>40</v>
      </c>
      <c r="AP853" s="15" t="s">
        <v>88</v>
      </c>
      <c r="AQ853" s="15">
        <f t="shared" si="94"/>
        <v>65100</v>
      </c>
      <c r="AR853" s="15" t="s">
        <v>654</v>
      </c>
      <c r="AS853" s="15">
        <f t="shared" si="95"/>
        <v>465</v>
      </c>
    </row>
    <row r="854" spans="35:45" ht="16.5" x14ac:dyDescent="0.2">
      <c r="AI854" s="60">
        <v>841</v>
      </c>
      <c r="AJ854" s="15">
        <f t="shared" si="90"/>
        <v>1606024</v>
      </c>
      <c r="AK854" s="15" t="str">
        <f t="shared" si="91"/>
        <v>高级神器2配件4-上古篆文Lvs1</v>
      </c>
      <c r="AL854" s="60" t="s">
        <v>645</v>
      </c>
      <c r="AM854" s="15">
        <f t="shared" si="92"/>
        <v>1</v>
      </c>
      <c r="AN854" s="15" t="str">
        <f t="shared" si="93"/>
        <v>高级神器2配件4</v>
      </c>
      <c r="AO854" s="15">
        <f>INDEX(芦花古楼!$BX$19:$BX$58,神器!AM854)</f>
        <v>1</v>
      </c>
      <c r="AP854" s="15" t="s">
        <v>88</v>
      </c>
      <c r="AQ854" s="15">
        <f t="shared" si="94"/>
        <v>465</v>
      </c>
      <c r="AR854" s="15" t="s">
        <v>654</v>
      </c>
      <c r="AS854" s="15">
        <f t="shared" si="95"/>
        <v>18</v>
      </c>
    </row>
    <row r="855" spans="35:45" ht="16.5" x14ac:dyDescent="0.2">
      <c r="AI855" s="60">
        <v>842</v>
      </c>
      <c r="AJ855" s="15">
        <f t="shared" si="90"/>
        <v>1606024</v>
      </c>
      <c r="AK855" s="15" t="str">
        <f t="shared" si="91"/>
        <v>高级神器2配件4-上古篆文Lvs2</v>
      </c>
      <c r="AL855" s="60" t="s">
        <v>645</v>
      </c>
      <c r="AM855" s="15">
        <f t="shared" si="92"/>
        <v>2</v>
      </c>
      <c r="AN855" s="15" t="str">
        <f t="shared" si="93"/>
        <v>高级神器2配件4</v>
      </c>
      <c r="AO855" s="15">
        <f>INDEX(芦花古楼!$BX$19:$BX$58,神器!AM855)</f>
        <v>1</v>
      </c>
      <c r="AP855" s="15" t="s">
        <v>88</v>
      </c>
      <c r="AQ855" s="15">
        <f t="shared" si="94"/>
        <v>700</v>
      </c>
      <c r="AR855" s="15" t="s">
        <v>654</v>
      </c>
      <c r="AS855" s="15">
        <f t="shared" si="95"/>
        <v>24</v>
      </c>
    </row>
    <row r="856" spans="35:45" ht="16.5" x14ac:dyDescent="0.2">
      <c r="AI856" s="60">
        <v>843</v>
      </c>
      <c r="AJ856" s="15">
        <f t="shared" si="90"/>
        <v>1606024</v>
      </c>
      <c r="AK856" s="15" t="str">
        <f t="shared" si="91"/>
        <v>高级神器2配件4-上古篆文Lvs3</v>
      </c>
      <c r="AL856" s="60" t="s">
        <v>645</v>
      </c>
      <c r="AM856" s="15">
        <f t="shared" si="92"/>
        <v>3</v>
      </c>
      <c r="AN856" s="15" t="str">
        <f t="shared" si="93"/>
        <v>高级神器2配件4</v>
      </c>
      <c r="AO856" s="15">
        <f>INDEX(芦花古楼!$BX$19:$BX$58,神器!AM856)</f>
        <v>2</v>
      </c>
      <c r="AP856" s="15" t="s">
        <v>88</v>
      </c>
      <c r="AQ856" s="15">
        <f t="shared" si="94"/>
        <v>935</v>
      </c>
      <c r="AR856" s="15" t="s">
        <v>654</v>
      </c>
      <c r="AS856" s="15">
        <f t="shared" si="95"/>
        <v>29</v>
      </c>
    </row>
    <row r="857" spans="35:45" ht="16.5" x14ac:dyDescent="0.2">
      <c r="AI857" s="60">
        <v>844</v>
      </c>
      <c r="AJ857" s="15">
        <f t="shared" si="90"/>
        <v>1606024</v>
      </c>
      <c r="AK857" s="15" t="str">
        <f t="shared" si="91"/>
        <v>高级神器2配件4-上古篆文Lvs4</v>
      </c>
      <c r="AL857" s="60" t="s">
        <v>645</v>
      </c>
      <c r="AM857" s="15">
        <f t="shared" si="92"/>
        <v>4</v>
      </c>
      <c r="AN857" s="15" t="str">
        <f t="shared" si="93"/>
        <v>高级神器2配件4</v>
      </c>
      <c r="AO857" s="15">
        <f>INDEX(芦花古楼!$BX$19:$BX$58,神器!AM857)</f>
        <v>3</v>
      </c>
      <c r="AP857" s="15" t="s">
        <v>88</v>
      </c>
      <c r="AQ857" s="15">
        <f t="shared" si="94"/>
        <v>1170</v>
      </c>
      <c r="AR857" s="15" t="s">
        <v>654</v>
      </c>
      <c r="AS857" s="15">
        <f t="shared" si="95"/>
        <v>36</v>
      </c>
    </row>
    <row r="858" spans="35:45" ht="16.5" x14ac:dyDescent="0.2">
      <c r="AI858" s="60">
        <v>845</v>
      </c>
      <c r="AJ858" s="15">
        <f t="shared" si="90"/>
        <v>1606024</v>
      </c>
      <c r="AK858" s="15" t="str">
        <f t="shared" si="91"/>
        <v>高级神器2配件4-上古篆文Lvs5</v>
      </c>
      <c r="AL858" s="60" t="s">
        <v>645</v>
      </c>
      <c r="AM858" s="15">
        <f t="shared" si="92"/>
        <v>5</v>
      </c>
      <c r="AN858" s="15" t="str">
        <f t="shared" si="93"/>
        <v>高级神器2配件4</v>
      </c>
      <c r="AO858" s="15">
        <f>INDEX(芦花古楼!$BX$19:$BX$58,神器!AM858)</f>
        <v>3</v>
      </c>
      <c r="AP858" s="15" t="s">
        <v>88</v>
      </c>
      <c r="AQ858" s="15">
        <f t="shared" si="94"/>
        <v>1405</v>
      </c>
      <c r="AR858" s="15" t="s">
        <v>654</v>
      </c>
      <c r="AS858" s="15">
        <f t="shared" si="95"/>
        <v>42</v>
      </c>
    </row>
    <row r="859" spans="35:45" ht="16.5" x14ac:dyDescent="0.2">
      <c r="AI859" s="60">
        <v>846</v>
      </c>
      <c r="AJ859" s="15">
        <f t="shared" si="90"/>
        <v>1606024</v>
      </c>
      <c r="AK859" s="15" t="str">
        <f t="shared" si="91"/>
        <v>高级神器2配件4-上古篆文Lvs6</v>
      </c>
      <c r="AL859" s="60" t="s">
        <v>645</v>
      </c>
      <c r="AM859" s="15">
        <f t="shared" si="92"/>
        <v>6</v>
      </c>
      <c r="AN859" s="15" t="str">
        <f t="shared" si="93"/>
        <v>高级神器2配件4</v>
      </c>
      <c r="AO859" s="15">
        <f>INDEX(芦花古楼!$BX$19:$BX$58,神器!AM859)</f>
        <v>5</v>
      </c>
      <c r="AP859" s="15" t="s">
        <v>88</v>
      </c>
      <c r="AQ859" s="15">
        <f t="shared" si="94"/>
        <v>1640</v>
      </c>
      <c r="AR859" s="15" t="s">
        <v>654</v>
      </c>
      <c r="AS859" s="15">
        <f t="shared" si="95"/>
        <v>49</v>
      </c>
    </row>
    <row r="860" spans="35:45" ht="16.5" x14ac:dyDescent="0.2">
      <c r="AI860" s="60">
        <v>847</v>
      </c>
      <c r="AJ860" s="15">
        <f t="shared" si="90"/>
        <v>1606024</v>
      </c>
      <c r="AK860" s="15" t="str">
        <f t="shared" si="91"/>
        <v>高级神器2配件4-上古篆文Lvs7</v>
      </c>
      <c r="AL860" s="60" t="s">
        <v>645</v>
      </c>
      <c r="AM860" s="15">
        <f t="shared" si="92"/>
        <v>7</v>
      </c>
      <c r="AN860" s="15" t="str">
        <f t="shared" si="93"/>
        <v>高级神器2配件4</v>
      </c>
      <c r="AO860" s="15">
        <f>INDEX(芦花古楼!$BX$19:$BX$58,神器!AM860)</f>
        <v>5</v>
      </c>
      <c r="AP860" s="15" t="s">
        <v>88</v>
      </c>
      <c r="AQ860" s="15">
        <f t="shared" si="94"/>
        <v>1870</v>
      </c>
      <c r="AR860" s="15" t="s">
        <v>654</v>
      </c>
      <c r="AS860" s="15">
        <f t="shared" si="95"/>
        <v>56</v>
      </c>
    </row>
    <row r="861" spans="35:45" ht="16.5" x14ac:dyDescent="0.2">
      <c r="AI861" s="60">
        <v>848</v>
      </c>
      <c r="AJ861" s="15">
        <f t="shared" si="90"/>
        <v>1606024</v>
      </c>
      <c r="AK861" s="15" t="str">
        <f t="shared" si="91"/>
        <v>高级神器2配件4-上古篆文Lvs8</v>
      </c>
      <c r="AL861" s="60" t="s">
        <v>645</v>
      </c>
      <c r="AM861" s="15">
        <f t="shared" si="92"/>
        <v>8</v>
      </c>
      <c r="AN861" s="15" t="str">
        <f t="shared" si="93"/>
        <v>高级神器2配件4</v>
      </c>
      <c r="AO861" s="15">
        <f>INDEX(芦花古楼!$BX$19:$BX$58,神器!AM861)</f>
        <v>5</v>
      </c>
      <c r="AP861" s="15" t="s">
        <v>88</v>
      </c>
      <c r="AQ861" s="15">
        <f t="shared" si="94"/>
        <v>2105</v>
      </c>
      <c r="AR861" s="15" t="s">
        <v>654</v>
      </c>
      <c r="AS861" s="15">
        <f t="shared" si="95"/>
        <v>63</v>
      </c>
    </row>
    <row r="862" spans="35:45" ht="16.5" x14ac:dyDescent="0.2">
      <c r="AI862" s="60">
        <v>849</v>
      </c>
      <c r="AJ862" s="15">
        <f t="shared" si="90"/>
        <v>1606024</v>
      </c>
      <c r="AK862" s="15" t="str">
        <f t="shared" si="91"/>
        <v>高级神器2配件4-上古篆文Lvs9</v>
      </c>
      <c r="AL862" s="60" t="s">
        <v>645</v>
      </c>
      <c r="AM862" s="15">
        <f t="shared" si="92"/>
        <v>9</v>
      </c>
      <c r="AN862" s="15" t="str">
        <f t="shared" si="93"/>
        <v>高级神器2配件4</v>
      </c>
      <c r="AO862" s="15">
        <f>INDEX(芦花古楼!$BX$19:$BX$58,神器!AM862)</f>
        <v>5</v>
      </c>
      <c r="AP862" s="15" t="s">
        <v>88</v>
      </c>
      <c r="AQ862" s="15">
        <f t="shared" si="94"/>
        <v>2340</v>
      </c>
      <c r="AR862" s="15" t="s">
        <v>654</v>
      </c>
      <c r="AS862" s="15">
        <f t="shared" si="95"/>
        <v>71</v>
      </c>
    </row>
    <row r="863" spans="35:45" ht="16.5" x14ac:dyDescent="0.2">
      <c r="AI863" s="60">
        <v>850</v>
      </c>
      <c r="AJ863" s="15">
        <f t="shared" si="90"/>
        <v>1606024</v>
      </c>
      <c r="AK863" s="15" t="str">
        <f t="shared" si="91"/>
        <v>高级神器2配件4-上古篆文Lvs10</v>
      </c>
      <c r="AL863" s="60" t="s">
        <v>645</v>
      </c>
      <c r="AM863" s="15">
        <f t="shared" si="92"/>
        <v>10</v>
      </c>
      <c r="AN863" s="15" t="str">
        <f t="shared" si="93"/>
        <v>高级神器2配件4</v>
      </c>
      <c r="AO863" s="15">
        <f>INDEX(芦花古楼!$BX$19:$BX$58,神器!AM863)</f>
        <v>7</v>
      </c>
      <c r="AP863" s="15" t="s">
        <v>88</v>
      </c>
      <c r="AQ863" s="15">
        <f t="shared" si="94"/>
        <v>2810</v>
      </c>
      <c r="AR863" s="15" t="s">
        <v>654</v>
      </c>
      <c r="AS863" s="15">
        <f t="shared" si="95"/>
        <v>79</v>
      </c>
    </row>
    <row r="864" spans="35:45" ht="16.5" x14ac:dyDescent="0.2">
      <c r="AI864" s="60">
        <v>851</v>
      </c>
      <c r="AJ864" s="15">
        <f t="shared" si="90"/>
        <v>1606024</v>
      </c>
      <c r="AK864" s="15" t="str">
        <f t="shared" si="91"/>
        <v>高级神器2配件4-上古篆文Lvs11</v>
      </c>
      <c r="AL864" s="60" t="s">
        <v>645</v>
      </c>
      <c r="AM864" s="15">
        <f t="shared" si="92"/>
        <v>11</v>
      </c>
      <c r="AN864" s="15" t="str">
        <f t="shared" si="93"/>
        <v>高级神器2配件4</v>
      </c>
      <c r="AO864" s="15">
        <f>INDEX(芦花古楼!$BX$19:$BX$58,神器!AM864)</f>
        <v>7</v>
      </c>
      <c r="AP864" s="15" t="s">
        <v>88</v>
      </c>
      <c r="AQ864" s="15">
        <f t="shared" si="94"/>
        <v>3525</v>
      </c>
      <c r="AR864" s="15" t="s">
        <v>654</v>
      </c>
      <c r="AS864" s="15">
        <f t="shared" si="95"/>
        <v>88</v>
      </c>
    </row>
    <row r="865" spans="35:45" ht="16.5" x14ac:dyDescent="0.2">
      <c r="AI865" s="60">
        <v>852</v>
      </c>
      <c r="AJ865" s="15">
        <f t="shared" si="90"/>
        <v>1606024</v>
      </c>
      <c r="AK865" s="15" t="str">
        <f t="shared" si="91"/>
        <v>高级神器2配件4-上古篆文Lvs12</v>
      </c>
      <c r="AL865" s="60" t="s">
        <v>645</v>
      </c>
      <c r="AM865" s="15">
        <f t="shared" si="92"/>
        <v>12</v>
      </c>
      <c r="AN865" s="15" t="str">
        <f t="shared" si="93"/>
        <v>高级神器2配件4</v>
      </c>
      <c r="AO865" s="15">
        <f>INDEX(芦花古楼!$BX$19:$BX$58,神器!AM865)</f>
        <v>7</v>
      </c>
      <c r="AP865" s="15" t="s">
        <v>88</v>
      </c>
      <c r="AQ865" s="15">
        <f t="shared" si="94"/>
        <v>4115</v>
      </c>
      <c r="AR865" s="15" t="s">
        <v>654</v>
      </c>
      <c r="AS865" s="15">
        <f t="shared" si="95"/>
        <v>97</v>
      </c>
    </row>
    <row r="866" spans="35:45" ht="16.5" x14ac:dyDescent="0.2">
      <c r="AI866" s="60">
        <v>853</v>
      </c>
      <c r="AJ866" s="15">
        <f t="shared" si="90"/>
        <v>1606024</v>
      </c>
      <c r="AK866" s="15" t="str">
        <f t="shared" si="91"/>
        <v>高级神器2配件4-上古篆文Lvs13</v>
      </c>
      <c r="AL866" s="60" t="s">
        <v>645</v>
      </c>
      <c r="AM866" s="15">
        <f t="shared" si="92"/>
        <v>13</v>
      </c>
      <c r="AN866" s="15" t="str">
        <f t="shared" si="93"/>
        <v>高级神器2配件4</v>
      </c>
      <c r="AO866" s="15">
        <f>INDEX(芦花古楼!$BX$19:$BX$58,神器!AM866)</f>
        <v>7</v>
      </c>
      <c r="AP866" s="15" t="s">
        <v>88</v>
      </c>
      <c r="AQ866" s="15">
        <f t="shared" si="94"/>
        <v>4705</v>
      </c>
      <c r="AR866" s="15" t="s">
        <v>654</v>
      </c>
      <c r="AS866" s="15">
        <f t="shared" si="95"/>
        <v>106</v>
      </c>
    </row>
    <row r="867" spans="35:45" ht="16.5" x14ac:dyDescent="0.2">
      <c r="AI867" s="60">
        <v>854</v>
      </c>
      <c r="AJ867" s="15">
        <f t="shared" si="90"/>
        <v>1606024</v>
      </c>
      <c r="AK867" s="15" t="str">
        <f t="shared" si="91"/>
        <v>高级神器2配件4-上古篆文Lvs14</v>
      </c>
      <c r="AL867" s="60" t="s">
        <v>645</v>
      </c>
      <c r="AM867" s="15">
        <f t="shared" si="92"/>
        <v>14</v>
      </c>
      <c r="AN867" s="15" t="str">
        <f t="shared" si="93"/>
        <v>高级神器2配件4</v>
      </c>
      <c r="AO867" s="15">
        <f>INDEX(芦花古楼!$BX$19:$BX$58,神器!AM867)</f>
        <v>7</v>
      </c>
      <c r="AP867" s="15" t="s">
        <v>88</v>
      </c>
      <c r="AQ867" s="15">
        <f t="shared" si="94"/>
        <v>5290</v>
      </c>
      <c r="AR867" s="15" t="s">
        <v>654</v>
      </c>
      <c r="AS867" s="15">
        <f t="shared" si="95"/>
        <v>116</v>
      </c>
    </row>
    <row r="868" spans="35:45" ht="16.5" x14ac:dyDescent="0.2">
      <c r="AI868" s="60">
        <v>855</v>
      </c>
      <c r="AJ868" s="15">
        <f t="shared" si="90"/>
        <v>1606024</v>
      </c>
      <c r="AK868" s="15" t="str">
        <f t="shared" si="91"/>
        <v>高级神器2配件4-上古篆文Lvs15</v>
      </c>
      <c r="AL868" s="60" t="s">
        <v>645</v>
      </c>
      <c r="AM868" s="15">
        <f t="shared" si="92"/>
        <v>15</v>
      </c>
      <c r="AN868" s="15" t="str">
        <f t="shared" si="93"/>
        <v>高级神器2配件4</v>
      </c>
      <c r="AO868" s="15">
        <f>INDEX(芦花古楼!$BX$19:$BX$58,神器!AM868)</f>
        <v>10</v>
      </c>
      <c r="AP868" s="15" t="s">
        <v>88</v>
      </c>
      <c r="AQ868" s="15">
        <f t="shared" si="94"/>
        <v>5880</v>
      </c>
      <c r="AR868" s="15" t="s">
        <v>654</v>
      </c>
      <c r="AS868" s="15">
        <f t="shared" si="95"/>
        <v>127</v>
      </c>
    </row>
    <row r="869" spans="35:45" ht="16.5" x14ac:dyDescent="0.2">
      <c r="AI869" s="60">
        <v>856</v>
      </c>
      <c r="AJ869" s="15">
        <f t="shared" si="90"/>
        <v>1606024</v>
      </c>
      <c r="AK869" s="15" t="str">
        <f t="shared" si="91"/>
        <v>高级神器2配件4-上古篆文Lvs16</v>
      </c>
      <c r="AL869" s="60" t="s">
        <v>645</v>
      </c>
      <c r="AM869" s="15">
        <f t="shared" si="92"/>
        <v>16</v>
      </c>
      <c r="AN869" s="15" t="str">
        <f t="shared" si="93"/>
        <v>高级神器2配件4</v>
      </c>
      <c r="AO869" s="15">
        <f>INDEX(芦花古楼!$BX$19:$BX$58,神器!AM869)</f>
        <v>10</v>
      </c>
      <c r="AP869" s="15" t="s">
        <v>88</v>
      </c>
      <c r="AQ869" s="15">
        <f t="shared" si="94"/>
        <v>6465</v>
      </c>
      <c r="AR869" s="15" t="s">
        <v>654</v>
      </c>
      <c r="AS869" s="15">
        <f t="shared" si="95"/>
        <v>138</v>
      </c>
    </row>
    <row r="870" spans="35:45" ht="16.5" x14ac:dyDescent="0.2">
      <c r="AI870" s="60">
        <v>857</v>
      </c>
      <c r="AJ870" s="15">
        <f t="shared" si="90"/>
        <v>1606024</v>
      </c>
      <c r="AK870" s="15" t="str">
        <f t="shared" si="91"/>
        <v>高级神器2配件4-上古篆文Lvs17</v>
      </c>
      <c r="AL870" s="60" t="s">
        <v>645</v>
      </c>
      <c r="AM870" s="15">
        <f t="shared" si="92"/>
        <v>17</v>
      </c>
      <c r="AN870" s="15" t="str">
        <f t="shared" si="93"/>
        <v>高级神器2配件4</v>
      </c>
      <c r="AO870" s="15">
        <f>INDEX(芦花古楼!$BX$19:$BX$58,神器!AM870)</f>
        <v>10</v>
      </c>
      <c r="AP870" s="15" t="s">
        <v>88</v>
      </c>
      <c r="AQ870" s="15">
        <f t="shared" si="94"/>
        <v>7055</v>
      </c>
      <c r="AR870" s="15" t="s">
        <v>654</v>
      </c>
      <c r="AS870" s="15">
        <f t="shared" si="95"/>
        <v>149</v>
      </c>
    </row>
    <row r="871" spans="35:45" ht="16.5" x14ac:dyDescent="0.2">
      <c r="AI871" s="60">
        <v>858</v>
      </c>
      <c r="AJ871" s="15">
        <f t="shared" si="90"/>
        <v>1606024</v>
      </c>
      <c r="AK871" s="15" t="str">
        <f t="shared" si="91"/>
        <v>高级神器2配件4-上古篆文Lvs18</v>
      </c>
      <c r="AL871" s="60" t="s">
        <v>645</v>
      </c>
      <c r="AM871" s="15">
        <f t="shared" si="92"/>
        <v>18</v>
      </c>
      <c r="AN871" s="15" t="str">
        <f t="shared" si="93"/>
        <v>高级神器2配件4</v>
      </c>
      <c r="AO871" s="15">
        <f>INDEX(芦花古楼!$BX$19:$BX$58,神器!AM871)</f>
        <v>10</v>
      </c>
      <c r="AP871" s="15" t="s">
        <v>88</v>
      </c>
      <c r="AQ871" s="15">
        <f t="shared" si="94"/>
        <v>7645</v>
      </c>
      <c r="AR871" s="15" t="s">
        <v>654</v>
      </c>
      <c r="AS871" s="15">
        <f t="shared" si="95"/>
        <v>162</v>
      </c>
    </row>
    <row r="872" spans="35:45" ht="16.5" x14ac:dyDescent="0.2">
      <c r="AI872" s="60">
        <v>859</v>
      </c>
      <c r="AJ872" s="15">
        <f t="shared" si="90"/>
        <v>1606024</v>
      </c>
      <c r="AK872" s="15" t="str">
        <f t="shared" si="91"/>
        <v>高级神器2配件4-上古篆文Lvs19</v>
      </c>
      <c r="AL872" s="60" t="s">
        <v>645</v>
      </c>
      <c r="AM872" s="15">
        <f t="shared" si="92"/>
        <v>19</v>
      </c>
      <c r="AN872" s="15" t="str">
        <f t="shared" si="93"/>
        <v>高级神器2配件4</v>
      </c>
      <c r="AO872" s="15">
        <f>INDEX(芦花古楼!$BX$19:$BX$58,神器!AM872)</f>
        <v>10</v>
      </c>
      <c r="AP872" s="15" t="s">
        <v>88</v>
      </c>
      <c r="AQ872" s="15">
        <f t="shared" si="94"/>
        <v>8230</v>
      </c>
      <c r="AR872" s="15" t="s">
        <v>654</v>
      </c>
      <c r="AS872" s="15">
        <f t="shared" si="95"/>
        <v>174</v>
      </c>
    </row>
    <row r="873" spans="35:45" ht="16.5" x14ac:dyDescent="0.2">
      <c r="AI873" s="60">
        <v>860</v>
      </c>
      <c r="AJ873" s="15">
        <f t="shared" si="90"/>
        <v>1606024</v>
      </c>
      <c r="AK873" s="15" t="str">
        <f t="shared" si="91"/>
        <v>高级神器2配件4-上古篆文Lvs20</v>
      </c>
      <c r="AL873" s="60" t="s">
        <v>645</v>
      </c>
      <c r="AM873" s="15">
        <f t="shared" si="92"/>
        <v>20</v>
      </c>
      <c r="AN873" s="15" t="str">
        <f t="shared" si="93"/>
        <v>高级神器2配件4</v>
      </c>
      <c r="AO873" s="15">
        <f>INDEX(芦花古楼!$BX$19:$BX$58,神器!AM873)</f>
        <v>10</v>
      </c>
      <c r="AP873" s="15" t="s">
        <v>88</v>
      </c>
      <c r="AQ873" s="15">
        <f t="shared" si="94"/>
        <v>9410</v>
      </c>
      <c r="AR873" s="15" t="s">
        <v>654</v>
      </c>
      <c r="AS873" s="15">
        <f t="shared" si="95"/>
        <v>188</v>
      </c>
    </row>
    <row r="874" spans="35:45" ht="16.5" x14ac:dyDescent="0.2">
      <c r="AI874" s="60">
        <v>861</v>
      </c>
      <c r="AJ874" s="15">
        <f t="shared" si="90"/>
        <v>1606024</v>
      </c>
      <c r="AK874" s="15" t="str">
        <f t="shared" si="91"/>
        <v>高级神器2配件4-上古篆文Lvs21</v>
      </c>
      <c r="AL874" s="60" t="s">
        <v>645</v>
      </c>
      <c r="AM874" s="15">
        <f t="shared" si="92"/>
        <v>21</v>
      </c>
      <c r="AN874" s="15" t="str">
        <f t="shared" si="93"/>
        <v>高级神器2配件4</v>
      </c>
      <c r="AO874" s="15">
        <f>INDEX(芦花古楼!$BX$19:$BX$58,神器!AM874)</f>
        <v>15</v>
      </c>
      <c r="AP874" s="15" t="s">
        <v>88</v>
      </c>
      <c r="AQ874" s="15">
        <f t="shared" si="94"/>
        <v>10390</v>
      </c>
      <c r="AR874" s="15" t="s">
        <v>654</v>
      </c>
      <c r="AS874" s="15">
        <f t="shared" si="95"/>
        <v>202</v>
      </c>
    </row>
    <row r="875" spans="35:45" ht="16.5" x14ac:dyDescent="0.2">
      <c r="AI875" s="60">
        <v>862</v>
      </c>
      <c r="AJ875" s="15">
        <f t="shared" si="90"/>
        <v>1606024</v>
      </c>
      <c r="AK875" s="15" t="str">
        <f t="shared" si="91"/>
        <v>高级神器2配件4-上古篆文Lvs22</v>
      </c>
      <c r="AL875" s="60" t="s">
        <v>645</v>
      </c>
      <c r="AM875" s="15">
        <f t="shared" si="92"/>
        <v>22</v>
      </c>
      <c r="AN875" s="15" t="str">
        <f t="shared" si="93"/>
        <v>高级神器2配件4</v>
      </c>
      <c r="AO875" s="15">
        <f>INDEX(芦花古楼!$BX$19:$BX$58,神器!AM875)</f>
        <v>15</v>
      </c>
      <c r="AP875" s="15" t="s">
        <v>88</v>
      </c>
      <c r="AQ875" s="15">
        <f t="shared" si="94"/>
        <v>10910</v>
      </c>
      <c r="AR875" s="15" t="s">
        <v>654</v>
      </c>
      <c r="AS875" s="15">
        <f t="shared" si="95"/>
        <v>216</v>
      </c>
    </row>
    <row r="876" spans="35:45" ht="16.5" x14ac:dyDescent="0.2">
      <c r="AI876" s="60">
        <v>863</v>
      </c>
      <c r="AJ876" s="15">
        <f t="shared" si="90"/>
        <v>1606024</v>
      </c>
      <c r="AK876" s="15" t="str">
        <f t="shared" si="91"/>
        <v>高级神器2配件4-上古篆文Lvs23</v>
      </c>
      <c r="AL876" s="60" t="s">
        <v>645</v>
      </c>
      <c r="AM876" s="15">
        <f t="shared" si="92"/>
        <v>23</v>
      </c>
      <c r="AN876" s="15" t="str">
        <f t="shared" si="93"/>
        <v>高级神器2配件4</v>
      </c>
      <c r="AO876" s="15">
        <f>INDEX(芦花古楼!$BX$19:$BX$58,神器!AM876)</f>
        <v>15</v>
      </c>
      <c r="AP876" s="15" t="s">
        <v>88</v>
      </c>
      <c r="AQ876" s="15">
        <f t="shared" si="94"/>
        <v>11425</v>
      </c>
      <c r="AR876" s="15" t="s">
        <v>654</v>
      </c>
      <c r="AS876" s="15">
        <f t="shared" si="95"/>
        <v>232</v>
      </c>
    </row>
    <row r="877" spans="35:45" ht="16.5" x14ac:dyDescent="0.2">
      <c r="AI877" s="60">
        <v>864</v>
      </c>
      <c r="AJ877" s="15">
        <f t="shared" si="90"/>
        <v>1606024</v>
      </c>
      <c r="AK877" s="15" t="str">
        <f t="shared" si="91"/>
        <v>高级神器2配件4-上古篆文Lvs24</v>
      </c>
      <c r="AL877" s="60" t="s">
        <v>645</v>
      </c>
      <c r="AM877" s="15">
        <f t="shared" si="92"/>
        <v>24</v>
      </c>
      <c r="AN877" s="15" t="str">
        <f t="shared" si="93"/>
        <v>高级神器2配件4</v>
      </c>
      <c r="AO877" s="15">
        <f>INDEX(芦花古楼!$BX$19:$BX$58,神器!AM877)</f>
        <v>15</v>
      </c>
      <c r="AP877" s="15" t="s">
        <v>88</v>
      </c>
      <c r="AQ877" s="15">
        <f t="shared" si="94"/>
        <v>11945</v>
      </c>
      <c r="AR877" s="15" t="s">
        <v>654</v>
      </c>
      <c r="AS877" s="15">
        <f t="shared" si="95"/>
        <v>248</v>
      </c>
    </row>
    <row r="878" spans="35:45" ht="16.5" x14ac:dyDescent="0.2">
      <c r="AI878" s="60">
        <v>865</v>
      </c>
      <c r="AJ878" s="15">
        <f t="shared" si="90"/>
        <v>1606024</v>
      </c>
      <c r="AK878" s="15" t="str">
        <f t="shared" si="91"/>
        <v>高级神器2配件4-上古篆文Lvs25</v>
      </c>
      <c r="AL878" s="60" t="s">
        <v>645</v>
      </c>
      <c r="AM878" s="15">
        <f t="shared" si="92"/>
        <v>25</v>
      </c>
      <c r="AN878" s="15" t="str">
        <f t="shared" si="93"/>
        <v>高级神器2配件4</v>
      </c>
      <c r="AO878" s="15">
        <f>INDEX(芦花古楼!$BX$19:$BX$58,神器!AM878)</f>
        <v>15</v>
      </c>
      <c r="AP878" s="15" t="s">
        <v>88</v>
      </c>
      <c r="AQ878" s="15">
        <f t="shared" si="94"/>
        <v>12465</v>
      </c>
      <c r="AR878" s="15" t="s">
        <v>654</v>
      </c>
      <c r="AS878" s="15">
        <f t="shared" si="95"/>
        <v>265</v>
      </c>
    </row>
    <row r="879" spans="35:45" ht="16.5" x14ac:dyDescent="0.2">
      <c r="AI879" s="60">
        <v>866</v>
      </c>
      <c r="AJ879" s="15">
        <f t="shared" si="90"/>
        <v>1606024</v>
      </c>
      <c r="AK879" s="15" t="str">
        <f t="shared" si="91"/>
        <v>高级神器2配件4-上古篆文Lvs26</v>
      </c>
      <c r="AL879" s="60" t="s">
        <v>645</v>
      </c>
      <c r="AM879" s="15">
        <f t="shared" si="92"/>
        <v>26</v>
      </c>
      <c r="AN879" s="15" t="str">
        <f t="shared" si="93"/>
        <v>高级神器2配件4</v>
      </c>
      <c r="AO879" s="15">
        <f>INDEX(芦花古楼!$BX$19:$BX$58,神器!AM879)</f>
        <v>25</v>
      </c>
      <c r="AP879" s="15" t="s">
        <v>88</v>
      </c>
      <c r="AQ879" s="15">
        <f t="shared" si="94"/>
        <v>12985</v>
      </c>
      <c r="AR879" s="15" t="s">
        <v>654</v>
      </c>
      <c r="AS879" s="15">
        <f t="shared" si="95"/>
        <v>283</v>
      </c>
    </row>
    <row r="880" spans="35:45" ht="16.5" x14ac:dyDescent="0.2">
      <c r="AI880" s="60">
        <v>867</v>
      </c>
      <c r="AJ880" s="15">
        <f t="shared" si="90"/>
        <v>1606024</v>
      </c>
      <c r="AK880" s="15" t="str">
        <f t="shared" si="91"/>
        <v>高级神器2配件4-上古篆文Lvs27</v>
      </c>
      <c r="AL880" s="60" t="s">
        <v>645</v>
      </c>
      <c r="AM880" s="15">
        <f t="shared" si="92"/>
        <v>27</v>
      </c>
      <c r="AN880" s="15" t="str">
        <f t="shared" si="93"/>
        <v>高级神器2配件4</v>
      </c>
      <c r="AO880" s="15">
        <f>INDEX(芦花古楼!$BX$19:$BX$58,神器!AM880)</f>
        <v>25</v>
      </c>
      <c r="AP880" s="15" t="s">
        <v>88</v>
      </c>
      <c r="AQ880" s="15">
        <f t="shared" si="94"/>
        <v>13505</v>
      </c>
      <c r="AR880" s="15" t="s">
        <v>654</v>
      </c>
      <c r="AS880" s="15">
        <f t="shared" si="95"/>
        <v>302</v>
      </c>
    </row>
    <row r="881" spans="35:45" ht="16.5" x14ac:dyDescent="0.2">
      <c r="AI881" s="60">
        <v>868</v>
      </c>
      <c r="AJ881" s="15">
        <f t="shared" si="90"/>
        <v>1606024</v>
      </c>
      <c r="AK881" s="15" t="str">
        <f t="shared" si="91"/>
        <v>高级神器2配件4-上古篆文Lvs28</v>
      </c>
      <c r="AL881" s="60" t="s">
        <v>645</v>
      </c>
      <c r="AM881" s="15">
        <f t="shared" si="92"/>
        <v>28</v>
      </c>
      <c r="AN881" s="15" t="str">
        <f t="shared" si="93"/>
        <v>高级神器2配件4</v>
      </c>
      <c r="AO881" s="15">
        <f>INDEX(芦花古楼!$BX$19:$BX$58,神器!AM881)</f>
        <v>25</v>
      </c>
      <c r="AP881" s="15" t="s">
        <v>88</v>
      </c>
      <c r="AQ881" s="15">
        <f t="shared" si="94"/>
        <v>14025</v>
      </c>
      <c r="AR881" s="15" t="s">
        <v>654</v>
      </c>
      <c r="AS881" s="15">
        <f t="shared" si="95"/>
        <v>322</v>
      </c>
    </row>
    <row r="882" spans="35:45" ht="16.5" x14ac:dyDescent="0.2">
      <c r="AI882" s="60">
        <v>869</v>
      </c>
      <c r="AJ882" s="15">
        <f t="shared" si="90"/>
        <v>1606024</v>
      </c>
      <c r="AK882" s="15" t="str">
        <f t="shared" si="91"/>
        <v>高级神器2配件4-上古篆文Lvs29</v>
      </c>
      <c r="AL882" s="60" t="s">
        <v>645</v>
      </c>
      <c r="AM882" s="15">
        <f t="shared" si="92"/>
        <v>29</v>
      </c>
      <c r="AN882" s="15" t="str">
        <f t="shared" si="93"/>
        <v>高级神器2配件4</v>
      </c>
      <c r="AO882" s="15">
        <f>INDEX(芦花古楼!$BX$19:$BX$58,神器!AM882)</f>
        <v>25</v>
      </c>
      <c r="AP882" s="15" t="s">
        <v>88</v>
      </c>
      <c r="AQ882" s="15">
        <f t="shared" si="94"/>
        <v>14545</v>
      </c>
      <c r="AR882" s="15" t="s">
        <v>654</v>
      </c>
      <c r="AS882" s="15">
        <f t="shared" si="95"/>
        <v>342</v>
      </c>
    </row>
    <row r="883" spans="35:45" ht="16.5" x14ac:dyDescent="0.2">
      <c r="AI883" s="60">
        <v>870</v>
      </c>
      <c r="AJ883" s="15">
        <f t="shared" si="90"/>
        <v>1606024</v>
      </c>
      <c r="AK883" s="15" t="str">
        <f t="shared" si="91"/>
        <v>高级神器2配件4-上古篆文Lvs30</v>
      </c>
      <c r="AL883" s="60" t="s">
        <v>645</v>
      </c>
      <c r="AM883" s="15">
        <f t="shared" si="92"/>
        <v>30</v>
      </c>
      <c r="AN883" s="15" t="str">
        <f t="shared" si="93"/>
        <v>高级神器2配件4</v>
      </c>
      <c r="AO883" s="15">
        <f>INDEX(芦花古楼!$BX$19:$BX$58,神器!AM883)</f>
        <v>25</v>
      </c>
      <c r="AP883" s="15" t="s">
        <v>88</v>
      </c>
      <c r="AQ883" s="15">
        <f t="shared" si="94"/>
        <v>15585</v>
      </c>
      <c r="AR883" s="15" t="s">
        <v>654</v>
      </c>
      <c r="AS883" s="15">
        <f t="shared" si="95"/>
        <v>364</v>
      </c>
    </row>
    <row r="884" spans="35:45" ht="16.5" x14ac:dyDescent="0.2">
      <c r="AI884" s="60">
        <v>871</v>
      </c>
      <c r="AJ884" s="15">
        <f t="shared" si="90"/>
        <v>1606024</v>
      </c>
      <c r="AK884" s="15" t="str">
        <f t="shared" si="91"/>
        <v>高级神器2配件4-上古篆文Lvs31</v>
      </c>
      <c r="AL884" s="60" t="s">
        <v>645</v>
      </c>
      <c r="AM884" s="15">
        <f t="shared" si="92"/>
        <v>31</v>
      </c>
      <c r="AN884" s="15" t="str">
        <f t="shared" si="93"/>
        <v>高级神器2配件4</v>
      </c>
      <c r="AO884" s="15">
        <f>INDEX(芦花古楼!$BX$19:$BX$58,神器!AM884)</f>
        <v>30</v>
      </c>
      <c r="AP884" s="15" t="s">
        <v>88</v>
      </c>
      <c r="AQ884" s="15">
        <f t="shared" si="94"/>
        <v>15190</v>
      </c>
      <c r="AR884" s="15" t="s">
        <v>654</v>
      </c>
      <c r="AS884" s="15">
        <f t="shared" si="95"/>
        <v>387</v>
      </c>
    </row>
    <row r="885" spans="35:45" ht="16.5" x14ac:dyDescent="0.2">
      <c r="AI885" s="60">
        <v>872</v>
      </c>
      <c r="AJ885" s="15">
        <f t="shared" si="90"/>
        <v>1606024</v>
      </c>
      <c r="AK885" s="15" t="str">
        <f t="shared" si="91"/>
        <v>高级神器2配件4-上古篆文Lvs32</v>
      </c>
      <c r="AL885" s="60" t="s">
        <v>645</v>
      </c>
      <c r="AM885" s="15">
        <f t="shared" si="92"/>
        <v>32</v>
      </c>
      <c r="AN885" s="15" t="str">
        <f t="shared" si="93"/>
        <v>高级神器2配件4</v>
      </c>
      <c r="AO885" s="15">
        <f>INDEX(芦花古楼!$BX$19:$BX$58,神器!AM885)</f>
        <v>30</v>
      </c>
      <c r="AP885" s="15" t="s">
        <v>88</v>
      </c>
      <c r="AQ885" s="15">
        <f t="shared" si="94"/>
        <v>22785</v>
      </c>
      <c r="AR885" s="15" t="s">
        <v>654</v>
      </c>
      <c r="AS885" s="15">
        <f t="shared" si="95"/>
        <v>411</v>
      </c>
    </row>
    <row r="886" spans="35:45" ht="16.5" x14ac:dyDescent="0.2">
      <c r="AI886" s="60">
        <v>873</v>
      </c>
      <c r="AJ886" s="15">
        <f t="shared" si="90"/>
        <v>1606024</v>
      </c>
      <c r="AK886" s="15" t="str">
        <f t="shared" si="91"/>
        <v>高级神器2配件4-上古篆文Lvs33</v>
      </c>
      <c r="AL886" s="60" t="s">
        <v>645</v>
      </c>
      <c r="AM886" s="15">
        <f t="shared" si="92"/>
        <v>33</v>
      </c>
      <c r="AN886" s="15" t="str">
        <f t="shared" si="93"/>
        <v>高级神器2配件4</v>
      </c>
      <c r="AO886" s="15">
        <f>INDEX(芦花古楼!$BX$19:$BX$58,神器!AM886)</f>
        <v>30</v>
      </c>
      <c r="AP886" s="15" t="s">
        <v>88</v>
      </c>
      <c r="AQ886" s="15">
        <f t="shared" si="94"/>
        <v>30380</v>
      </c>
      <c r="AR886" s="15" t="s">
        <v>654</v>
      </c>
      <c r="AS886" s="15">
        <f t="shared" si="95"/>
        <v>436</v>
      </c>
    </row>
    <row r="887" spans="35:45" ht="16.5" x14ac:dyDescent="0.2">
      <c r="AI887" s="60">
        <v>874</v>
      </c>
      <c r="AJ887" s="15">
        <f t="shared" si="90"/>
        <v>1606024</v>
      </c>
      <c r="AK887" s="15" t="str">
        <f t="shared" si="91"/>
        <v>高级神器2配件4-上古篆文Lvs34</v>
      </c>
      <c r="AL887" s="60" t="s">
        <v>645</v>
      </c>
      <c r="AM887" s="15">
        <f t="shared" si="92"/>
        <v>34</v>
      </c>
      <c r="AN887" s="15" t="str">
        <f t="shared" si="93"/>
        <v>高级神器2配件4</v>
      </c>
      <c r="AO887" s="15">
        <f>INDEX(芦花古楼!$BX$19:$BX$58,神器!AM887)</f>
        <v>30</v>
      </c>
      <c r="AP887" s="15" t="s">
        <v>88</v>
      </c>
      <c r="AQ887" s="15">
        <f t="shared" si="94"/>
        <v>37975</v>
      </c>
      <c r="AR887" s="15" t="s">
        <v>654</v>
      </c>
      <c r="AS887" s="15">
        <f t="shared" si="95"/>
        <v>463</v>
      </c>
    </row>
    <row r="888" spans="35:45" ht="16.5" x14ac:dyDescent="0.2">
      <c r="AI888" s="60">
        <v>875</v>
      </c>
      <c r="AJ888" s="15">
        <f t="shared" si="90"/>
        <v>1606024</v>
      </c>
      <c r="AK888" s="15" t="str">
        <f t="shared" si="91"/>
        <v>高级神器2配件4-上古篆文Lvs35</v>
      </c>
      <c r="AL888" s="60" t="s">
        <v>645</v>
      </c>
      <c r="AM888" s="15">
        <f t="shared" si="92"/>
        <v>35</v>
      </c>
      <c r="AN888" s="15" t="str">
        <f t="shared" si="93"/>
        <v>高级神器2配件4</v>
      </c>
      <c r="AO888" s="15">
        <f>INDEX(芦花古楼!$BX$19:$BX$58,神器!AM888)</f>
        <v>30</v>
      </c>
      <c r="AP888" s="15" t="s">
        <v>88</v>
      </c>
      <c r="AQ888" s="15">
        <f t="shared" si="94"/>
        <v>45570</v>
      </c>
      <c r="AR888" s="15" t="s">
        <v>654</v>
      </c>
      <c r="AS888" s="15">
        <f t="shared" si="95"/>
        <v>491</v>
      </c>
    </row>
    <row r="889" spans="35:45" ht="16.5" x14ac:dyDescent="0.2">
      <c r="AI889" s="60">
        <v>876</v>
      </c>
      <c r="AJ889" s="15">
        <f t="shared" si="90"/>
        <v>1606024</v>
      </c>
      <c r="AK889" s="15" t="str">
        <f t="shared" si="91"/>
        <v>高级神器2配件4-上古篆文Lvs36</v>
      </c>
      <c r="AL889" s="60" t="s">
        <v>645</v>
      </c>
      <c r="AM889" s="15">
        <f t="shared" si="92"/>
        <v>36</v>
      </c>
      <c r="AN889" s="15" t="str">
        <f t="shared" si="93"/>
        <v>高级神器2配件4</v>
      </c>
      <c r="AO889" s="15">
        <f>INDEX(芦花古楼!$BX$19:$BX$58,神器!AM889)</f>
        <v>40</v>
      </c>
      <c r="AP889" s="15" t="s">
        <v>88</v>
      </c>
      <c r="AQ889" s="15">
        <f t="shared" si="94"/>
        <v>53165</v>
      </c>
      <c r="AR889" s="15" t="s">
        <v>654</v>
      </c>
      <c r="AS889" s="15">
        <f t="shared" si="95"/>
        <v>520</v>
      </c>
    </row>
    <row r="890" spans="35:45" ht="16.5" x14ac:dyDescent="0.2">
      <c r="AI890" s="60">
        <v>877</v>
      </c>
      <c r="AJ890" s="15">
        <f t="shared" si="90"/>
        <v>1606024</v>
      </c>
      <c r="AK890" s="15" t="str">
        <f t="shared" si="91"/>
        <v>高级神器2配件4-上古篆文Lvs37</v>
      </c>
      <c r="AL890" s="60" t="s">
        <v>645</v>
      </c>
      <c r="AM890" s="15">
        <f t="shared" si="92"/>
        <v>37</v>
      </c>
      <c r="AN890" s="15" t="str">
        <f t="shared" si="93"/>
        <v>高级神器2配件4</v>
      </c>
      <c r="AO890" s="15">
        <f>INDEX(芦花古楼!$BX$19:$BX$58,神器!AM890)</f>
        <v>40</v>
      </c>
      <c r="AP890" s="15" t="s">
        <v>88</v>
      </c>
      <c r="AQ890" s="15">
        <f t="shared" si="94"/>
        <v>60760</v>
      </c>
      <c r="AR890" s="15" t="s">
        <v>654</v>
      </c>
      <c r="AS890" s="15">
        <f t="shared" si="95"/>
        <v>550</v>
      </c>
    </row>
    <row r="891" spans="35:45" ht="16.5" x14ac:dyDescent="0.2">
      <c r="AI891" s="60">
        <v>878</v>
      </c>
      <c r="AJ891" s="15">
        <f t="shared" si="90"/>
        <v>1606024</v>
      </c>
      <c r="AK891" s="15" t="str">
        <f t="shared" si="91"/>
        <v>高级神器2配件4-上古篆文Lvs38</v>
      </c>
      <c r="AL891" s="60" t="s">
        <v>645</v>
      </c>
      <c r="AM891" s="15">
        <f t="shared" si="92"/>
        <v>38</v>
      </c>
      <c r="AN891" s="15" t="str">
        <f t="shared" si="93"/>
        <v>高级神器2配件4</v>
      </c>
      <c r="AO891" s="15">
        <f>INDEX(芦花古楼!$BX$19:$BX$58,神器!AM891)</f>
        <v>40</v>
      </c>
      <c r="AP891" s="15" t="s">
        <v>88</v>
      </c>
      <c r="AQ891" s="15">
        <f t="shared" si="94"/>
        <v>68355</v>
      </c>
      <c r="AR891" s="15" t="s">
        <v>654</v>
      </c>
      <c r="AS891" s="15">
        <f t="shared" si="95"/>
        <v>583</v>
      </c>
    </row>
    <row r="892" spans="35:45" ht="16.5" x14ac:dyDescent="0.2">
      <c r="AI892" s="60">
        <v>879</v>
      </c>
      <c r="AJ892" s="15">
        <f t="shared" si="90"/>
        <v>1606024</v>
      </c>
      <c r="AK892" s="15" t="str">
        <f t="shared" si="91"/>
        <v>高级神器2配件4-上古篆文Lvs39</v>
      </c>
      <c r="AL892" s="60" t="s">
        <v>645</v>
      </c>
      <c r="AM892" s="15">
        <f t="shared" si="92"/>
        <v>39</v>
      </c>
      <c r="AN892" s="15" t="str">
        <f t="shared" si="93"/>
        <v>高级神器2配件4</v>
      </c>
      <c r="AO892" s="15">
        <f>INDEX(芦花古楼!$BX$19:$BX$58,神器!AM892)</f>
        <v>40</v>
      </c>
      <c r="AP892" s="15" t="s">
        <v>88</v>
      </c>
      <c r="AQ892" s="15">
        <f t="shared" si="94"/>
        <v>75950</v>
      </c>
      <c r="AR892" s="15" t="s">
        <v>654</v>
      </c>
      <c r="AS892" s="15">
        <f t="shared" si="95"/>
        <v>616</v>
      </c>
    </row>
    <row r="893" spans="35:45" ht="16.5" x14ac:dyDescent="0.2">
      <c r="AI893" s="60">
        <v>880</v>
      </c>
      <c r="AJ893" s="15">
        <f t="shared" si="90"/>
        <v>1606024</v>
      </c>
      <c r="AK893" s="15" t="str">
        <f t="shared" si="91"/>
        <v>高级神器2配件4-上古篆文Lvs40</v>
      </c>
      <c r="AL893" s="60" t="s">
        <v>645</v>
      </c>
      <c r="AM893" s="15">
        <f t="shared" si="92"/>
        <v>40</v>
      </c>
      <c r="AN893" s="15" t="str">
        <f t="shared" si="93"/>
        <v>高级神器2配件4</v>
      </c>
      <c r="AO893" s="15">
        <f>INDEX(芦花古楼!$BX$19:$BX$58,神器!AM893)</f>
        <v>40</v>
      </c>
      <c r="AP893" s="15" t="s">
        <v>88</v>
      </c>
      <c r="AQ893" s="15">
        <f t="shared" si="94"/>
        <v>91145</v>
      </c>
      <c r="AR893" s="15" t="s">
        <v>654</v>
      </c>
      <c r="AS893" s="15">
        <f t="shared" si="95"/>
        <v>652</v>
      </c>
    </row>
    <row r="894" spans="35:45" ht="16.5" x14ac:dyDescent="0.2">
      <c r="AI894" s="60">
        <v>881</v>
      </c>
      <c r="AJ894" s="15">
        <f t="shared" si="90"/>
        <v>1606025</v>
      </c>
      <c r="AK894" s="15" t="str">
        <f t="shared" si="91"/>
        <v>高级神器2配件5-吸魂石Lvs1</v>
      </c>
      <c r="AL894" s="60" t="s">
        <v>645</v>
      </c>
      <c r="AM894" s="15">
        <f t="shared" si="92"/>
        <v>1</v>
      </c>
      <c r="AN894" s="15" t="str">
        <f t="shared" si="93"/>
        <v>高级神器2配件5</v>
      </c>
      <c r="AO894" s="15">
        <f>INDEX(芦花古楼!$BX$19:$BX$58,神器!AM894)</f>
        <v>1</v>
      </c>
      <c r="AP894" s="15" t="s">
        <v>88</v>
      </c>
      <c r="AQ894" s="15">
        <f t="shared" si="94"/>
        <v>665</v>
      </c>
      <c r="AR894" s="15" t="s">
        <v>654</v>
      </c>
      <c r="AS894" s="15">
        <f t="shared" si="95"/>
        <v>25</v>
      </c>
    </row>
    <row r="895" spans="35:45" ht="16.5" x14ac:dyDescent="0.2">
      <c r="AI895" s="60">
        <v>882</v>
      </c>
      <c r="AJ895" s="15">
        <f t="shared" si="90"/>
        <v>1606025</v>
      </c>
      <c r="AK895" s="15" t="str">
        <f t="shared" si="91"/>
        <v>高级神器2配件5-吸魂石Lvs2</v>
      </c>
      <c r="AL895" s="60" t="s">
        <v>645</v>
      </c>
      <c r="AM895" s="15">
        <f t="shared" si="92"/>
        <v>2</v>
      </c>
      <c r="AN895" s="15" t="str">
        <f t="shared" si="93"/>
        <v>高级神器2配件5</v>
      </c>
      <c r="AO895" s="15">
        <f>INDEX(芦花古楼!$BX$19:$BX$58,神器!AM895)</f>
        <v>1</v>
      </c>
      <c r="AP895" s="15" t="s">
        <v>88</v>
      </c>
      <c r="AQ895" s="15">
        <f t="shared" si="94"/>
        <v>1000</v>
      </c>
      <c r="AR895" s="15" t="s">
        <v>654</v>
      </c>
      <c r="AS895" s="15">
        <f t="shared" si="95"/>
        <v>30</v>
      </c>
    </row>
    <row r="896" spans="35:45" ht="16.5" x14ac:dyDescent="0.2">
      <c r="AI896" s="60">
        <v>883</v>
      </c>
      <c r="AJ896" s="15">
        <f t="shared" si="90"/>
        <v>1606025</v>
      </c>
      <c r="AK896" s="15" t="str">
        <f t="shared" si="91"/>
        <v>高级神器2配件5-吸魂石Lvs3</v>
      </c>
      <c r="AL896" s="60" t="s">
        <v>645</v>
      </c>
      <c r="AM896" s="15">
        <f t="shared" si="92"/>
        <v>3</v>
      </c>
      <c r="AN896" s="15" t="str">
        <f t="shared" si="93"/>
        <v>高级神器2配件5</v>
      </c>
      <c r="AO896" s="15">
        <f>INDEX(芦花古楼!$BX$19:$BX$58,神器!AM896)</f>
        <v>2</v>
      </c>
      <c r="AP896" s="15" t="s">
        <v>88</v>
      </c>
      <c r="AQ896" s="15">
        <f t="shared" si="94"/>
        <v>1335</v>
      </c>
      <c r="AR896" s="15" t="s">
        <v>654</v>
      </c>
      <c r="AS896" s="15">
        <f t="shared" si="95"/>
        <v>40</v>
      </c>
    </row>
    <row r="897" spans="35:45" ht="16.5" x14ac:dyDescent="0.2">
      <c r="AI897" s="60">
        <v>884</v>
      </c>
      <c r="AJ897" s="15">
        <f t="shared" si="90"/>
        <v>1606025</v>
      </c>
      <c r="AK897" s="15" t="str">
        <f t="shared" si="91"/>
        <v>高级神器2配件5-吸魂石Lvs4</v>
      </c>
      <c r="AL897" s="60" t="s">
        <v>645</v>
      </c>
      <c r="AM897" s="15">
        <f t="shared" si="92"/>
        <v>4</v>
      </c>
      <c r="AN897" s="15" t="str">
        <f t="shared" si="93"/>
        <v>高级神器2配件5</v>
      </c>
      <c r="AO897" s="15">
        <f>INDEX(芦花古楼!$BX$19:$BX$58,神器!AM897)</f>
        <v>3</v>
      </c>
      <c r="AP897" s="15" t="s">
        <v>88</v>
      </c>
      <c r="AQ897" s="15">
        <f t="shared" si="94"/>
        <v>1670</v>
      </c>
      <c r="AR897" s="15" t="s">
        <v>654</v>
      </c>
      <c r="AS897" s="15">
        <f t="shared" si="95"/>
        <v>50</v>
      </c>
    </row>
    <row r="898" spans="35:45" ht="16.5" x14ac:dyDescent="0.2">
      <c r="AI898" s="60">
        <v>885</v>
      </c>
      <c r="AJ898" s="15">
        <f t="shared" si="90"/>
        <v>1606025</v>
      </c>
      <c r="AK898" s="15" t="str">
        <f t="shared" si="91"/>
        <v>高级神器2配件5-吸魂石Lvs5</v>
      </c>
      <c r="AL898" s="60" t="s">
        <v>645</v>
      </c>
      <c r="AM898" s="15">
        <f t="shared" si="92"/>
        <v>5</v>
      </c>
      <c r="AN898" s="15" t="str">
        <f t="shared" si="93"/>
        <v>高级神器2配件5</v>
      </c>
      <c r="AO898" s="15">
        <f>INDEX(芦花古楼!$BX$19:$BX$58,神器!AM898)</f>
        <v>3</v>
      </c>
      <c r="AP898" s="15" t="s">
        <v>88</v>
      </c>
      <c r="AQ898" s="15">
        <f t="shared" si="94"/>
        <v>2005</v>
      </c>
      <c r="AR898" s="15" t="s">
        <v>654</v>
      </c>
      <c r="AS898" s="15">
        <f t="shared" si="95"/>
        <v>60</v>
      </c>
    </row>
    <row r="899" spans="35:45" ht="16.5" x14ac:dyDescent="0.2">
      <c r="AI899" s="60">
        <v>886</v>
      </c>
      <c r="AJ899" s="15">
        <f t="shared" si="90"/>
        <v>1606025</v>
      </c>
      <c r="AK899" s="15" t="str">
        <f t="shared" si="91"/>
        <v>高级神器2配件5-吸魂石Lvs6</v>
      </c>
      <c r="AL899" s="60" t="s">
        <v>645</v>
      </c>
      <c r="AM899" s="15">
        <f t="shared" si="92"/>
        <v>6</v>
      </c>
      <c r="AN899" s="15" t="str">
        <f t="shared" si="93"/>
        <v>高级神器2配件5</v>
      </c>
      <c r="AO899" s="15">
        <f>INDEX(芦花古楼!$BX$19:$BX$58,神器!AM899)</f>
        <v>5</v>
      </c>
      <c r="AP899" s="15" t="s">
        <v>88</v>
      </c>
      <c r="AQ899" s="15">
        <f t="shared" si="94"/>
        <v>2340</v>
      </c>
      <c r="AR899" s="15" t="s">
        <v>654</v>
      </c>
      <c r="AS899" s="15">
        <f t="shared" si="95"/>
        <v>70</v>
      </c>
    </row>
    <row r="900" spans="35:45" ht="16.5" x14ac:dyDescent="0.2">
      <c r="AI900" s="60">
        <v>887</v>
      </c>
      <c r="AJ900" s="15">
        <f t="shared" si="90"/>
        <v>1606025</v>
      </c>
      <c r="AK900" s="15" t="str">
        <f t="shared" si="91"/>
        <v>高级神器2配件5-吸魂石Lvs7</v>
      </c>
      <c r="AL900" s="60" t="s">
        <v>645</v>
      </c>
      <c r="AM900" s="15">
        <f t="shared" si="92"/>
        <v>7</v>
      </c>
      <c r="AN900" s="15" t="str">
        <f t="shared" si="93"/>
        <v>高级神器2配件5</v>
      </c>
      <c r="AO900" s="15">
        <f>INDEX(芦花古楼!$BX$19:$BX$58,神器!AM900)</f>
        <v>5</v>
      </c>
      <c r="AP900" s="15" t="s">
        <v>88</v>
      </c>
      <c r="AQ900" s="15">
        <f t="shared" si="94"/>
        <v>2675</v>
      </c>
      <c r="AR900" s="15" t="s">
        <v>654</v>
      </c>
      <c r="AS900" s="15">
        <f t="shared" si="95"/>
        <v>80</v>
      </c>
    </row>
    <row r="901" spans="35:45" ht="16.5" x14ac:dyDescent="0.2">
      <c r="AI901" s="60">
        <v>888</v>
      </c>
      <c r="AJ901" s="15">
        <f t="shared" si="90"/>
        <v>1606025</v>
      </c>
      <c r="AK901" s="15" t="str">
        <f t="shared" si="91"/>
        <v>高级神器2配件5-吸魂石Lvs8</v>
      </c>
      <c r="AL901" s="60" t="s">
        <v>645</v>
      </c>
      <c r="AM901" s="15">
        <f t="shared" si="92"/>
        <v>8</v>
      </c>
      <c r="AN901" s="15" t="str">
        <f t="shared" si="93"/>
        <v>高级神器2配件5</v>
      </c>
      <c r="AO901" s="15">
        <f>INDEX(芦花古楼!$BX$19:$BX$58,神器!AM901)</f>
        <v>5</v>
      </c>
      <c r="AP901" s="15" t="s">
        <v>88</v>
      </c>
      <c r="AQ901" s="15">
        <f t="shared" si="94"/>
        <v>3010</v>
      </c>
      <c r="AR901" s="15" t="s">
        <v>654</v>
      </c>
      <c r="AS901" s="15">
        <f t="shared" si="95"/>
        <v>90</v>
      </c>
    </row>
    <row r="902" spans="35:45" ht="16.5" x14ac:dyDescent="0.2">
      <c r="AI902" s="60">
        <v>889</v>
      </c>
      <c r="AJ902" s="15">
        <f t="shared" si="90"/>
        <v>1606025</v>
      </c>
      <c r="AK902" s="15" t="str">
        <f t="shared" si="91"/>
        <v>高级神器2配件5-吸魂石Lvs9</v>
      </c>
      <c r="AL902" s="60" t="s">
        <v>645</v>
      </c>
      <c r="AM902" s="15">
        <f t="shared" si="92"/>
        <v>9</v>
      </c>
      <c r="AN902" s="15" t="str">
        <f t="shared" si="93"/>
        <v>高级神器2配件5</v>
      </c>
      <c r="AO902" s="15">
        <f>INDEX(芦花古楼!$BX$19:$BX$58,神器!AM902)</f>
        <v>5</v>
      </c>
      <c r="AP902" s="15" t="s">
        <v>88</v>
      </c>
      <c r="AQ902" s="15">
        <f t="shared" si="94"/>
        <v>3345</v>
      </c>
      <c r="AR902" s="15" t="s">
        <v>654</v>
      </c>
      <c r="AS902" s="15">
        <f t="shared" si="95"/>
        <v>100</v>
      </c>
    </row>
    <row r="903" spans="35:45" ht="16.5" x14ac:dyDescent="0.2">
      <c r="AI903" s="60">
        <v>890</v>
      </c>
      <c r="AJ903" s="15">
        <f t="shared" si="90"/>
        <v>1606025</v>
      </c>
      <c r="AK903" s="15" t="str">
        <f t="shared" si="91"/>
        <v>高级神器2配件5-吸魂石Lvs10</v>
      </c>
      <c r="AL903" s="60" t="s">
        <v>645</v>
      </c>
      <c r="AM903" s="15">
        <f t="shared" si="92"/>
        <v>10</v>
      </c>
      <c r="AN903" s="15" t="str">
        <f t="shared" si="93"/>
        <v>高级神器2配件5</v>
      </c>
      <c r="AO903" s="15">
        <f>INDEX(芦花古楼!$BX$19:$BX$58,神器!AM903)</f>
        <v>7</v>
      </c>
      <c r="AP903" s="15" t="s">
        <v>88</v>
      </c>
      <c r="AQ903" s="15">
        <f t="shared" si="94"/>
        <v>4015</v>
      </c>
      <c r="AR903" s="15" t="s">
        <v>654</v>
      </c>
      <c r="AS903" s="15">
        <f t="shared" si="95"/>
        <v>110</v>
      </c>
    </row>
    <row r="904" spans="35:45" ht="16.5" x14ac:dyDescent="0.2">
      <c r="AI904" s="60">
        <v>891</v>
      </c>
      <c r="AJ904" s="15">
        <f t="shared" si="90"/>
        <v>1606025</v>
      </c>
      <c r="AK904" s="15" t="str">
        <f t="shared" si="91"/>
        <v>高级神器2配件5-吸魂石Lvs11</v>
      </c>
      <c r="AL904" s="60" t="s">
        <v>645</v>
      </c>
      <c r="AM904" s="15">
        <f t="shared" si="92"/>
        <v>11</v>
      </c>
      <c r="AN904" s="15" t="str">
        <f t="shared" si="93"/>
        <v>高级神器2配件5</v>
      </c>
      <c r="AO904" s="15">
        <f>INDEX(芦花古楼!$BX$19:$BX$58,神器!AM904)</f>
        <v>7</v>
      </c>
      <c r="AP904" s="15" t="s">
        <v>88</v>
      </c>
      <c r="AQ904" s="15">
        <f t="shared" si="94"/>
        <v>5040</v>
      </c>
      <c r="AR904" s="15" t="s">
        <v>654</v>
      </c>
      <c r="AS904" s="15">
        <f t="shared" si="95"/>
        <v>125</v>
      </c>
    </row>
    <row r="905" spans="35:45" ht="16.5" x14ac:dyDescent="0.2">
      <c r="AI905" s="60">
        <v>892</v>
      </c>
      <c r="AJ905" s="15">
        <f t="shared" si="90"/>
        <v>1606025</v>
      </c>
      <c r="AK905" s="15" t="str">
        <f t="shared" si="91"/>
        <v>高级神器2配件5-吸魂石Lvs12</v>
      </c>
      <c r="AL905" s="60" t="s">
        <v>645</v>
      </c>
      <c r="AM905" s="15">
        <f t="shared" si="92"/>
        <v>12</v>
      </c>
      <c r="AN905" s="15" t="str">
        <f t="shared" si="93"/>
        <v>高级神器2配件5</v>
      </c>
      <c r="AO905" s="15">
        <f>INDEX(芦花古楼!$BX$19:$BX$58,神器!AM905)</f>
        <v>7</v>
      </c>
      <c r="AP905" s="15" t="s">
        <v>88</v>
      </c>
      <c r="AQ905" s="15">
        <f t="shared" si="94"/>
        <v>5880</v>
      </c>
      <c r="AR905" s="15" t="s">
        <v>654</v>
      </c>
      <c r="AS905" s="15">
        <f t="shared" si="95"/>
        <v>135</v>
      </c>
    </row>
    <row r="906" spans="35:45" ht="16.5" x14ac:dyDescent="0.2">
      <c r="AI906" s="60">
        <v>893</v>
      </c>
      <c r="AJ906" s="15">
        <f t="shared" si="90"/>
        <v>1606025</v>
      </c>
      <c r="AK906" s="15" t="str">
        <f t="shared" si="91"/>
        <v>高级神器2配件5-吸魂石Lvs13</v>
      </c>
      <c r="AL906" s="60" t="s">
        <v>645</v>
      </c>
      <c r="AM906" s="15">
        <f t="shared" si="92"/>
        <v>13</v>
      </c>
      <c r="AN906" s="15" t="str">
        <f t="shared" si="93"/>
        <v>高级神器2配件5</v>
      </c>
      <c r="AO906" s="15">
        <f>INDEX(芦花古楼!$BX$19:$BX$58,神器!AM906)</f>
        <v>7</v>
      </c>
      <c r="AP906" s="15" t="s">
        <v>88</v>
      </c>
      <c r="AQ906" s="15">
        <f t="shared" si="94"/>
        <v>6720</v>
      </c>
      <c r="AR906" s="15" t="s">
        <v>654</v>
      </c>
      <c r="AS906" s="15">
        <f t="shared" si="95"/>
        <v>150</v>
      </c>
    </row>
    <row r="907" spans="35:45" ht="16.5" x14ac:dyDescent="0.2">
      <c r="AI907" s="60">
        <v>894</v>
      </c>
      <c r="AJ907" s="15">
        <f t="shared" si="90"/>
        <v>1606025</v>
      </c>
      <c r="AK907" s="15" t="str">
        <f t="shared" si="91"/>
        <v>高级神器2配件5-吸魂石Lvs14</v>
      </c>
      <c r="AL907" s="60" t="s">
        <v>645</v>
      </c>
      <c r="AM907" s="15">
        <f t="shared" si="92"/>
        <v>14</v>
      </c>
      <c r="AN907" s="15" t="str">
        <f t="shared" si="93"/>
        <v>高级神器2配件5</v>
      </c>
      <c r="AO907" s="15">
        <f>INDEX(芦花古楼!$BX$19:$BX$58,神器!AM907)</f>
        <v>7</v>
      </c>
      <c r="AP907" s="15" t="s">
        <v>88</v>
      </c>
      <c r="AQ907" s="15">
        <f t="shared" si="94"/>
        <v>7560</v>
      </c>
      <c r="AR907" s="15" t="s">
        <v>654</v>
      </c>
      <c r="AS907" s="15">
        <f t="shared" si="95"/>
        <v>165</v>
      </c>
    </row>
    <row r="908" spans="35:45" ht="16.5" x14ac:dyDescent="0.2">
      <c r="AI908" s="60">
        <v>895</v>
      </c>
      <c r="AJ908" s="15">
        <f t="shared" si="90"/>
        <v>1606025</v>
      </c>
      <c r="AK908" s="15" t="str">
        <f t="shared" si="91"/>
        <v>高级神器2配件5-吸魂石Lvs15</v>
      </c>
      <c r="AL908" s="60" t="s">
        <v>645</v>
      </c>
      <c r="AM908" s="15">
        <f t="shared" si="92"/>
        <v>15</v>
      </c>
      <c r="AN908" s="15" t="str">
        <f t="shared" si="93"/>
        <v>高级神器2配件5</v>
      </c>
      <c r="AO908" s="15">
        <f>INDEX(芦花古楼!$BX$19:$BX$58,神器!AM908)</f>
        <v>10</v>
      </c>
      <c r="AP908" s="15" t="s">
        <v>88</v>
      </c>
      <c r="AQ908" s="15">
        <f t="shared" si="94"/>
        <v>8400</v>
      </c>
      <c r="AR908" s="15" t="s">
        <v>654</v>
      </c>
      <c r="AS908" s="15">
        <f t="shared" si="95"/>
        <v>180</v>
      </c>
    </row>
    <row r="909" spans="35:45" ht="16.5" x14ac:dyDescent="0.2">
      <c r="AI909" s="60">
        <v>896</v>
      </c>
      <c r="AJ909" s="15">
        <f t="shared" si="90"/>
        <v>1606025</v>
      </c>
      <c r="AK909" s="15" t="str">
        <f t="shared" si="91"/>
        <v>高级神器2配件5-吸魂石Lvs16</v>
      </c>
      <c r="AL909" s="60" t="s">
        <v>645</v>
      </c>
      <c r="AM909" s="15">
        <f t="shared" si="92"/>
        <v>16</v>
      </c>
      <c r="AN909" s="15" t="str">
        <f t="shared" si="93"/>
        <v>高级神器2配件5</v>
      </c>
      <c r="AO909" s="15">
        <f>INDEX(芦花古楼!$BX$19:$BX$58,神器!AM909)</f>
        <v>10</v>
      </c>
      <c r="AP909" s="15" t="s">
        <v>88</v>
      </c>
      <c r="AQ909" s="15">
        <f t="shared" si="94"/>
        <v>9240</v>
      </c>
      <c r="AR909" s="15" t="s">
        <v>654</v>
      </c>
      <c r="AS909" s="15">
        <f t="shared" si="95"/>
        <v>195</v>
      </c>
    </row>
    <row r="910" spans="35:45" ht="16.5" x14ac:dyDescent="0.2">
      <c r="AI910" s="60">
        <v>897</v>
      </c>
      <c r="AJ910" s="15">
        <f t="shared" si="90"/>
        <v>1606025</v>
      </c>
      <c r="AK910" s="15" t="str">
        <f t="shared" si="91"/>
        <v>高级神器2配件5-吸魂石Lvs17</v>
      </c>
      <c r="AL910" s="60" t="s">
        <v>645</v>
      </c>
      <c r="AM910" s="15">
        <f t="shared" si="92"/>
        <v>17</v>
      </c>
      <c r="AN910" s="15" t="str">
        <f t="shared" si="93"/>
        <v>高级神器2配件5</v>
      </c>
      <c r="AO910" s="15">
        <f>INDEX(芦花古楼!$BX$19:$BX$58,神器!AM910)</f>
        <v>10</v>
      </c>
      <c r="AP910" s="15" t="s">
        <v>88</v>
      </c>
      <c r="AQ910" s="15">
        <f t="shared" si="94"/>
        <v>10080</v>
      </c>
      <c r="AR910" s="15" t="s">
        <v>654</v>
      </c>
      <c r="AS910" s="15">
        <f t="shared" si="95"/>
        <v>210</v>
      </c>
    </row>
    <row r="911" spans="35:45" ht="16.5" x14ac:dyDescent="0.2">
      <c r="AI911" s="60">
        <v>898</v>
      </c>
      <c r="AJ911" s="15">
        <f t="shared" ref="AJ911:AJ974" si="96">INDEX($AC$4:$AC$33,INT((AI911-1)/40)+1)</f>
        <v>1606025</v>
      </c>
      <c r="AK911" s="15" t="str">
        <f t="shared" ref="AK911:AK974" si="97">INDEX($AF$4:$AF$33,INT((AI911-1)/40)+1)&amp;AL911&amp;AM911</f>
        <v>高级神器2配件5-吸魂石Lvs18</v>
      </c>
      <c r="AL911" s="60" t="s">
        <v>645</v>
      </c>
      <c r="AM911" s="15">
        <f t="shared" ref="AM911:AM974" si="98">MOD(AI911-1,40)+1</f>
        <v>18</v>
      </c>
      <c r="AN911" s="15" t="str">
        <f t="shared" ref="AN911:AN974" si="99">INDEX($AD$4:$AD$33,INT((AI911-1)/40)+1)</f>
        <v>高级神器2配件5</v>
      </c>
      <c r="AO911" s="15">
        <f>INDEX(芦花古楼!$BX$19:$BX$58,神器!AM911)</f>
        <v>10</v>
      </c>
      <c r="AP911" s="15" t="s">
        <v>88</v>
      </c>
      <c r="AQ911" s="15">
        <f t="shared" ref="AQ911:AQ974" si="100">INDEX($F$14:$L$53,AM911,INDEX($AB$4:$AB$33,INT((AI911-1)/40)+1))</f>
        <v>10920</v>
      </c>
      <c r="AR911" s="15" t="s">
        <v>654</v>
      </c>
      <c r="AS911" s="15">
        <f t="shared" ref="AS911:AS974" si="101">INDEX($P$14:$V$53,AM911,INDEX($AB$4:$AB$33,INT((AI911-1)/40)+1))</f>
        <v>230</v>
      </c>
    </row>
    <row r="912" spans="35:45" ht="16.5" x14ac:dyDescent="0.2">
      <c r="AI912" s="60">
        <v>899</v>
      </c>
      <c r="AJ912" s="15">
        <f t="shared" si="96"/>
        <v>1606025</v>
      </c>
      <c r="AK912" s="15" t="str">
        <f t="shared" si="97"/>
        <v>高级神器2配件5-吸魂石Lvs19</v>
      </c>
      <c r="AL912" s="60" t="s">
        <v>645</v>
      </c>
      <c r="AM912" s="15">
        <f t="shared" si="98"/>
        <v>19</v>
      </c>
      <c r="AN912" s="15" t="str">
        <f t="shared" si="99"/>
        <v>高级神器2配件5</v>
      </c>
      <c r="AO912" s="15">
        <f>INDEX(芦花古楼!$BX$19:$BX$58,神器!AM912)</f>
        <v>10</v>
      </c>
      <c r="AP912" s="15" t="s">
        <v>88</v>
      </c>
      <c r="AQ912" s="15">
        <f t="shared" si="100"/>
        <v>11760</v>
      </c>
      <c r="AR912" s="15" t="s">
        <v>654</v>
      </c>
      <c r="AS912" s="15">
        <f t="shared" si="101"/>
        <v>245</v>
      </c>
    </row>
    <row r="913" spans="35:45" ht="16.5" x14ac:dyDescent="0.2">
      <c r="AI913" s="60">
        <v>900</v>
      </c>
      <c r="AJ913" s="15">
        <f t="shared" si="96"/>
        <v>1606025</v>
      </c>
      <c r="AK913" s="15" t="str">
        <f t="shared" si="97"/>
        <v>高级神器2配件5-吸魂石Lvs20</v>
      </c>
      <c r="AL913" s="60" t="s">
        <v>645</v>
      </c>
      <c r="AM913" s="15">
        <f t="shared" si="98"/>
        <v>20</v>
      </c>
      <c r="AN913" s="15" t="str">
        <f t="shared" si="99"/>
        <v>高级神器2配件5</v>
      </c>
      <c r="AO913" s="15">
        <f>INDEX(芦花古楼!$BX$19:$BX$58,神器!AM913)</f>
        <v>10</v>
      </c>
      <c r="AP913" s="15" t="s">
        <v>88</v>
      </c>
      <c r="AQ913" s="15">
        <f t="shared" si="100"/>
        <v>13440</v>
      </c>
      <c r="AR913" s="15" t="s">
        <v>654</v>
      </c>
      <c r="AS913" s="15">
        <f t="shared" si="101"/>
        <v>265</v>
      </c>
    </row>
    <row r="914" spans="35:45" ht="16.5" x14ac:dyDescent="0.2">
      <c r="AI914" s="60">
        <v>901</v>
      </c>
      <c r="AJ914" s="15">
        <f t="shared" si="96"/>
        <v>1606025</v>
      </c>
      <c r="AK914" s="15" t="str">
        <f t="shared" si="97"/>
        <v>高级神器2配件5-吸魂石Lvs21</v>
      </c>
      <c r="AL914" s="60" t="s">
        <v>645</v>
      </c>
      <c r="AM914" s="15">
        <f t="shared" si="98"/>
        <v>21</v>
      </c>
      <c r="AN914" s="15" t="str">
        <f t="shared" si="99"/>
        <v>高级神器2配件5</v>
      </c>
      <c r="AO914" s="15">
        <f>INDEX(芦花古楼!$BX$19:$BX$58,神器!AM914)</f>
        <v>15</v>
      </c>
      <c r="AP914" s="15" t="s">
        <v>88</v>
      </c>
      <c r="AQ914" s="15">
        <f t="shared" si="100"/>
        <v>14840</v>
      </c>
      <c r="AR914" s="15" t="s">
        <v>654</v>
      </c>
      <c r="AS914" s="15">
        <f t="shared" si="101"/>
        <v>285</v>
      </c>
    </row>
    <row r="915" spans="35:45" ht="16.5" x14ac:dyDescent="0.2">
      <c r="AI915" s="60">
        <v>902</v>
      </c>
      <c r="AJ915" s="15">
        <f t="shared" si="96"/>
        <v>1606025</v>
      </c>
      <c r="AK915" s="15" t="str">
        <f t="shared" si="97"/>
        <v>高级神器2配件5-吸魂石Lvs22</v>
      </c>
      <c r="AL915" s="60" t="s">
        <v>645</v>
      </c>
      <c r="AM915" s="15">
        <f t="shared" si="98"/>
        <v>22</v>
      </c>
      <c r="AN915" s="15" t="str">
        <f t="shared" si="99"/>
        <v>高级神器2配件5</v>
      </c>
      <c r="AO915" s="15">
        <f>INDEX(芦花古楼!$BX$19:$BX$58,神器!AM915)</f>
        <v>15</v>
      </c>
      <c r="AP915" s="15" t="s">
        <v>88</v>
      </c>
      <c r="AQ915" s="15">
        <f t="shared" si="100"/>
        <v>15585</v>
      </c>
      <c r="AR915" s="15" t="s">
        <v>654</v>
      </c>
      <c r="AS915" s="15">
        <f t="shared" si="101"/>
        <v>305</v>
      </c>
    </row>
    <row r="916" spans="35:45" ht="16.5" x14ac:dyDescent="0.2">
      <c r="AI916" s="60">
        <v>903</v>
      </c>
      <c r="AJ916" s="15">
        <f t="shared" si="96"/>
        <v>1606025</v>
      </c>
      <c r="AK916" s="15" t="str">
        <f t="shared" si="97"/>
        <v>高级神器2配件5-吸魂石Lvs23</v>
      </c>
      <c r="AL916" s="60" t="s">
        <v>645</v>
      </c>
      <c r="AM916" s="15">
        <f t="shared" si="98"/>
        <v>23</v>
      </c>
      <c r="AN916" s="15" t="str">
        <f t="shared" si="99"/>
        <v>高级神器2配件5</v>
      </c>
      <c r="AO916" s="15">
        <f>INDEX(芦花古楼!$BX$19:$BX$58,神器!AM916)</f>
        <v>15</v>
      </c>
      <c r="AP916" s="15" t="s">
        <v>88</v>
      </c>
      <c r="AQ916" s="15">
        <f t="shared" si="100"/>
        <v>16325</v>
      </c>
      <c r="AR916" s="15" t="s">
        <v>654</v>
      </c>
      <c r="AS916" s="15">
        <f t="shared" si="101"/>
        <v>330</v>
      </c>
    </row>
    <row r="917" spans="35:45" ht="16.5" x14ac:dyDescent="0.2">
      <c r="AI917" s="60">
        <v>904</v>
      </c>
      <c r="AJ917" s="15">
        <f t="shared" si="96"/>
        <v>1606025</v>
      </c>
      <c r="AK917" s="15" t="str">
        <f t="shared" si="97"/>
        <v>高级神器2配件5-吸魂石Lvs24</v>
      </c>
      <c r="AL917" s="60" t="s">
        <v>645</v>
      </c>
      <c r="AM917" s="15">
        <f t="shared" si="98"/>
        <v>24</v>
      </c>
      <c r="AN917" s="15" t="str">
        <f t="shared" si="99"/>
        <v>高级神器2配件5</v>
      </c>
      <c r="AO917" s="15">
        <f>INDEX(芦花古楼!$BX$19:$BX$58,神器!AM917)</f>
        <v>15</v>
      </c>
      <c r="AP917" s="15" t="s">
        <v>88</v>
      </c>
      <c r="AQ917" s="15">
        <f t="shared" si="100"/>
        <v>17070</v>
      </c>
      <c r="AR917" s="15" t="s">
        <v>654</v>
      </c>
      <c r="AS917" s="15">
        <f t="shared" si="101"/>
        <v>355</v>
      </c>
    </row>
    <row r="918" spans="35:45" ht="16.5" x14ac:dyDescent="0.2">
      <c r="AI918" s="60">
        <v>905</v>
      </c>
      <c r="AJ918" s="15">
        <f t="shared" si="96"/>
        <v>1606025</v>
      </c>
      <c r="AK918" s="15" t="str">
        <f t="shared" si="97"/>
        <v>高级神器2配件5-吸魂石Lvs25</v>
      </c>
      <c r="AL918" s="60" t="s">
        <v>645</v>
      </c>
      <c r="AM918" s="15">
        <f t="shared" si="98"/>
        <v>25</v>
      </c>
      <c r="AN918" s="15" t="str">
        <f t="shared" si="99"/>
        <v>高级神器2配件5</v>
      </c>
      <c r="AO918" s="15">
        <f>INDEX(芦花古楼!$BX$19:$BX$58,神器!AM918)</f>
        <v>15</v>
      </c>
      <c r="AP918" s="15" t="s">
        <v>88</v>
      </c>
      <c r="AQ918" s="15">
        <f t="shared" si="100"/>
        <v>17810</v>
      </c>
      <c r="AR918" s="15" t="s">
        <v>654</v>
      </c>
      <c r="AS918" s="15">
        <f t="shared" si="101"/>
        <v>375</v>
      </c>
    </row>
    <row r="919" spans="35:45" ht="16.5" x14ac:dyDescent="0.2">
      <c r="AI919" s="60">
        <v>906</v>
      </c>
      <c r="AJ919" s="15">
        <f t="shared" si="96"/>
        <v>1606025</v>
      </c>
      <c r="AK919" s="15" t="str">
        <f t="shared" si="97"/>
        <v>高级神器2配件5-吸魂石Lvs26</v>
      </c>
      <c r="AL919" s="60" t="s">
        <v>645</v>
      </c>
      <c r="AM919" s="15">
        <f t="shared" si="98"/>
        <v>26</v>
      </c>
      <c r="AN919" s="15" t="str">
        <f t="shared" si="99"/>
        <v>高级神器2配件5</v>
      </c>
      <c r="AO919" s="15">
        <f>INDEX(芦花古楼!$BX$19:$BX$58,神器!AM919)</f>
        <v>25</v>
      </c>
      <c r="AP919" s="15" t="s">
        <v>88</v>
      </c>
      <c r="AQ919" s="15">
        <f t="shared" si="100"/>
        <v>18550</v>
      </c>
      <c r="AR919" s="15" t="s">
        <v>654</v>
      </c>
      <c r="AS919" s="15">
        <f t="shared" si="101"/>
        <v>405</v>
      </c>
    </row>
    <row r="920" spans="35:45" ht="16.5" x14ac:dyDescent="0.2">
      <c r="AI920" s="60">
        <v>907</v>
      </c>
      <c r="AJ920" s="15">
        <f t="shared" si="96"/>
        <v>1606025</v>
      </c>
      <c r="AK920" s="15" t="str">
        <f t="shared" si="97"/>
        <v>高级神器2配件5-吸魂石Lvs27</v>
      </c>
      <c r="AL920" s="60" t="s">
        <v>645</v>
      </c>
      <c r="AM920" s="15">
        <f t="shared" si="98"/>
        <v>27</v>
      </c>
      <c r="AN920" s="15" t="str">
        <f t="shared" si="99"/>
        <v>高级神器2配件5</v>
      </c>
      <c r="AO920" s="15">
        <f>INDEX(芦花古楼!$BX$19:$BX$58,神器!AM920)</f>
        <v>25</v>
      </c>
      <c r="AP920" s="15" t="s">
        <v>88</v>
      </c>
      <c r="AQ920" s="15">
        <f t="shared" si="100"/>
        <v>19295</v>
      </c>
      <c r="AR920" s="15" t="s">
        <v>654</v>
      </c>
      <c r="AS920" s="15">
        <f t="shared" si="101"/>
        <v>430</v>
      </c>
    </row>
    <row r="921" spans="35:45" ht="16.5" x14ac:dyDescent="0.2">
      <c r="AI921" s="60">
        <v>908</v>
      </c>
      <c r="AJ921" s="15">
        <f t="shared" si="96"/>
        <v>1606025</v>
      </c>
      <c r="AK921" s="15" t="str">
        <f t="shared" si="97"/>
        <v>高级神器2配件5-吸魂石Lvs28</v>
      </c>
      <c r="AL921" s="60" t="s">
        <v>645</v>
      </c>
      <c r="AM921" s="15">
        <f t="shared" si="98"/>
        <v>28</v>
      </c>
      <c r="AN921" s="15" t="str">
        <f t="shared" si="99"/>
        <v>高级神器2配件5</v>
      </c>
      <c r="AO921" s="15">
        <f>INDEX(芦花古楼!$BX$19:$BX$58,神器!AM921)</f>
        <v>25</v>
      </c>
      <c r="AP921" s="15" t="s">
        <v>88</v>
      </c>
      <c r="AQ921" s="15">
        <f t="shared" si="100"/>
        <v>20035</v>
      </c>
      <c r="AR921" s="15" t="s">
        <v>654</v>
      </c>
      <c r="AS921" s="15">
        <f t="shared" si="101"/>
        <v>460</v>
      </c>
    </row>
    <row r="922" spans="35:45" ht="16.5" x14ac:dyDescent="0.2">
      <c r="AI922" s="60">
        <v>909</v>
      </c>
      <c r="AJ922" s="15">
        <f t="shared" si="96"/>
        <v>1606025</v>
      </c>
      <c r="AK922" s="15" t="str">
        <f t="shared" si="97"/>
        <v>高级神器2配件5-吸魂石Lvs29</v>
      </c>
      <c r="AL922" s="60" t="s">
        <v>645</v>
      </c>
      <c r="AM922" s="15">
        <f t="shared" si="98"/>
        <v>29</v>
      </c>
      <c r="AN922" s="15" t="str">
        <f t="shared" si="99"/>
        <v>高级神器2配件5</v>
      </c>
      <c r="AO922" s="15">
        <f>INDEX(芦花古楼!$BX$19:$BX$58,神器!AM922)</f>
        <v>25</v>
      </c>
      <c r="AP922" s="15" t="s">
        <v>88</v>
      </c>
      <c r="AQ922" s="15">
        <f t="shared" si="100"/>
        <v>20780</v>
      </c>
      <c r="AR922" s="15" t="s">
        <v>654</v>
      </c>
      <c r="AS922" s="15">
        <f t="shared" si="101"/>
        <v>485</v>
      </c>
    </row>
    <row r="923" spans="35:45" ht="16.5" x14ac:dyDescent="0.2">
      <c r="AI923" s="60">
        <v>910</v>
      </c>
      <c r="AJ923" s="15">
        <f t="shared" si="96"/>
        <v>1606025</v>
      </c>
      <c r="AK923" s="15" t="str">
        <f t="shared" si="97"/>
        <v>高级神器2配件5-吸魂石Lvs30</v>
      </c>
      <c r="AL923" s="60" t="s">
        <v>645</v>
      </c>
      <c r="AM923" s="15">
        <f t="shared" si="98"/>
        <v>30</v>
      </c>
      <c r="AN923" s="15" t="str">
        <f t="shared" si="99"/>
        <v>高级神器2配件5</v>
      </c>
      <c r="AO923" s="15">
        <f>INDEX(芦花古楼!$BX$19:$BX$58,神器!AM923)</f>
        <v>25</v>
      </c>
      <c r="AP923" s="15" t="s">
        <v>88</v>
      </c>
      <c r="AQ923" s="15">
        <f t="shared" si="100"/>
        <v>22265</v>
      </c>
      <c r="AR923" s="15" t="s">
        <v>654</v>
      </c>
      <c r="AS923" s="15">
        <f t="shared" si="101"/>
        <v>520</v>
      </c>
    </row>
    <row r="924" spans="35:45" ht="16.5" x14ac:dyDescent="0.2">
      <c r="AI924" s="60">
        <v>911</v>
      </c>
      <c r="AJ924" s="15">
        <f t="shared" si="96"/>
        <v>1606025</v>
      </c>
      <c r="AK924" s="15" t="str">
        <f t="shared" si="97"/>
        <v>高级神器2配件5-吸魂石Lvs31</v>
      </c>
      <c r="AL924" s="60" t="s">
        <v>645</v>
      </c>
      <c r="AM924" s="15">
        <f t="shared" si="98"/>
        <v>31</v>
      </c>
      <c r="AN924" s="15" t="str">
        <f t="shared" si="99"/>
        <v>高级神器2配件5</v>
      </c>
      <c r="AO924" s="15">
        <f>INDEX(芦花古楼!$BX$19:$BX$58,神器!AM924)</f>
        <v>30</v>
      </c>
      <c r="AP924" s="15" t="s">
        <v>88</v>
      </c>
      <c r="AQ924" s="15">
        <f t="shared" si="100"/>
        <v>21700</v>
      </c>
      <c r="AR924" s="15" t="s">
        <v>654</v>
      </c>
      <c r="AS924" s="15">
        <f t="shared" si="101"/>
        <v>550</v>
      </c>
    </row>
    <row r="925" spans="35:45" ht="16.5" x14ac:dyDescent="0.2">
      <c r="AI925" s="60">
        <v>912</v>
      </c>
      <c r="AJ925" s="15">
        <f t="shared" si="96"/>
        <v>1606025</v>
      </c>
      <c r="AK925" s="15" t="str">
        <f t="shared" si="97"/>
        <v>高级神器2配件5-吸魂石Lvs32</v>
      </c>
      <c r="AL925" s="60" t="s">
        <v>645</v>
      </c>
      <c r="AM925" s="15">
        <f t="shared" si="98"/>
        <v>32</v>
      </c>
      <c r="AN925" s="15" t="str">
        <f t="shared" si="99"/>
        <v>高级神器2配件5</v>
      </c>
      <c r="AO925" s="15">
        <f>INDEX(芦花古楼!$BX$19:$BX$58,神器!AM925)</f>
        <v>30</v>
      </c>
      <c r="AP925" s="15" t="s">
        <v>88</v>
      </c>
      <c r="AQ925" s="15">
        <f t="shared" si="100"/>
        <v>32550</v>
      </c>
      <c r="AR925" s="15" t="s">
        <v>654</v>
      </c>
      <c r="AS925" s="15">
        <f t="shared" si="101"/>
        <v>585</v>
      </c>
    </row>
    <row r="926" spans="35:45" ht="16.5" x14ac:dyDescent="0.2">
      <c r="AI926" s="60">
        <v>913</v>
      </c>
      <c r="AJ926" s="15">
        <f t="shared" si="96"/>
        <v>1606025</v>
      </c>
      <c r="AK926" s="15" t="str">
        <f t="shared" si="97"/>
        <v>高级神器2配件5-吸魂石Lvs33</v>
      </c>
      <c r="AL926" s="60" t="s">
        <v>645</v>
      </c>
      <c r="AM926" s="15">
        <f t="shared" si="98"/>
        <v>33</v>
      </c>
      <c r="AN926" s="15" t="str">
        <f t="shared" si="99"/>
        <v>高级神器2配件5</v>
      </c>
      <c r="AO926" s="15">
        <f>INDEX(芦花古楼!$BX$19:$BX$58,神器!AM926)</f>
        <v>30</v>
      </c>
      <c r="AP926" s="15" t="s">
        <v>88</v>
      </c>
      <c r="AQ926" s="15">
        <f t="shared" si="100"/>
        <v>43400</v>
      </c>
      <c r="AR926" s="15" t="s">
        <v>654</v>
      </c>
      <c r="AS926" s="15">
        <f t="shared" si="101"/>
        <v>620</v>
      </c>
    </row>
    <row r="927" spans="35:45" ht="16.5" x14ac:dyDescent="0.2">
      <c r="AI927" s="60">
        <v>914</v>
      </c>
      <c r="AJ927" s="15">
        <f t="shared" si="96"/>
        <v>1606025</v>
      </c>
      <c r="AK927" s="15" t="str">
        <f t="shared" si="97"/>
        <v>高级神器2配件5-吸魂石Lvs34</v>
      </c>
      <c r="AL927" s="60" t="s">
        <v>645</v>
      </c>
      <c r="AM927" s="15">
        <f t="shared" si="98"/>
        <v>34</v>
      </c>
      <c r="AN927" s="15" t="str">
        <f t="shared" si="99"/>
        <v>高级神器2配件5</v>
      </c>
      <c r="AO927" s="15">
        <f>INDEX(芦花古楼!$BX$19:$BX$58,神器!AM927)</f>
        <v>30</v>
      </c>
      <c r="AP927" s="15" t="s">
        <v>88</v>
      </c>
      <c r="AQ927" s="15">
        <f t="shared" si="100"/>
        <v>54250</v>
      </c>
      <c r="AR927" s="15" t="s">
        <v>654</v>
      </c>
      <c r="AS927" s="15">
        <f t="shared" si="101"/>
        <v>660</v>
      </c>
    </row>
    <row r="928" spans="35:45" ht="16.5" x14ac:dyDescent="0.2">
      <c r="AI928" s="60">
        <v>915</v>
      </c>
      <c r="AJ928" s="15">
        <f t="shared" si="96"/>
        <v>1606025</v>
      </c>
      <c r="AK928" s="15" t="str">
        <f t="shared" si="97"/>
        <v>高级神器2配件5-吸魂石Lvs35</v>
      </c>
      <c r="AL928" s="60" t="s">
        <v>645</v>
      </c>
      <c r="AM928" s="15">
        <f t="shared" si="98"/>
        <v>35</v>
      </c>
      <c r="AN928" s="15" t="str">
        <f t="shared" si="99"/>
        <v>高级神器2配件5</v>
      </c>
      <c r="AO928" s="15">
        <f>INDEX(芦花古楼!$BX$19:$BX$58,神器!AM928)</f>
        <v>30</v>
      </c>
      <c r="AP928" s="15" t="s">
        <v>88</v>
      </c>
      <c r="AQ928" s="15">
        <f t="shared" si="100"/>
        <v>65100</v>
      </c>
      <c r="AR928" s="15" t="s">
        <v>654</v>
      </c>
      <c r="AS928" s="15">
        <f t="shared" si="101"/>
        <v>700</v>
      </c>
    </row>
    <row r="929" spans="35:45" ht="16.5" x14ac:dyDescent="0.2">
      <c r="AI929" s="60">
        <v>916</v>
      </c>
      <c r="AJ929" s="15">
        <f t="shared" si="96"/>
        <v>1606025</v>
      </c>
      <c r="AK929" s="15" t="str">
        <f t="shared" si="97"/>
        <v>高级神器2配件5-吸魂石Lvs36</v>
      </c>
      <c r="AL929" s="60" t="s">
        <v>645</v>
      </c>
      <c r="AM929" s="15">
        <f t="shared" si="98"/>
        <v>36</v>
      </c>
      <c r="AN929" s="15" t="str">
        <f t="shared" si="99"/>
        <v>高级神器2配件5</v>
      </c>
      <c r="AO929" s="15">
        <f>INDEX(芦花古楼!$BX$19:$BX$58,神器!AM929)</f>
        <v>40</v>
      </c>
      <c r="AP929" s="15" t="s">
        <v>88</v>
      </c>
      <c r="AQ929" s="15">
        <f t="shared" si="100"/>
        <v>75950</v>
      </c>
      <c r="AR929" s="15" t="s">
        <v>654</v>
      </c>
      <c r="AS929" s="15">
        <f t="shared" si="101"/>
        <v>740</v>
      </c>
    </row>
    <row r="930" spans="35:45" ht="16.5" x14ac:dyDescent="0.2">
      <c r="AI930" s="60">
        <v>917</v>
      </c>
      <c r="AJ930" s="15">
        <f t="shared" si="96"/>
        <v>1606025</v>
      </c>
      <c r="AK930" s="15" t="str">
        <f t="shared" si="97"/>
        <v>高级神器2配件5-吸魂石Lvs37</v>
      </c>
      <c r="AL930" s="60" t="s">
        <v>645</v>
      </c>
      <c r="AM930" s="15">
        <f t="shared" si="98"/>
        <v>37</v>
      </c>
      <c r="AN930" s="15" t="str">
        <f t="shared" si="99"/>
        <v>高级神器2配件5</v>
      </c>
      <c r="AO930" s="15">
        <f>INDEX(芦花古楼!$BX$19:$BX$58,神器!AM930)</f>
        <v>40</v>
      </c>
      <c r="AP930" s="15" t="s">
        <v>88</v>
      </c>
      <c r="AQ930" s="15">
        <f t="shared" si="100"/>
        <v>86805</v>
      </c>
      <c r="AR930" s="15" t="s">
        <v>654</v>
      </c>
      <c r="AS930" s="15">
        <f t="shared" si="101"/>
        <v>785</v>
      </c>
    </row>
    <row r="931" spans="35:45" ht="16.5" x14ac:dyDescent="0.2">
      <c r="AI931" s="60">
        <v>918</v>
      </c>
      <c r="AJ931" s="15">
        <f t="shared" si="96"/>
        <v>1606025</v>
      </c>
      <c r="AK931" s="15" t="str">
        <f t="shared" si="97"/>
        <v>高级神器2配件5-吸魂石Lvs38</v>
      </c>
      <c r="AL931" s="60" t="s">
        <v>645</v>
      </c>
      <c r="AM931" s="15">
        <f t="shared" si="98"/>
        <v>38</v>
      </c>
      <c r="AN931" s="15" t="str">
        <f t="shared" si="99"/>
        <v>高级神器2配件5</v>
      </c>
      <c r="AO931" s="15">
        <f>INDEX(芦花古楼!$BX$19:$BX$58,神器!AM931)</f>
        <v>40</v>
      </c>
      <c r="AP931" s="15" t="s">
        <v>88</v>
      </c>
      <c r="AQ931" s="15">
        <f t="shared" si="100"/>
        <v>97655</v>
      </c>
      <c r="AR931" s="15" t="s">
        <v>654</v>
      </c>
      <c r="AS931" s="15">
        <f t="shared" si="101"/>
        <v>830</v>
      </c>
    </row>
    <row r="932" spans="35:45" ht="16.5" x14ac:dyDescent="0.2">
      <c r="AI932" s="60">
        <v>919</v>
      </c>
      <c r="AJ932" s="15">
        <f t="shared" si="96"/>
        <v>1606025</v>
      </c>
      <c r="AK932" s="15" t="str">
        <f t="shared" si="97"/>
        <v>高级神器2配件5-吸魂石Lvs39</v>
      </c>
      <c r="AL932" s="60" t="s">
        <v>645</v>
      </c>
      <c r="AM932" s="15">
        <f t="shared" si="98"/>
        <v>39</v>
      </c>
      <c r="AN932" s="15" t="str">
        <f t="shared" si="99"/>
        <v>高级神器2配件5</v>
      </c>
      <c r="AO932" s="15">
        <f>INDEX(芦花古楼!$BX$19:$BX$58,神器!AM932)</f>
        <v>40</v>
      </c>
      <c r="AP932" s="15" t="s">
        <v>88</v>
      </c>
      <c r="AQ932" s="15">
        <f t="shared" si="100"/>
        <v>108505</v>
      </c>
      <c r="AR932" s="15" t="s">
        <v>654</v>
      </c>
      <c r="AS932" s="15">
        <f t="shared" si="101"/>
        <v>880</v>
      </c>
    </row>
    <row r="933" spans="35:45" ht="16.5" x14ac:dyDescent="0.2">
      <c r="AI933" s="60">
        <v>920</v>
      </c>
      <c r="AJ933" s="15">
        <f t="shared" si="96"/>
        <v>1606025</v>
      </c>
      <c r="AK933" s="15" t="str">
        <f t="shared" si="97"/>
        <v>高级神器2配件5-吸魂石Lvs40</v>
      </c>
      <c r="AL933" s="60" t="s">
        <v>645</v>
      </c>
      <c r="AM933" s="15">
        <f t="shared" si="98"/>
        <v>40</v>
      </c>
      <c r="AN933" s="15" t="str">
        <f t="shared" si="99"/>
        <v>高级神器2配件5</v>
      </c>
      <c r="AO933" s="15">
        <f>INDEX(芦花古楼!$BX$19:$BX$58,神器!AM933)</f>
        <v>40</v>
      </c>
      <c r="AP933" s="15" t="s">
        <v>88</v>
      </c>
      <c r="AQ933" s="15">
        <f t="shared" si="100"/>
        <v>130205</v>
      </c>
      <c r="AR933" s="15" t="s">
        <v>654</v>
      </c>
      <c r="AS933" s="15">
        <f t="shared" si="101"/>
        <v>930</v>
      </c>
    </row>
    <row r="934" spans="35:45" ht="16.5" x14ac:dyDescent="0.2">
      <c r="AI934" s="60">
        <v>921</v>
      </c>
      <c r="AJ934" s="15">
        <f t="shared" si="96"/>
        <v>1606026</v>
      </c>
      <c r="AK934" s="15" t="str">
        <f t="shared" si="97"/>
        <v>高级神器2配件6-卷云链Lvs1</v>
      </c>
      <c r="AL934" s="60" t="s">
        <v>645</v>
      </c>
      <c r="AM934" s="15">
        <f t="shared" si="98"/>
        <v>1</v>
      </c>
      <c r="AN934" s="15" t="str">
        <f t="shared" si="99"/>
        <v>高级神器2配件6</v>
      </c>
      <c r="AO934" s="15">
        <f>INDEX(芦花古楼!$BX$19:$BX$58,神器!AM934)</f>
        <v>1</v>
      </c>
      <c r="AP934" s="15" t="s">
        <v>88</v>
      </c>
      <c r="AQ934" s="15">
        <f t="shared" si="100"/>
        <v>665</v>
      </c>
      <c r="AR934" s="15" t="s">
        <v>654</v>
      </c>
      <c r="AS934" s="15">
        <f t="shared" si="101"/>
        <v>25</v>
      </c>
    </row>
    <row r="935" spans="35:45" ht="16.5" x14ac:dyDescent="0.2">
      <c r="AI935" s="60">
        <v>922</v>
      </c>
      <c r="AJ935" s="15">
        <f t="shared" si="96"/>
        <v>1606026</v>
      </c>
      <c r="AK935" s="15" t="str">
        <f t="shared" si="97"/>
        <v>高级神器2配件6-卷云链Lvs2</v>
      </c>
      <c r="AL935" s="60" t="s">
        <v>645</v>
      </c>
      <c r="AM935" s="15">
        <f t="shared" si="98"/>
        <v>2</v>
      </c>
      <c r="AN935" s="15" t="str">
        <f t="shared" si="99"/>
        <v>高级神器2配件6</v>
      </c>
      <c r="AO935" s="15">
        <f>INDEX(芦花古楼!$BX$19:$BX$58,神器!AM935)</f>
        <v>1</v>
      </c>
      <c r="AP935" s="15" t="s">
        <v>88</v>
      </c>
      <c r="AQ935" s="15">
        <f t="shared" si="100"/>
        <v>1000</v>
      </c>
      <c r="AR935" s="15" t="s">
        <v>654</v>
      </c>
      <c r="AS935" s="15">
        <f t="shared" si="101"/>
        <v>30</v>
      </c>
    </row>
    <row r="936" spans="35:45" ht="16.5" x14ac:dyDescent="0.2">
      <c r="AI936" s="60">
        <v>923</v>
      </c>
      <c r="AJ936" s="15">
        <f t="shared" si="96"/>
        <v>1606026</v>
      </c>
      <c r="AK936" s="15" t="str">
        <f t="shared" si="97"/>
        <v>高级神器2配件6-卷云链Lvs3</v>
      </c>
      <c r="AL936" s="60" t="s">
        <v>645</v>
      </c>
      <c r="AM936" s="15">
        <f t="shared" si="98"/>
        <v>3</v>
      </c>
      <c r="AN936" s="15" t="str">
        <f t="shared" si="99"/>
        <v>高级神器2配件6</v>
      </c>
      <c r="AO936" s="15">
        <f>INDEX(芦花古楼!$BX$19:$BX$58,神器!AM936)</f>
        <v>2</v>
      </c>
      <c r="AP936" s="15" t="s">
        <v>88</v>
      </c>
      <c r="AQ936" s="15">
        <f t="shared" si="100"/>
        <v>1335</v>
      </c>
      <c r="AR936" s="15" t="s">
        <v>654</v>
      </c>
      <c r="AS936" s="15">
        <f t="shared" si="101"/>
        <v>40</v>
      </c>
    </row>
    <row r="937" spans="35:45" ht="16.5" x14ac:dyDescent="0.2">
      <c r="AI937" s="60">
        <v>924</v>
      </c>
      <c r="AJ937" s="15">
        <f t="shared" si="96"/>
        <v>1606026</v>
      </c>
      <c r="AK937" s="15" t="str">
        <f t="shared" si="97"/>
        <v>高级神器2配件6-卷云链Lvs4</v>
      </c>
      <c r="AL937" s="60" t="s">
        <v>645</v>
      </c>
      <c r="AM937" s="15">
        <f t="shared" si="98"/>
        <v>4</v>
      </c>
      <c r="AN937" s="15" t="str">
        <f t="shared" si="99"/>
        <v>高级神器2配件6</v>
      </c>
      <c r="AO937" s="15">
        <f>INDEX(芦花古楼!$BX$19:$BX$58,神器!AM937)</f>
        <v>3</v>
      </c>
      <c r="AP937" s="15" t="s">
        <v>88</v>
      </c>
      <c r="AQ937" s="15">
        <f t="shared" si="100"/>
        <v>1670</v>
      </c>
      <c r="AR937" s="15" t="s">
        <v>654</v>
      </c>
      <c r="AS937" s="15">
        <f t="shared" si="101"/>
        <v>50</v>
      </c>
    </row>
    <row r="938" spans="35:45" ht="16.5" x14ac:dyDescent="0.2">
      <c r="AI938" s="60">
        <v>925</v>
      </c>
      <c r="AJ938" s="15">
        <f t="shared" si="96"/>
        <v>1606026</v>
      </c>
      <c r="AK938" s="15" t="str">
        <f t="shared" si="97"/>
        <v>高级神器2配件6-卷云链Lvs5</v>
      </c>
      <c r="AL938" s="60" t="s">
        <v>645</v>
      </c>
      <c r="AM938" s="15">
        <f t="shared" si="98"/>
        <v>5</v>
      </c>
      <c r="AN938" s="15" t="str">
        <f t="shared" si="99"/>
        <v>高级神器2配件6</v>
      </c>
      <c r="AO938" s="15">
        <f>INDEX(芦花古楼!$BX$19:$BX$58,神器!AM938)</f>
        <v>3</v>
      </c>
      <c r="AP938" s="15" t="s">
        <v>88</v>
      </c>
      <c r="AQ938" s="15">
        <f t="shared" si="100"/>
        <v>2005</v>
      </c>
      <c r="AR938" s="15" t="s">
        <v>654</v>
      </c>
      <c r="AS938" s="15">
        <f t="shared" si="101"/>
        <v>60</v>
      </c>
    </row>
    <row r="939" spans="35:45" ht="16.5" x14ac:dyDescent="0.2">
      <c r="AI939" s="60">
        <v>926</v>
      </c>
      <c r="AJ939" s="15">
        <f t="shared" si="96"/>
        <v>1606026</v>
      </c>
      <c r="AK939" s="15" t="str">
        <f t="shared" si="97"/>
        <v>高级神器2配件6-卷云链Lvs6</v>
      </c>
      <c r="AL939" s="60" t="s">
        <v>645</v>
      </c>
      <c r="AM939" s="15">
        <f t="shared" si="98"/>
        <v>6</v>
      </c>
      <c r="AN939" s="15" t="str">
        <f t="shared" si="99"/>
        <v>高级神器2配件6</v>
      </c>
      <c r="AO939" s="15">
        <f>INDEX(芦花古楼!$BX$19:$BX$58,神器!AM939)</f>
        <v>5</v>
      </c>
      <c r="AP939" s="15" t="s">
        <v>88</v>
      </c>
      <c r="AQ939" s="15">
        <f t="shared" si="100"/>
        <v>2340</v>
      </c>
      <c r="AR939" s="15" t="s">
        <v>654</v>
      </c>
      <c r="AS939" s="15">
        <f t="shared" si="101"/>
        <v>70</v>
      </c>
    </row>
    <row r="940" spans="35:45" ht="16.5" x14ac:dyDescent="0.2">
      <c r="AI940" s="60">
        <v>927</v>
      </c>
      <c r="AJ940" s="15">
        <f t="shared" si="96"/>
        <v>1606026</v>
      </c>
      <c r="AK940" s="15" t="str">
        <f t="shared" si="97"/>
        <v>高级神器2配件6-卷云链Lvs7</v>
      </c>
      <c r="AL940" s="60" t="s">
        <v>645</v>
      </c>
      <c r="AM940" s="15">
        <f t="shared" si="98"/>
        <v>7</v>
      </c>
      <c r="AN940" s="15" t="str">
        <f t="shared" si="99"/>
        <v>高级神器2配件6</v>
      </c>
      <c r="AO940" s="15">
        <f>INDEX(芦花古楼!$BX$19:$BX$58,神器!AM940)</f>
        <v>5</v>
      </c>
      <c r="AP940" s="15" t="s">
        <v>88</v>
      </c>
      <c r="AQ940" s="15">
        <f t="shared" si="100"/>
        <v>2675</v>
      </c>
      <c r="AR940" s="15" t="s">
        <v>654</v>
      </c>
      <c r="AS940" s="15">
        <f t="shared" si="101"/>
        <v>80</v>
      </c>
    </row>
    <row r="941" spans="35:45" ht="16.5" x14ac:dyDescent="0.2">
      <c r="AI941" s="60">
        <v>928</v>
      </c>
      <c r="AJ941" s="15">
        <f t="shared" si="96"/>
        <v>1606026</v>
      </c>
      <c r="AK941" s="15" t="str">
        <f t="shared" si="97"/>
        <v>高级神器2配件6-卷云链Lvs8</v>
      </c>
      <c r="AL941" s="60" t="s">
        <v>645</v>
      </c>
      <c r="AM941" s="15">
        <f t="shared" si="98"/>
        <v>8</v>
      </c>
      <c r="AN941" s="15" t="str">
        <f t="shared" si="99"/>
        <v>高级神器2配件6</v>
      </c>
      <c r="AO941" s="15">
        <f>INDEX(芦花古楼!$BX$19:$BX$58,神器!AM941)</f>
        <v>5</v>
      </c>
      <c r="AP941" s="15" t="s">
        <v>88</v>
      </c>
      <c r="AQ941" s="15">
        <f t="shared" si="100"/>
        <v>3010</v>
      </c>
      <c r="AR941" s="15" t="s">
        <v>654</v>
      </c>
      <c r="AS941" s="15">
        <f t="shared" si="101"/>
        <v>90</v>
      </c>
    </row>
    <row r="942" spans="35:45" ht="16.5" x14ac:dyDescent="0.2">
      <c r="AI942" s="60">
        <v>929</v>
      </c>
      <c r="AJ942" s="15">
        <f t="shared" si="96"/>
        <v>1606026</v>
      </c>
      <c r="AK942" s="15" t="str">
        <f t="shared" si="97"/>
        <v>高级神器2配件6-卷云链Lvs9</v>
      </c>
      <c r="AL942" s="60" t="s">
        <v>645</v>
      </c>
      <c r="AM942" s="15">
        <f t="shared" si="98"/>
        <v>9</v>
      </c>
      <c r="AN942" s="15" t="str">
        <f t="shared" si="99"/>
        <v>高级神器2配件6</v>
      </c>
      <c r="AO942" s="15">
        <f>INDEX(芦花古楼!$BX$19:$BX$58,神器!AM942)</f>
        <v>5</v>
      </c>
      <c r="AP942" s="15" t="s">
        <v>88</v>
      </c>
      <c r="AQ942" s="15">
        <f t="shared" si="100"/>
        <v>3345</v>
      </c>
      <c r="AR942" s="15" t="s">
        <v>654</v>
      </c>
      <c r="AS942" s="15">
        <f t="shared" si="101"/>
        <v>100</v>
      </c>
    </row>
    <row r="943" spans="35:45" ht="16.5" x14ac:dyDescent="0.2">
      <c r="AI943" s="60">
        <v>930</v>
      </c>
      <c r="AJ943" s="15">
        <f t="shared" si="96"/>
        <v>1606026</v>
      </c>
      <c r="AK943" s="15" t="str">
        <f t="shared" si="97"/>
        <v>高级神器2配件6-卷云链Lvs10</v>
      </c>
      <c r="AL943" s="60" t="s">
        <v>645</v>
      </c>
      <c r="AM943" s="15">
        <f t="shared" si="98"/>
        <v>10</v>
      </c>
      <c r="AN943" s="15" t="str">
        <f t="shared" si="99"/>
        <v>高级神器2配件6</v>
      </c>
      <c r="AO943" s="15">
        <f>INDEX(芦花古楼!$BX$19:$BX$58,神器!AM943)</f>
        <v>7</v>
      </c>
      <c r="AP943" s="15" t="s">
        <v>88</v>
      </c>
      <c r="AQ943" s="15">
        <f t="shared" si="100"/>
        <v>4015</v>
      </c>
      <c r="AR943" s="15" t="s">
        <v>654</v>
      </c>
      <c r="AS943" s="15">
        <f t="shared" si="101"/>
        <v>110</v>
      </c>
    </row>
    <row r="944" spans="35:45" ht="16.5" x14ac:dyDescent="0.2">
      <c r="AI944" s="60">
        <v>931</v>
      </c>
      <c r="AJ944" s="15">
        <f t="shared" si="96"/>
        <v>1606026</v>
      </c>
      <c r="AK944" s="15" t="str">
        <f t="shared" si="97"/>
        <v>高级神器2配件6-卷云链Lvs11</v>
      </c>
      <c r="AL944" s="60" t="s">
        <v>645</v>
      </c>
      <c r="AM944" s="15">
        <f t="shared" si="98"/>
        <v>11</v>
      </c>
      <c r="AN944" s="15" t="str">
        <f t="shared" si="99"/>
        <v>高级神器2配件6</v>
      </c>
      <c r="AO944" s="15">
        <f>INDEX(芦花古楼!$BX$19:$BX$58,神器!AM944)</f>
        <v>7</v>
      </c>
      <c r="AP944" s="15" t="s">
        <v>88</v>
      </c>
      <c r="AQ944" s="15">
        <f t="shared" si="100"/>
        <v>5040</v>
      </c>
      <c r="AR944" s="15" t="s">
        <v>654</v>
      </c>
      <c r="AS944" s="15">
        <f t="shared" si="101"/>
        <v>125</v>
      </c>
    </row>
    <row r="945" spans="35:45" ht="16.5" x14ac:dyDescent="0.2">
      <c r="AI945" s="60">
        <v>932</v>
      </c>
      <c r="AJ945" s="15">
        <f t="shared" si="96"/>
        <v>1606026</v>
      </c>
      <c r="AK945" s="15" t="str">
        <f t="shared" si="97"/>
        <v>高级神器2配件6-卷云链Lvs12</v>
      </c>
      <c r="AL945" s="60" t="s">
        <v>645</v>
      </c>
      <c r="AM945" s="15">
        <f t="shared" si="98"/>
        <v>12</v>
      </c>
      <c r="AN945" s="15" t="str">
        <f t="shared" si="99"/>
        <v>高级神器2配件6</v>
      </c>
      <c r="AO945" s="15">
        <f>INDEX(芦花古楼!$BX$19:$BX$58,神器!AM945)</f>
        <v>7</v>
      </c>
      <c r="AP945" s="15" t="s">
        <v>88</v>
      </c>
      <c r="AQ945" s="15">
        <f t="shared" si="100"/>
        <v>5880</v>
      </c>
      <c r="AR945" s="15" t="s">
        <v>654</v>
      </c>
      <c r="AS945" s="15">
        <f t="shared" si="101"/>
        <v>135</v>
      </c>
    </row>
    <row r="946" spans="35:45" ht="16.5" x14ac:dyDescent="0.2">
      <c r="AI946" s="60">
        <v>933</v>
      </c>
      <c r="AJ946" s="15">
        <f t="shared" si="96"/>
        <v>1606026</v>
      </c>
      <c r="AK946" s="15" t="str">
        <f t="shared" si="97"/>
        <v>高级神器2配件6-卷云链Lvs13</v>
      </c>
      <c r="AL946" s="60" t="s">
        <v>645</v>
      </c>
      <c r="AM946" s="15">
        <f t="shared" si="98"/>
        <v>13</v>
      </c>
      <c r="AN946" s="15" t="str">
        <f t="shared" si="99"/>
        <v>高级神器2配件6</v>
      </c>
      <c r="AO946" s="15">
        <f>INDEX(芦花古楼!$BX$19:$BX$58,神器!AM946)</f>
        <v>7</v>
      </c>
      <c r="AP946" s="15" t="s">
        <v>88</v>
      </c>
      <c r="AQ946" s="15">
        <f t="shared" si="100"/>
        <v>6720</v>
      </c>
      <c r="AR946" s="15" t="s">
        <v>654</v>
      </c>
      <c r="AS946" s="15">
        <f t="shared" si="101"/>
        <v>150</v>
      </c>
    </row>
    <row r="947" spans="35:45" ht="16.5" x14ac:dyDescent="0.2">
      <c r="AI947" s="60">
        <v>934</v>
      </c>
      <c r="AJ947" s="15">
        <f t="shared" si="96"/>
        <v>1606026</v>
      </c>
      <c r="AK947" s="15" t="str">
        <f t="shared" si="97"/>
        <v>高级神器2配件6-卷云链Lvs14</v>
      </c>
      <c r="AL947" s="60" t="s">
        <v>645</v>
      </c>
      <c r="AM947" s="15">
        <f t="shared" si="98"/>
        <v>14</v>
      </c>
      <c r="AN947" s="15" t="str">
        <f t="shared" si="99"/>
        <v>高级神器2配件6</v>
      </c>
      <c r="AO947" s="15">
        <f>INDEX(芦花古楼!$BX$19:$BX$58,神器!AM947)</f>
        <v>7</v>
      </c>
      <c r="AP947" s="15" t="s">
        <v>88</v>
      </c>
      <c r="AQ947" s="15">
        <f t="shared" si="100"/>
        <v>7560</v>
      </c>
      <c r="AR947" s="15" t="s">
        <v>654</v>
      </c>
      <c r="AS947" s="15">
        <f t="shared" si="101"/>
        <v>165</v>
      </c>
    </row>
    <row r="948" spans="35:45" ht="16.5" x14ac:dyDescent="0.2">
      <c r="AI948" s="60">
        <v>935</v>
      </c>
      <c r="AJ948" s="15">
        <f t="shared" si="96"/>
        <v>1606026</v>
      </c>
      <c r="AK948" s="15" t="str">
        <f t="shared" si="97"/>
        <v>高级神器2配件6-卷云链Lvs15</v>
      </c>
      <c r="AL948" s="60" t="s">
        <v>645</v>
      </c>
      <c r="AM948" s="15">
        <f t="shared" si="98"/>
        <v>15</v>
      </c>
      <c r="AN948" s="15" t="str">
        <f t="shared" si="99"/>
        <v>高级神器2配件6</v>
      </c>
      <c r="AO948" s="15">
        <f>INDEX(芦花古楼!$BX$19:$BX$58,神器!AM948)</f>
        <v>10</v>
      </c>
      <c r="AP948" s="15" t="s">
        <v>88</v>
      </c>
      <c r="AQ948" s="15">
        <f t="shared" si="100"/>
        <v>8400</v>
      </c>
      <c r="AR948" s="15" t="s">
        <v>654</v>
      </c>
      <c r="AS948" s="15">
        <f t="shared" si="101"/>
        <v>180</v>
      </c>
    </row>
    <row r="949" spans="35:45" ht="16.5" x14ac:dyDescent="0.2">
      <c r="AI949" s="60">
        <v>936</v>
      </c>
      <c r="AJ949" s="15">
        <f t="shared" si="96"/>
        <v>1606026</v>
      </c>
      <c r="AK949" s="15" t="str">
        <f t="shared" si="97"/>
        <v>高级神器2配件6-卷云链Lvs16</v>
      </c>
      <c r="AL949" s="60" t="s">
        <v>645</v>
      </c>
      <c r="AM949" s="15">
        <f t="shared" si="98"/>
        <v>16</v>
      </c>
      <c r="AN949" s="15" t="str">
        <f t="shared" si="99"/>
        <v>高级神器2配件6</v>
      </c>
      <c r="AO949" s="15">
        <f>INDEX(芦花古楼!$BX$19:$BX$58,神器!AM949)</f>
        <v>10</v>
      </c>
      <c r="AP949" s="15" t="s">
        <v>88</v>
      </c>
      <c r="AQ949" s="15">
        <f t="shared" si="100"/>
        <v>9240</v>
      </c>
      <c r="AR949" s="15" t="s">
        <v>654</v>
      </c>
      <c r="AS949" s="15">
        <f t="shared" si="101"/>
        <v>195</v>
      </c>
    </row>
    <row r="950" spans="35:45" ht="16.5" x14ac:dyDescent="0.2">
      <c r="AI950" s="60">
        <v>937</v>
      </c>
      <c r="AJ950" s="15">
        <f t="shared" si="96"/>
        <v>1606026</v>
      </c>
      <c r="AK950" s="15" t="str">
        <f t="shared" si="97"/>
        <v>高级神器2配件6-卷云链Lvs17</v>
      </c>
      <c r="AL950" s="60" t="s">
        <v>645</v>
      </c>
      <c r="AM950" s="15">
        <f t="shared" si="98"/>
        <v>17</v>
      </c>
      <c r="AN950" s="15" t="str">
        <f t="shared" si="99"/>
        <v>高级神器2配件6</v>
      </c>
      <c r="AO950" s="15">
        <f>INDEX(芦花古楼!$BX$19:$BX$58,神器!AM950)</f>
        <v>10</v>
      </c>
      <c r="AP950" s="15" t="s">
        <v>88</v>
      </c>
      <c r="AQ950" s="15">
        <f t="shared" si="100"/>
        <v>10080</v>
      </c>
      <c r="AR950" s="15" t="s">
        <v>654</v>
      </c>
      <c r="AS950" s="15">
        <f t="shared" si="101"/>
        <v>210</v>
      </c>
    </row>
    <row r="951" spans="35:45" ht="16.5" x14ac:dyDescent="0.2">
      <c r="AI951" s="60">
        <v>938</v>
      </c>
      <c r="AJ951" s="15">
        <f t="shared" si="96"/>
        <v>1606026</v>
      </c>
      <c r="AK951" s="15" t="str">
        <f t="shared" si="97"/>
        <v>高级神器2配件6-卷云链Lvs18</v>
      </c>
      <c r="AL951" s="60" t="s">
        <v>645</v>
      </c>
      <c r="AM951" s="15">
        <f t="shared" si="98"/>
        <v>18</v>
      </c>
      <c r="AN951" s="15" t="str">
        <f t="shared" si="99"/>
        <v>高级神器2配件6</v>
      </c>
      <c r="AO951" s="15">
        <f>INDEX(芦花古楼!$BX$19:$BX$58,神器!AM951)</f>
        <v>10</v>
      </c>
      <c r="AP951" s="15" t="s">
        <v>88</v>
      </c>
      <c r="AQ951" s="15">
        <f t="shared" si="100"/>
        <v>10920</v>
      </c>
      <c r="AR951" s="15" t="s">
        <v>654</v>
      </c>
      <c r="AS951" s="15">
        <f t="shared" si="101"/>
        <v>230</v>
      </c>
    </row>
    <row r="952" spans="35:45" ht="16.5" x14ac:dyDescent="0.2">
      <c r="AI952" s="60">
        <v>939</v>
      </c>
      <c r="AJ952" s="15">
        <f t="shared" si="96"/>
        <v>1606026</v>
      </c>
      <c r="AK952" s="15" t="str">
        <f t="shared" si="97"/>
        <v>高级神器2配件6-卷云链Lvs19</v>
      </c>
      <c r="AL952" s="60" t="s">
        <v>645</v>
      </c>
      <c r="AM952" s="15">
        <f t="shared" si="98"/>
        <v>19</v>
      </c>
      <c r="AN952" s="15" t="str">
        <f t="shared" si="99"/>
        <v>高级神器2配件6</v>
      </c>
      <c r="AO952" s="15">
        <f>INDEX(芦花古楼!$BX$19:$BX$58,神器!AM952)</f>
        <v>10</v>
      </c>
      <c r="AP952" s="15" t="s">
        <v>88</v>
      </c>
      <c r="AQ952" s="15">
        <f t="shared" si="100"/>
        <v>11760</v>
      </c>
      <c r="AR952" s="15" t="s">
        <v>654</v>
      </c>
      <c r="AS952" s="15">
        <f t="shared" si="101"/>
        <v>245</v>
      </c>
    </row>
    <row r="953" spans="35:45" ht="16.5" x14ac:dyDescent="0.2">
      <c r="AI953" s="60">
        <v>940</v>
      </c>
      <c r="AJ953" s="15">
        <f t="shared" si="96"/>
        <v>1606026</v>
      </c>
      <c r="AK953" s="15" t="str">
        <f t="shared" si="97"/>
        <v>高级神器2配件6-卷云链Lvs20</v>
      </c>
      <c r="AL953" s="60" t="s">
        <v>645</v>
      </c>
      <c r="AM953" s="15">
        <f t="shared" si="98"/>
        <v>20</v>
      </c>
      <c r="AN953" s="15" t="str">
        <f t="shared" si="99"/>
        <v>高级神器2配件6</v>
      </c>
      <c r="AO953" s="15">
        <f>INDEX(芦花古楼!$BX$19:$BX$58,神器!AM953)</f>
        <v>10</v>
      </c>
      <c r="AP953" s="15" t="s">
        <v>88</v>
      </c>
      <c r="AQ953" s="15">
        <f t="shared" si="100"/>
        <v>13440</v>
      </c>
      <c r="AR953" s="15" t="s">
        <v>654</v>
      </c>
      <c r="AS953" s="15">
        <f t="shared" si="101"/>
        <v>265</v>
      </c>
    </row>
    <row r="954" spans="35:45" ht="16.5" x14ac:dyDescent="0.2">
      <c r="AI954" s="60">
        <v>941</v>
      </c>
      <c r="AJ954" s="15">
        <f t="shared" si="96"/>
        <v>1606026</v>
      </c>
      <c r="AK954" s="15" t="str">
        <f t="shared" si="97"/>
        <v>高级神器2配件6-卷云链Lvs21</v>
      </c>
      <c r="AL954" s="60" t="s">
        <v>645</v>
      </c>
      <c r="AM954" s="15">
        <f t="shared" si="98"/>
        <v>21</v>
      </c>
      <c r="AN954" s="15" t="str">
        <f t="shared" si="99"/>
        <v>高级神器2配件6</v>
      </c>
      <c r="AO954" s="15">
        <f>INDEX(芦花古楼!$BX$19:$BX$58,神器!AM954)</f>
        <v>15</v>
      </c>
      <c r="AP954" s="15" t="s">
        <v>88</v>
      </c>
      <c r="AQ954" s="15">
        <f t="shared" si="100"/>
        <v>14840</v>
      </c>
      <c r="AR954" s="15" t="s">
        <v>654</v>
      </c>
      <c r="AS954" s="15">
        <f t="shared" si="101"/>
        <v>285</v>
      </c>
    </row>
    <row r="955" spans="35:45" ht="16.5" x14ac:dyDescent="0.2">
      <c r="AI955" s="60">
        <v>942</v>
      </c>
      <c r="AJ955" s="15">
        <f t="shared" si="96"/>
        <v>1606026</v>
      </c>
      <c r="AK955" s="15" t="str">
        <f t="shared" si="97"/>
        <v>高级神器2配件6-卷云链Lvs22</v>
      </c>
      <c r="AL955" s="60" t="s">
        <v>645</v>
      </c>
      <c r="AM955" s="15">
        <f t="shared" si="98"/>
        <v>22</v>
      </c>
      <c r="AN955" s="15" t="str">
        <f t="shared" si="99"/>
        <v>高级神器2配件6</v>
      </c>
      <c r="AO955" s="15">
        <f>INDEX(芦花古楼!$BX$19:$BX$58,神器!AM955)</f>
        <v>15</v>
      </c>
      <c r="AP955" s="15" t="s">
        <v>88</v>
      </c>
      <c r="AQ955" s="15">
        <f t="shared" si="100"/>
        <v>15585</v>
      </c>
      <c r="AR955" s="15" t="s">
        <v>654</v>
      </c>
      <c r="AS955" s="15">
        <f t="shared" si="101"/>
        <v>305</v>
      </c>
    </row>
    <row r="956" spans="35:45" ht="16.5" x14ac:dyDescent="0.2">
      <c r="AI956" s="60">
        <v>943</v>
      </c>
      <c r="AJ956" s="15">
        <f t="shared" si="96"/>
        <v>1606026</v>
      </c>
      <c r="AK956" s="15" t="str">
        <f t="shared" si="97"/>
        <v>高级神器2配件6-卷云链Lvs23</v>
      </c>
      <c r="AL956" s="60" t="s">
        <v>645</v>
      </c>
      <c r="AM956" s="15">
        <f t="shared" si="98"/>
        <v>23</v>
      </c>
      <c r="AN956" s="15" t="str">
        <f t="shared" si="99"/>
        <v>高级神器2配件6</v>
      </c>
      <c r="AO956" s="15">
        <f>INDEX(芦花古楼!$BX$19:$BX$58,神器!AM956)</f>
        <v>15</v>
      </c>
      <c r="AP956" s="15" t="s">
        <v>88</v>
      </c>
      <c r="AQ956" s="15">
        <f t="shared" si="100"/>
        <v>16325</v>
      </c>
      <c r="AR956" s="15" t="s">
        <v>654</v>
      </c>
      <c r="AS956" s="15">
        <f t="shared" si="101"/>
        <v>330</v>
      </c>
    </row>
    <row r="957" spans="35:45" ht="16.5" x14ac:dyDescent="0.2">
      <c r="AI957" s="60">
        <v>944</v>
      </c>
      <c r="AJ957" s="15">
        <f t="shared" si="96"/>
        <v>1606026</v>
      </c>
      <c r="AK957" s="15" t="str">
        <f t="shared" si="97"/>
        <v>高级神器2配件6-卷云链Lvs24</v>
      </c>
      <c r="AL957" s="60" t="s">
        <v>645</v>
      </c>
      <c r="AM957" s="15">
        <f t="shared" si="98"/>
        <v>24</v>
      </c>
      <c r="AN957" s="15" t="str">
        <f t="shared" si="99"/>
        <v>高级神器2配件6</v>
      </c>
      <c r="AO957" s="15">
        <f>INDEX(芦花古楼!$BX$19:$BX$58,神器!AM957)</f>
        <v>15</v>
      </c>
      <c r="AP957" s="15" t="s">
        <v>88</v>
      </c>
      <c r="AQ957" s="15">
        <f t="shared" si="100"/>
        <v>17070</v>
      </c>
      <c r="AR957" s="15" t="s">
        <v>654</v>
      </c>
      <c r="AS957" s="15">
        <f t="shared" si="101"/>
        <v>355</v>
      </c>
    </row>
    <row r="958" spans="35:45" ht="16.5" x14ac:dyDescent="0.2">
      <c r="AI958" s="60">
        <v>945</v>
      </c>
      <c r="AJ958" s="15">
        <f t="shared" si="96"/>
        <v>1606026</v>
      </c>
      <c r="AK958" s="15" t="str">
        <f t="shared" si="97"/>
        <v>高级神器2配件6-卷云链Lvs25</v>
      </c>
      <c r="AL958" s="60" t="s">
        <v>645</v>
      </c>
      <c r="AM958" s="15">
        <f t="shared" si="98"/>
        <v>25</v>
      </c>
      <c r="AN958" s="15" t="str">
        <f t="shared" si="99"/>
        <v>高级神器2配件6</v>
      </c>
      <c r="AO958" s="15">
        <f>INDEX(芦花古楼!$BX$19:$BX$58,神器!AM958)</f>
        <v>15</v>
      </c>
      <c r="AP958" s="15" t="s">
        <v>88</v>
      </c>
      <c r="AQ958" s="15">
        <f t="shared" si="100"/>
        <v>17810</v>
      </c>
      <c r="AR958" s="15" t="s">
        <v>654</v>
      </c>
      <c r="AS958" s="15">
        <f t="shared" si="101"/>
        <v>375</v>
      </c>
    </row>
    <row r="959" spans="35:45" ht="16.5" x14ac:dyDescent="0.2">
      <c r="AI959" s="60">
        <v>946</v>
      </c>
      <c r="AJ959" s="15">
        <f t="shared" si="96"/>
        <v>1606026</v>
      </c>
      <c r="AK959" s="15" t="str">
        <f t="shared" si="97"/>
        <v>高级神器2配件6-卷云链Lvs26</v>
      </c>
      <c r="AL959" s="60" t="s">
        <v>645</v>
      </c>
      <c r="AM959" s="15">
        <f t="shared" si="98"/>
        <v>26</v>
      </c>
      <c r="AN959" s="15" t="str">
        <f t="shared" si="99"/>
        <v>高级神器2配件6</v>
      </c>
      <c r="AO959" s="15">
        <f>INDEX(芦花古楼!$BX$19:$BX$58,神器!AM959)</f>
        <v>25</v>
      </c>
      <c r="AP959" s="15" t="s">
        <v>88</v>
      </c>
      <c r="AQ959" s="15">
        <f t="shared" si="100"/>
        <v>18550</v>
      </c>
      <c r="AR959" s="15" t="s">
        <v>654</v>
      </c>
      <c r="AS959" s="15">
        <f t="shared" si="101"/>
        <v>405</v>
      </c>
    </row>
    <row r="960" spans="35:45" ht="16.5" x14ac:dyDescent="0.2">
      <c r="AI960" s="60">
        <v>947</v>
      </c>
      <c r="AJ960" s="15">
        <f t="shared" si="96"/>
        <v>1606026</v>
      </c>
      <c r="AK960" s="15" t="str">
        <f t="shared" si="97"/>
        <v>高级神器2配件6-卷云链Lvs27</v>
      </c>
      <c r="AL960" s="60" t="s">
        <v>645</v>
      </c>
      <c r="AM960" s="15">
        <f t="shared" si="98"/>
        <v>27</v>
      </c>
      <c r="AN960" s="15" t="str">
        <f t="shared" si="99"/>
        <v>高级神器2配件6</v>
      </c>
      <c r="AO960" s="15">
        <f>INDEX(芦花古楼!$BX$19:$BX$58,神器!AM960)</f>
        <v>25</v>
      </c>
      <c r="AP960" s="15" t="s">
        <v>88</v>
      </c>
      <c r="AQ960" s="15">
        <f t="shared" si="100"/>
        <v>19295</v>
      </c>
      <c r="AR960" s="15" t="s">
        <v>654</v>
      </c>
      <c r="AS960" s="15">
        <f t="shared" si="101"/>
        <v>430</v>
      </c>
    </row>
    <row r="961" spans="35:45" ht="16.5" x14ac:dyDescent="0.2">
      <c r="AI961" s="60">
        <v>948</v>
      </c>
      <c r="AJ961" s="15">
        <f t="shared" si="96"/>
        <v>1606026</v>
      </c>
      <c r="AK961" s="15" t="str">
        <f t="shared" si="97"/>
        <v>高级神器2配件6-卷云链Lvs28</v>
      </c>
      <c r="AL961" s="60" t="s">
        <v>645</v>
      </c>
      <c r="AM961" s="15">
        <f t="shared" si="98"/>
        <v>28</v>
      </c>
      <c r="AN961" s="15" t="str">
        <f t="shared" si="99"/>
        <v>高级神器2配件6</v>
      </c>
      <c r="AO961" s="15">
        <f>INDEX(芦花古楼!$BX$19:$BX$58,神器!AM961)</f>
        <v>25</v>
      </c>
      <c r="AP961" s="15" t="s">
        <v>88</v>
      </c>
      <c r="AQ961" s="15">
        <f t="shared" si="100"/>
        <v>20035</v>
      </c>
      <c r="AR961" s="15" t="s">
        <v>654</v>
      </c>
      <c r="AS961" s="15">
        <f t="shared" si="101"/>
        <v>460</v>
      </c>
    </row>
    <row r="962" spans="35:45" ht="16.5" x14ac:dyDescent="0.2">
      <c r="AI962" s="60">
        <v>949</v>
      </c>
      <c r="AJ962" s="15">
        <f t="shared" si="96"/>
        <v>1606026</v>
      </c>
      <c r="AK962" s="15" t="str">
        <f t="shared" si="97"/>
        <v>高级神器2配件6-卷云链Lvs29</v>
      </c>
      <c r="AL962" s="60" t="s">
        <v>645</v>
      </c>
      <c r="AM962" s="15">
        <f t="shared" si="98"/>
        <v>29</v>
      </c>
      <c r="AN962" s="15" t="str">
        <f t="shared" si="99"/>
        <v>高级神器2配件6</v>
      </c>
      <c r="AO962" s="15">
        <f>INDEX(芦花古楼!$BX$19:$BX$58,神器!AM962)</f>
        <v>25</v>
      </c>
      <c r="AP962" s="15" t="s">
        <v>88</v>
      </c>
      <c r="AQ962" s="15">
        <f t="shared" si="100"/>
        <v>20780</v>
      </c>
      <c r="AR962" s="15" t="s">
        <v>654</v>
      </c>
      <c r="AS962" s="15">
        <f t="shared" si="101"/>
        <v>485</v>
      </c>
    </row>
    <row r="963" spans="35:45" ht="16.5" x14ac:dyDescent="0.2">
      <c r="AI963" s="60">
        <v>950</v>
      </c>
      <c r="AJ963" s="15">
        <f t="shared" si="96"/>
        <v>1606026</v>
      </c>
      <c r="AK963" s="15" t="str">
        <f t="shared" si="97"/>
        <v>高级神器2配件6-卷云链Lvs30</v>
      </c>
      <c r="AL963" s="60" t="s">
        <v>645</v>
      </c>
      <c r="AM963" s="15">
        <f t="shared" si="98"/>
        <v>30</v>
      </c>
      <c r="AN963" s="15" t="str">
        <f t="shared" si="99"/>
        <v>高级神器2配件6</v>
      </c>
      <c r="AO963" s="15">
        <f>INDEX(芦花古楼!$BX$19:$BX$58,神器!AM963)</f>
        <v>25</v>
      </c>
      <c r="AP963" s="15" t="s">
        <v>88</v>
      </c>
      <c r="AQ963" s="15">
        <f t="shared" si="100"/>
        <v>22265</v>
      </c>
      <c r="AR963" s="15" t="s">
        <v>654</v>
      </c>
      <c r="AS963" s="15">
        <f t="shared" si="101"/>
        <v>520</v>
      </c>
    </row>
    <row r="964" spans="35:45" ht="16.5" x14ac:dyDescent="0.2">
      <c r="AI964" s="60">
        <v>951</v>
      </c>
      <c r="AJ964" s="15">
        <f t="shared" si="96"/>
        <v>1606026</v>
      </c>
      <c r="AK964" s="15" t="str">
        <f t="shared" si="97"/>
        <v>高级神器2配件6-卷云链Lvs31</v>
      </c>
      <c r="AL964" s="60" t="s">
        <v>645</v>
      </c>
      <c r="AM964" s="15">
        <f t="shared" si="98"/>
        <v>31</v>
      </c>
      <c r="AN964" s="15" t="str">
        <f t="shared" si="99"/>
        <v>高级神器2配件6</v>
      </c>
      <c r="AO964" s="15">
        <f>INDEX(芦花古楼!$BX$19:$BX$58,神器!AM964)</f>
        <v>30</v>
      </c>
      <c r="AP964" s="15" t="s">
        <v>88</v>
      </c>
      <c r="AQ964" s="15">
        <f t="shared" si="100"/>
        <v>21700</v>
      </c>
      <c r="AR964" s="15" t="s">
        <v>654</v>
      </c>
      <c r="AS964" s="15">
        <f t="shared" si="101"/>
        <v>550</v>
      </c>
    </row>
    <row r="965" spans="35:45" ht="16.5" x14ac:dyDescent="0.2">
      <c r="AI965" s="60">
        <v>952</v>
      </c>
      <c r="AJ965" s="15">
        <f t="shared" si="96"/>
        <v>1606026</v>
      </c>
      <c r="AK965" s="15" t="str">
        <f t="shared" si="97"/>
        <v>高级神器2配件6-卷云链Lvs32</v>
      </c>
      <c r="AL965" s="60" t="s">
        <v>645</v>
      </c>
      <c r="AM965" s="15">
        <f t="shared" si="98"/>
        <v>32</v>
      </c>
      <c r="AN965" s="15" t="str">
        <f t="shared" si="99"/>
        <v>高级神器2配件6</v>
      </c>
      <c r="AO965" s="15">
        <f>INDEX(芦花古楼!$BX$19:$BX$58,神器!AM965)</f>
        <v>30</v>
      </c>
      <c r="AP965" s="15" t="s">
        <v>88</v>
      </c>
      <c r="AQ965" s="15">
        <f t="shared" si="100"/>
        <v>32550</v>
      </c>
      <c r="AR965" s="15" t="s">
        <v>654</v>
      </c>
      <c r="AS965" s="15">
        <f t="shared" si="101"/>
        <v>585</v>
      </c>
    </row>
    <row r="966" spans="35:45" ht="16.5" x14ac:dyDescent="0.2">
      <c r="AI966" s="60">
        <v>953</v>
      </c>
      <c r="AJ966" s="15">
        <f t="shared" si="96"/>
        <v>1606026</v>
      </c>
      <c r="AK966" s="15" t="str">
        <f t="shared" si="97"/>
        <v>高级神器2配件6-卷云链Lvs33</v>
      </c>
      <c r="AL966" s="60" t="s">
        <v>645</v>
      </c>
      <c r="AM966" s="15">
        <f t="shared" si="98"/>
        <v>33</v>
      </c>
      <c r="AN966" s="15" t="str">
        <f t="shared" si="99"/>
        <v>高级神器2配件6</v>
      </c>
      <c r="AO966" s="15">
        <f>INDEX(芦花古楼!$BX$19:$BX$58,神器!AM966)</f>
        <v>30</v>
      </c>
      <c r="AP966" s="15" t="s">
        <v>88</v>
      </c>
      <c r="AQ966" s="15">
        <f t="shared" si="100"/>
        <v>43400</v>
      </c>
      <c r="AR966" s="15" t="s">
        <v>654</v>
      </c>
      <c r="AS966" s="15">
        <f t="shared" si="101"/>
        <v>620</v>
      </c>
    </row>
    <row r="967" spans="35:45" ht="16.5" x14ac:dyDescent="0.2">
      <c r="AI967" s="60">
        <v>954</v>
      </c>
      <c r="AJ967" s="15">
        <f t="shared" si="96"/>
        <v>1606026</v>
      </c>
      <c r="AK967" s="15" t="str">
        <f t="shared" si="97"/>
        <v>高级神器2配件6-卷云链Lvs34</v>
      </c>
      <c r="AL967" s="60" t="s">
        <v>645</v>
      </c>
      <c r="AM967" s="15">
        <f t="shared" si="98"/>
        <v>34</v>
      </c>
      <c r="AN967" s="15" t="str">
        <f t="shared" si="99"/>
        <v>高级神器2配件6</v>
      </c>
      <c r="AO967" s="15">
        <f>INDEX(芦花古楼!$BX$19:$BX$58,神器!AM967)</f>
        <v>30</v>
      </c>
      <c r="AP967" s="15" t="s">
        <v>88</v>
      </c>
      <c r="AQ967" s="15">
        <f t="shared" si="100"/>
        <v>54250</v>
      </c>
      <c r="AR967" s="15" t="s">
        <v>654</v>
      </c>
      <c r="AS967" s="15">
        <f t="shared" si="101"/>
        <v>660</v>
      </c>
    </row>
    <row r="968" spans="35:45" ht="16.5" x14ac:dyDescent="0.2">
      <c r="AI968" s="60">
        <v>955</v>
      </c>
      <c r="AJ968" s="15">
        <f t="shared" si="96"/>
        <v>1606026</v>
      </c>
      <c r="AK968" s="15" t="str">
        <f t="shared" si="97"/>
        <v>高级神器2配件6-卷云链Lvs35</v>
      </c>
      <c r="AL968" s="60" t="s">
        <v>645</v>
      </c>
      <c r="AM968" s="15">
        <f t="shared" si="98"/>
        <v>35</v>
      </c>
      <c r="AN968" s="15" t="str">
        <f t="shared" si="99"/>
        <v>高级神器2配件6</v>
      </c>
      <c r="AO968" s="15">
        <f>INDEX(芦花古楼!$BX$19:$BX$58,神器!AM968)</f>
        <v>30</v>
      </c>
      <c r="AP968" s="15" t="s">
        <v>88</v>
      </c>
      <c r="AQ968" s="15">
        <f t="shared" si="100"/>
        <v>65100</v>
      </c>
      <c r="AR968" s="15" t="s">
        <v>654</v>
      </c>
      <c r="AS968" s="15">
        <f t="shared" si="101"/>
        <v>700</v>
      </c>
    </row>
    <row r="969" spans="35:45" ht="16.5" x14ac:dyDescent="0.2">
      <c r="AI969" s="60">
        <v>956</v>
      </c>
      <c r="AJ969" s="15">
        <f t="shared" si="96"/>
        <v>1606026</v>
      </c>
      <c r="AK969" s="15" t="str">
        <f t="shared" si="97"/>
        <v>高级神器2配件6-卷云链Lvs36</v>
      </c>
      <c r="AL969" s="60" t="s">
        <v>645</v>
      </c>
      <c r="AM969" s="15">
        <f t="shared" si="98"/>
        <v>36</v>
      </c>
      <c r="AN969" s="15" t="str">
        <f t="shared" si="99"/>
        <v>高级神器2配件6</v>
      </c>
      <c r="AO969" s="15">
        <f>INDEX(芦花古楼!$BX$19:$BX$58,神器!AM969)</f>
        <v>40</v>
      </c>
      <c r="AP969" s="15" t="s">
        <v>88</v>
      </c>
      <c r="AQ969" s="15">
        <f t="shared" si="100"/>
        <v>75950</v>
      </c>
      <c r="AR969" s="15" t="s">
        <v>654</v>
      </c>
      <c r="AS969" s="15">
        <f t="shared" si="101"/>
        <v>740</v>
      </c>
    </row>
    <row r="970" spans="35:45" ht="16.5" x14ac:dyDescent="0.2">
      <c r="AI970" s="60">
        <v>957</v>
      </c>
      <c r="AJ970" s="15">
        <f t="shared" si="96"/>
        <v>1606026</v>
      </c>
      <c r="AK970" s="15" t="str">
        <f t="shared" si="97"/>
        <v>高级神器2配件6-卷云链Lvs37</v>
      </c>
      <c r="AL970" s="60" t="s">
        <v>645</v>
      </c>
      <c r="AM970" s="15">
        <f t="shared" si="98"/>
        <v>37</v>
      </c>
      <c r="AN970" s="15" t="str">
        <f t="shared" si="99"/>
        <v>高级神器2配件6</v>
      </c>
      <c r="AO970" s="15">
        <f>INDEX(芦花古楼!$BX$19:$BX$58,神器!AM970)</f>
        <v>40</v>
      </c>
      <c r="AP970" s="15" t="s">
        <v>88</v>
      </c>
      <c r="AQ970" s="15">
        <f t="shared" si="100"/>
        <v>86805</v>
      </c>
      <c r="AR970" s="15" t="s">
        <v>654</v>
      </c>
      <c r="AS970" s="15">
        <f t="shared" si="101"/>
        <v>785</v>
      </c>
    </row>
    <row r="971" spans="35:45" ht="16.5" x14ac:dyDescent="0.2">
      <c r="AI971" s="60">
        <v>958</v>
      </c>
      <c r="AJ971" s="15">
        <f t="shared" si="96"/>
        <v>1606026</v>
      </c>
      <c r="AK971" s="15" t="str">
        <f t="shared" si="97"/>
        <v>高级神器2配件6-卷云链Lvs38</v>
      </c>
      <c r="AL971" s="60" t="s">
        <v>645</v>
      </c>
      <c r="AM971" s="15">
        <f t="shared" si="98"/>
        <v>38</v>
      </c>
      <c r="AN971" s="15" t="str">
        <f t="shared" si="99"/>
        <v>高级神器2配件6</v>
      </c>
      <c r="AO971" s="15">
        <f>INDEX(芦花古楼!$BX$19:$BX$58,神器!AM971)</f>
        <v>40</v>
      </c>
      <c r="AP971" s="15" t="s">
        <v>88</v>
      </c>
      <c r="AQ971" s="15">
        <f t="shared" si="100"/>
        <v>97655</v>
      </c>
      <c r="AR971" s="15" t="s">
        <v>654</v>
      </c>
      <c r="AS971" s="15">
        <f t="shared" si="101"/>
        <v>830</v>
      </c>
    </row>
    <row r="972" spans="35:45" ht="16.5" x14ac:dyDescent="0.2">
      <c r="AI972" s="60">
        <v>959</v>
      </c>
      <c r="AJ972" s="15">
        <f t="shared" si="96"/>
        <v>1606026</v>
      </c>
      <c r="AK972" s="15" t="str">
        <f t="shared" si="97"/>
        <v>高级神器2配件6-卷云链Lvs39</v>
      </c>
      <c r="AL972" s="60" t="s">
        <v>645</v>
      </c>
      <c r="AM972" s="15">
        <f t="shared" si="98"/>
        <v>39</v>
      </c>
      <c r="AN972" s="15" t="str">
        <f t="shared" si="99"/>
        <v>高级神器2配件6</v>
      </c>
      <c r="AO972" s="15">
        <f>INDEX(芦花古楼!$BX$19:$BX$58,神器!AM972)</f>
        <v>40</v>
      </c>
      <c r="AP972" s="15" t="s">
        <v>88</v>
      </c>
      <c r="AQ972" s="15">
        <f t="shared" si="100"/>
        <v>108505</v>
      </c>
      <c r="AR972" s="15" t="s">
        <v>654</v>
      </c>
      <c r="AS972" s="15">
        <f t="shared" si="101"/>
        <v>880</v>
      </c>
    </row>
    <row r="973" spans="35:45" ht="16.5" x14ac:dyDescent="0.2">
      <c r="AI973" s="60">
        <v>960</v>
      </c>
      <c r="AJ973" s="15">
        <f t="shared" si="96"/>
        <v>1606026</v>
      </c>
      <c r="AK973" s="15" t="str">
        <f t="shared" si="97"/>
        <v>高级神器2配件6-卷云链Lvs40</v>
      </c>
      <c r="AL973" s="60" t="s">
        <v>645</v>
      </c>
      <c r="AM973" s="15">
        <f t="shared" si="98"/>
        <v>40</v>
      </c>
      <c r="AN973" s="15" t="str">
        <f t="shared" si="99"/>
        <v>高级神器2配件6</v>
      </c>
      <c r="AO973" s="15">
        <f>INDEX(芦花古楼!$BX$19:$BX$58,神器!AM973)</f>
        <v>40</v>
      </c>
      <c r="AP973" s="15" t="s">
        <v>88</v>
      </c>
      <c r="AQ973" s="15">
        <f t="shared" si="100"/>
        <v>130205</v>
      </c>
      <c r="AR973" s="15" t="s">
        <v>654</v>
      </c>
      <c r="AS973" s="15">
        <f t="shared" si="101"/>
        <v>930</v>
      </c>
    </row>
    <row r="974" spans="35:45" ht="16.5" x14ac:dyDescent="0.2">
      <c r="AI974" s="60">
        <v>961</v>
      </c>
      <c r="AJ974" s="15">
        <f t="shared" si="96"/>
        <v>1606027</v>
      </c>
      <c r="AK974" s="15" t="str">
        <f t="shared" si="97"/>
        <v>高级神器3配件1-毁灭毒素Lvs1</v>
      </c>
      <c r="AL974" s="60" t="s">
        <v>645</v>
      </c>
      <c r="AM974" s="15">
        <f t="shared" si="98"/>
        <v>1</v>
      </c>
      <c r="AN974" s="15" t="str">
        <f t="shared" si="99"/>
        <v>高级神器3配件1</v>
      </c>
      <c r="AO974" s="15">
        <f>INDEX(芦花古楼!$BX$19:$BX$58,神器!AM974)</f>
        <v>1</v>
      </c>
      <c r="AP974" s="15" t="s">
        <v>88</v>
      </c>
      <c r="AQ974" s="15">
        <f t="shared" si="100"/>
        <v>130</v>
      </c>
      <c r="AR974" s="15" t="s">
        <v>654</v>
      </c>
      <c r="AS974" s="15">
        <f t="shared" si="101"/>
        <v>5</v>
      </c>
    </row>
    <row r="975" spans="35:45" ht="16.5" x14ac:dyDescent="0.2">
      <c r="AI975" s="60">
        <v>962</v>
      </c>
      <c r="AJ975" s="15">
        <f t="shared" ref="AJ975:AJ1038" si="102">INDEX($AC$4:$AC$33,INT((AI975-1)/40)+1)</f>
        <v>1606027</v>
      </c>
      <c r="AK975" s="15" t="str">
        <f t="shared" ref="AK975:AK1038" si="103">INDEX($AF$4:$AF$33,INT((AI975-1)/40)+1)&amp;AL975&amp;AM975</f>
        <v>高级神器3配件1-毁灭毒素Lvs2</v>
      </c>
      <c r="AL975" s="60" t="s">
        <v>645</v>
      </c>
      <c r="AM975" s="15">
        <f t="shared" ref="AM975:AM1038" si="104">MOD(AI975-1,40)+1</f>
        <v>2</v>
      </c>
      <c r="AN975" s="15" t="str">
        <f t="shared" ref="AN975:AN1038" si="105">INDEX($AD$4:$AD$33,INT((AI975-1)/40)+1)</f>
        <v>高级神器3配件1</v>
      </c>
      <c r="AO975" s="15">
        <f>INDEX(芦花古楼!$BX$19:$BX$58,神器!AM975)</f>
        <v>1</v>
      </c>
      <c r="AP975" s="15" t="s">
        <v>88</v>
      </c>
      <c r="AQ975" s="15">
        <f t="shared" ref="AQ975:AQ1038" si="106">INDEX($F$14:$L$53,AM975,INDEX($AB$4:$AB$33,INT((AI975-1)/40)+1))</f>
        <v>200</v>
      </c>
      <c r="AR975" s="15" t="s">
        <v>654</v>
      </c>
      <c r="AS975" s="15">
        <f t="shared" ref="AS975:AS1038" si="107">INDEX($P$14:$V$53,AM975,INDEX($AB$4:$AB$33,INT((AI975-1)/40)+1))</f>
        <v>6</v>
      </c>
    </row>
    <row r="976" spans="35:45" ht="16.5" x14ac:dyDescent="0.2">
      <c r="AI976" s="60">
        <v>963</v>
      </c>
      <c r="AJ976" s="15">
        <f t="shared" si="102"/>
        <v>1606027</v>
      </c>
      <c r="AK976" s="15" t="str">
        <f t="shared" si="103"/>
        <v>高级神器3配件1-毁灭毒素Lvs3</v>
      </c>
      <c r="AL976" s="60" t="s">
        <v>645</v>
      </c>
      <c r="AM976" s="15">
        <f t="shared" si="104"/>
        <v>3</v>
      </c>
      <c r="AN976" s="15" t="str">
        <f t="shared" si="105"/>
        <v>高级神器3配件1</v>
      </c>
      <c r="AO976" s="15">
        <f>INDEX(芦花古楼!$BX$19:$BX$58,神器!AM976)</f>
        <v>2</v>
      </c>
      <c r="AP976" s="15" t="s">
        <v>88</v>
      </c>
      <c r="AQ976" s="15">
        <f t="shared" si="106"/>
        <v>265</v>
      </c>
      <c r="AR976" s="15" t="s">
        <v>654</v>
      </c>
      <c r="AS976" s="15">
        <f t="shared" si="107"/>
        <v>8</v>
      </c>
    </row>
    <row r="977" spans="35:45" ht="16.5" x14ac:dyDescent="0.2">
      <c r="AI977" s="60">
        <v>964</v>
      </c>
      <c r="AJ977" s="15">
        <f t="shared" si="102"/>
        <v>1606027</v>
      </c>
      <c r="AK977" s="15" t="str">
        <f t="shared" si="103"/>
        <v>高级神器3配件1-毁灭毒素Lvs4</v>
      </c>
      <c r="AL977" s="60" t="s">
        <v>645</v>
      </c>
      <c r="AM977" s="15">
        <f t="shared" si="104"/>
        <v>4</v>
      </c>
      <c r="AN977" s="15" t="str">
        <f t="shared" si="105"/>
        <v>高级神器3配件1</v>
      </c>
      <c r="AO977" s="15">
        <f>INDEX(芦花古楼!$BX$19:$BX$58,神器!AM977)</f>
        <v>3</v>
      </c>
      <c r="AP977" s="15" t="s">
        <v>88</v>
      </c>
      <c r="AQ977" s="15">
        <f t="shared" si="106"/>
        <v>330</v>
      </c>
      <c r="AR977" s="15" t="s">
        <v>654</v>
      </c>
      <c r="AS977" s="15">
        <f t="shared" si="107"/>
        <v>10</v>
      </c>
    </row>
    <row r="978" spans="35:45" ht="16.5" x14ac:dyDescent="0.2">
      <c r="AI978" s="60">
        <v>965</v>
      </c>
      <c r="AJ978" s="15">
        <f t="shared" si="102"/>
        <v>1606027</v>
      </c>
      <c r="AK978" s="15" t="str">
        <f t="shared" si="103"/>
        <v>高级神器3配件1-毁灭毒素Lvs5</v>
      </c>
      <c r="AL978" s="60" t="s">
        <v>645</v>
      </c>
      <c r="AM978" s="15">
        <f t="shared" si="104"/>
        <v>5</v>
      </c>
      <c r="AN978" s="15" t="str">
        <f t="shared" si="105"/>
        <v>高级神器3配件1</v>
      </c>
      <c r="AO978" s="15">
        <f>INDEX(芦花古楼!$BX$19:$BX$58,神器!AM978)</f>
        <v>3</v>
      </c>
      <c r="AP978" s="15" t="s">
        <v>88</v>
      </c>
      <c r="AQ978" s="15">
        <f t="shared" si="106"/>
        <v>400</v>
      </c>
      <c r="AR978" s="15" t="s">
        <v>654</v>
      </c>
      <c r="AS978" s="15">
        <f t="shared" si="107"/>
        <v>12</v>
      </c>
    </row>
    <row r="979" spans="35:45" ht="16.5" x14ac:dyDescent="0.2">
      <c r="AI979" s="60">
        <v>966</v>
      </c>
      <c r="AJ979" s="15">
        <f t="shared" si="102"/>
        <v>1606027</v>
      </c>
      <c r="AK979" s="15" t="str">
        <f t="shared" si="103"/>
        <v>高级神器3配件1-毁灭毒素Lvs6</v>
      </c>
      <c r="AL979" s="60" t="s">
        <v>645</v>
      </c>
      <c r="AM979" s="15">
        <f t="shared" si="104"/>
        <v>6</v>
      </c>
      <c r="AN979" s="15" t="str">
        <f t="shared" si="105"/>
        <v>高级神器3配件1</v>
      </c>
      <c r="AO979" s="15">
        <f>INDEX(芦花古楼!$BX$19:$BX$58,神器!AM979)</f>
        <v>5</v>
      </c>
      <c r="AP979" s="15" t="s">
        <v>88</v>
      </c>
      <c r="AQ979" s="15">
        <f t="shared" si="106"/>
        <v>465</v>
      </c>
      <c r="AR979" s="15" t="s">
        <v>654</v>
      </c>
      <c r="AS979" s="15">
        <f t="shared" si="107"/>
        <v>14</v>
      </c>
    </row>
    <row r="980" spans="35:45" ht="16.5" x14ac:dyDescent="0.2">
      <c r="AI980" s="60">
        <v>967</v>
      </c>
      <c r="AJ980" s="15">
        <f t="shared" si="102"/>
        <v>1606027</v>
      </c>
      <c r="AK980" s="15" t="str">
        <f t="shared" si="103"/>
        <v>高级神器3配件1-毁灭毒素Lvs7</v>
      </c>
      <c r="AL980" s="60" t="s">
        <v>645</v>
      </c>
      <c r="AM980" s="15">
        <f t="shared" si="104"/>
        <v>7</v>
      </c>
      <c r="AN980" s="15" t="str">
        <f t="shared" si="105"/>
        <v>高级神器3配件1</v>
      </c>
      <c r="AO980" s="15">
        <f>INDEX(芦花古楼!$BX$19:$BX$58,神器!AM980)</f>
        <v>5</v>
      </c>
      <c r="AP980" s="15" t="s">
        <v>88</v>
      </c>
      <c r="AQ980" s="15">
        <f t="shared" si="106"/>
        <v>535</v>
      </c>
      <c r="AR980" s="15" t="s">
        <v>654</v>
      </c>
      <c r="AS980" s="15">
        <f t="shared" si="107"/>
        <v>16</v>
      </c>
    </row>
    <row r="981" spans="35:45" ht="16.5" x14ac:dyDescent="0.2">
      <c r="AI981" s="60">
        <v>968</v>
      </c>
      <c r="AJ981" s="15">
        <f t="shared" si="102"/>
        <v>1606027</v>
      </c>
      <c r="AK981" s="15" t="str">
        <f t="shared" si="103"/>
        <v>高级神器3配件1-毁灭毒素Lvs8</v>
      </c>
      <c r="AL981" s="60" t="s">
        <v>645</v>
      </c>
      <c r="AM981" s="15">
        <f t="shared" si="104"/>
        <v>8</v>
      </c>
      <c r="AN981" s="15" t="str">
        <f t="shared" si="105"/>
        <v>高级神器3配件1</v>
      </c>
      <c r="AO981" s="15">
        <f>INDEX(芦花古楼!$BX$19:$BX$58,神器!AM981)</f>
        <v>5</v>
      </c>
      <c r="AP981" s="15" t="s">
        <v>88</v>
      </c>
      <c r="AQ981" s="15">
        <f t="shared" si="106"/>
        <v>600</v>
      </c>
      <c r="AR981" s="15" t="s">
        <v>654</v>
      </c>
      <c r="AS981" s="15">
        <f t="shared" si="107"/>
        <v>18</v>
      </c>
    </row>
    <row r="982" spans="35:45" ht="16.5" x14ac:dyDescent="0.2">
      <c r="AI982" s="60">
        <v>969</v>
      </c>
      <c r="AJ982" s="15">
        <f t="shared" si="102"/>
        <v>1606027</v>
      </c>
      <c r="AK982" s="15" t="str">
        <f t="shared" si="103"/>
        <v>高级神器3配件1-毁灭毒素Lvs9</v>
      </c>
      <c r="AL982" s="60" t="s">
        <v>645</v>
      </c>
      <c r="AM982" s="15">
        <f t="shared" si="104"/>
        <v>9</v>
      </c>
      <c r="AN982" s="15" t="str">
        <f t="shared" si="105"/>
        <v>高级神器3配件1</v>
      </c>
      <c r="AO982" s="15">
        <f>INDEX(芦花古楼!$BX$19:$BX$58,神器!AM982)</f>
        <v>5</v>
      </c>
      <c r="AP982" s="15" t="s">
        <v>88</v>
      </c>
      <c r="AQ982" s="15">
        <f t="shared" si="106"/>
        <v>665</v>
      </c>
      <c r="AR982" s="15" t="s">
        <v>654</v>
      </c>
      <c r="AS982" s="15">
        <f t="shared" si="107"/>
        <v>20</v>
      </c>
    </row>
    <row r="983" spans="35:45" ht="16.5" x14ac:dyDescent="0.2">
      <c r="AI983" s="60">
        <v>970</v>
      </c>
      <c r="AJ983" s="15">
        <f t="shared" si="102"/>
        <v>1606027</v>
      </c>
      <c r="AK983" s="15" t="str">
        <f t="shared" si="103"/>
        <v>高级神器3配件1-毁灭毒素Lvs10</v>
      </c>
      <c r="AL983" s="60" t="s">
        <v>645</v>
      </c>
      <c r="AM983" s="15">
        <f t="shared" si="104"/>
        <v>10</v>
      </c>
      <c r="AN983" s="15" t="str">
        <f t="shared" si="105"/>
        <v>高级神器3配件1</v>
      </c>
      <c r="AO983" s="15">
        <f>INDEX(芦花古楼!$BX$19:$BX$58,神器!AM983)</f>
        <v>7</v>
      </c>
      <c r="AP983" s="15" t="s">
        <v>88</v>
      </c>
      <c r="AQ983" s="15">
        <f t="shared" si="106"/>
        <v>800</v>
      </c>
      <c r="AR983" s="15" t="s">
        <v>654</v>
      </c>
      <c r="AS983" s="15">
        <f t="shared" si="107"/>
        <v>22</v>
      </c>
    </row>
    <row r="984" spans="35:45" ht="16.5" x14ac:dyDescent="0.2">
      <c r="AI984" s="60">
        <v>971</v>
      </c>
      <c r="AJ984" s="15">
        <f t="shared" si="102"/>
        <v>1606027</v>
      </c>
      <c r="AK984" s="15" t="str">
        <f t="shared" si="103"/>
        <v>高级神器3配件1-毁灭毒素Lvs11</v>
      </c>
      <c r="AL984" s="60" t="s">
        <v>645</v>
      </c>
      <c r="AM984" s="15">
        <f t="shared" si="104"/>
        <v>11</v>
      </c>
      <c r="AN984" s="15" t="str">
        <f t="shared" si="105"/>
        <v>高级神器3配件1</v>
      </c>
      <c r="AO984" s="15">
        <f>INDEX(芦花古楼!$BX$19:$BX$58,神器!AM984)</f>
        <v>7</v>
      </c>
      <c r="AP984" s="15" t="s">
        <v>88</v>
      </c>
      <c r="AQ984" s="15">
        <f t="shared" si="106"/>
        <v>1005</v>
      </c>
      <c r="AR984" s="15" t="s">
        <v>654</v>
      </c>
      <c r="AS984" s="15">
        <f t="shared" si="107"/>
        <v>25</v>
      </c>
    </row>
    <row r="985" spans="35:45" ht="16.5" x14ac:dyDescent="0.2">
      <c r="AI985" s="60">
        <v>972</v>
      </c>
      <c r="AJ985" s="15">
        <f t="shared" si="102"/>
        <v>1606027</v>
      </c>
      <c r="AK985" s="15" t="str">
        <f t="shared" si="103"/>
        <v>高级神器3配件1-毁灭毒素Lvs12</v>
      </c>
      <c r="AL985" s="60" t="s">
        <v>645</v>
      </c>
      <c r="AM985" s="15">
        <f t="shared" si="104"/>
        <v>12</v>
      </c>
      <c r="AN985" s="15" t="str">
        <f t="shared" si="105"/>
        <v>高级神器3配件1</v>
      </c>
      <c r="AO985" s="15">
        <f>INDEX(芦花古楼!$BX$19:$BX$58,神器!AM985)</f>
        <v>7</v>
      </c>
      <c r="AP985" s="15" t="s">
        <v>88</v>
      </c>
      <c r="AQ985" s="15">
        <f t="shared" si="106"/>
        <v>1175</v>
      </c>
      <c r="AR985" s="15" t="s">
        <v>654</v>
      </c>
      <c r="AS985" s="15">
        <f t="shared" si="107"/>
        <v>27</v>
      </c>
    </row>
    <row r="986" spans="35:45" ht="16.5" x14ac:dyDescent="0.2">
      <c r="AI986" s="60">
        <v>973</v>
      </c>
      <c r="AJ986" s="15">
        <f t="shared" si="102"/>
        <v>1606027</v>
      </c>
      <c r="AK986" s="15" t="str">
        <f t="shared" si="103"/>
        <v>高级神器3配件1-毁灭毒素Lvs13</v>
      </c>
      <c r="AL986" s="60" t="s">
        <v>645</v>
      </c>
      <c r="AM986" s="15">
        <f t="shared" si="104"/>
        <v>13</v>
      </c>
      <c r="AN986" s="15" t="str">
        <f t="shared" si="105"/>
        <v>高级神器3配件1</v>
      </c>
      <c r="AO986" s="15">
        <f>INDEX(芦花古楼!$BX$19:$BX$58,神器!AM986)</f>
        <v>7</v>
      </c>
      <c r="AP986" s="15" t="s">
        <v>88</v>
      </c>
      <c r="AQ986" s="15">
        <f t="shared" si="106"/>
        <v>1340</v>
      </c>
      <c r="AR986" s="15" t="s">
        <v>654</v>
      </c>
      <c r="AS986" s="15">
        <f t="shared" si="107"/>
        <v>30</v>
      </c>
    </row>
    <row r="987" spans="35:45" ht="16.5" x14ac:dyDescent="0.2">
      <c r="AI987" s="60">
        <v>974</v>
      </c>
      <c r="AJ987" s="15">
        <f t="shared" si="102"/>
        <v>1606027</v>
      </c>
      <c r="AK987" s="15" t="str">
        <f t="shared" si="103"/>
        <v>高级神器3配件1-毁灭毒素Lvs14</v>
      </c>
      <c r="AL987" s="60" t="s">
        <v>645</v>
      </c>
      <c r="AM987" s="15">
        <f t="shared" si="104"/>
        <v>14</v>
      </c>
      <c r="AN987" s="15" t="str">
        <f t="shared" si="105"/>
        <v>高级神器3配件1</v>
      </c>
      <c r="AO987" s="15">
        <f>INDEX(芦花古楼!$BX$19:$BX$58,神器!AM987)</f>
        <v>7</v>
      </c>
      <c r="AP987" s="15" t="s">
        <v>88</v>
      </c>
      <c r="AQ987" s="15">
        <f t="shared" si="106"/>
        <v>1510</v>
      </c>
      <c r="AR987" s="15" t="s">
        <v>654</v>
      </c>
      <c r="AS987" s="15">
        <f t="shared" si="107"/>
        <v>33</v>
      </c>
    </row>
    <row r="988" spans="35:45" ht="16.5" x14ac:dyDescent="0.2">
      <c r="AI988" s="60">
        <v>975</v>
      </c>
      <c r="AJ988" s="15">
        <f t="shared" si="102"/>
        <v>1606027</v>
      </c>
      <c r="AK988" s="15" t="str">
        <f t="shared" si="103"/>
        <v>高级神器3配件1-毁灭毒素Lvs15</v>
      </c>
      <c r="AL988" s="60" t="s">
        <v>645</v>
      </c>
      <c r="AM988" s="15">
        <f t="shared" si="104"/>
        <v>15</v>
      </c>
      <c r="AN988" s="15" t="str">
        <f t="shared" si="105"/>
        <v>高级神器3配件1</v>
      </c>
      <c r="AO988" s="15">
        <f>INDEX(芦花古楼!$BX$19:$BX$58,神器!AM988)</f>
        <v>10</v>
      </c>
      <c r="AP988" s="15" t="s">
        <v>88</v>
      </c>
      <c r="AQ988" s="15">
        <f t="shared" si="106"/>
        <v>1680</v>
      </c>
      <c r="AR988" s="15" t="s">
        <v>654</v>
      </c>
      <c r="AS988" s="15">
        <f t="shared" si="107"/>
        <v>36</v>
      </c>
    </row>
    <row r="989" spans="35:45" ht="16.5" x14ac:dyDescent="0.2">
      <c r="AI989" s="60">
        <v>976</v>
      </c>
      <c r="AJ989" s="15">
        <f t="shared" si="102"/>
        <v>1606027</v>
      </c>
      <c r="AK989" s="15" t="str">
        <f t="shared" si="103"/>
        <v>高级神器3配件1-毁灭毒素Lvs16</v>
      </c>
      <c r="AL989" s="60" t="s">
        <v>645</v>
      </c>
      <c r="AM989" s="15">
        <f t="shared" si="104"/>
        <v>16</v>
      </c>
      <c r="AN989" s="15" t="str">
        <f t="shared" si="105"/>
        <v>高级神器3配件1</v>
      </c>
      <c r="AO989" s="15">
        <f>INDEX(芦花古楼!$BX$19:$BX$58,神器!AM989)</f>
        <v>10</v>
      </c>
      <c r="AP989" s="15" t="s">
        <v>88</v>
      </c>
      <c r="AQ989" s="15">
        <f t="shared" si="106"/>
        <v>1845</v>
      </c>
      <c r="AR989" s="15" t="s">
        <v>654</v>
      </c>
      <c r="AS989" s="15">
        <f t="shared" si="107"/>
        <v>39</v>
      </c>
    </row>
    <row r="990" spans="35:45" ht="16.5" x14ac:dyDescent="0.2">
      <c r="AI990" s="60">
        <v>977</v>
      </c>
      <c r="AJ990" s="15">
        <f t="shared" si="102"/>
        <v>1606027</v>
      </c>
      <c r="AK990" s="15" t="str">
        <f t="shared" si="103"/>
        <v>高级神器3配件1-毁灭毒素Lvs17</v>
      </c>
      <c r="AL990" s="60" t="s">
        <v>645</v>
      </c>
      <c r="AM990" s="15">
        <f t="shared" si="104"/>
        <v>17</v>
      </c>
      <c r="AN990" s="15" t="str">
        <f t="shared" si="105"/>
        <v>高级神器3配件1</v>
      </c>
      <c r="AO990" s="15">
        <f>INDEX(芦花古楼!$BX$19:$BX$58,神器!AM990)</f>
        <v>10</v>
      </c>
      <c r="AP990" s="15" t="s">
        <v>88</v>
      </c>
      <c r="AQ990" s="15">
        <f t="shared" si="106"/>
        <v>2015</v>
      </c>
      <c r="AR990" s="15" t="s">
        <v>654</v>
      </c>
      <c r="AS990" s="15">
        <f t="shared" si="107"/>
        <v>42</v>
      </c>
    </row>
    <row r="991" spans="35:45" ht="16.5" x14ac:dyDescent="0.2">
      <c r="AI991" s="60">
        <v>978</v>
      </c>
      <c r="AJ991" s="15">
        <f t="shared" si="102"/>
        <v>1606027</v>
      </c>
      <c r="AK991" s="15" t="str">
        <f t="shared" si="103"/>
        <v>高级神器3配件1-毁灭毒素Lvs18</v>
      </c>
      <c r="AL991" s="60" t="s">
        <v>645</v>
      </c>
      <c r="AM991" s="15">
        <f t="shared" si="104"/>
        <v>18</v>
      </c>
      <c r="AN991" s="15" t="str">
        <f t="shared" si="105"/>
        <v>高级神器3配件1</v>
      </c>
      <c r="AO991" s="15">
        <f>INDEX(芦花古楼!$BX$19:$BX$58,神器!AM991)</f>
        <v>10</v>
      </c>
      <c r="AP991" s="15" t="s">
        <v>88</v>
      </c>
      <c r="AQ991" s="15">
        <f t="shared" si="106"/>
        <v>2180</v>
      </c>
      <c r="AR991" s="15" t="s">
        <v>654</v>
      </c>
      <c r="AS991" s="15">
        <f t="shared" si="107"/>
        <v>46</v>
      </c>
    </row>
    <row r="992" spans="35:45" ht="16.5" x14ac:dyDescent="0.2">
      <c r="AI992" s="60">
        <v>979</v>
      </c>
      <c r="AJ992" s="15">
        <f t="shared" si="102"/>
        <v>1606027</v>
      </c>
      <c r="AK992" s="15" t="str">
        <f t="shared" si="103"/>
        <v>高级神器3配件1-毁灭毒素Lvs19</v>
      </c>
      <c r="AL992" s="60" t="s">
        <v>645</v>
      </c>
      <c r="AM992" s="15">
        <f t="shared" si="104"/>
        <v>19</v>
      </c>
      <c r="AN992" s="15" t="str">
        <f t="shared" si="105"/>
        <v>高级神器3配件1</v>
      </c>
      <c r="AO992" s="15">
        <f>INDEX(芦花古楼!$BX$19:$BX$58,神器!AM992)</f>
        <v>10</v>
      </c>
      <c r="AP992" s="15" t="s">
        <v>88</v>
      </c>
      <c r="AQ992" s="15">
        <f t="shared" si="106"/>
        <v>2350</v>
      </c>
      <c r="AR992" s="15" t="s">
        <v>654</v>
      </c>
      <c r="AS992" s="15">
        <f t="shared" si="107"/>
        <v>49</v>
      </c>
    </row>
    <row r="993" spans="35:45" ht="16.5" x14ac:dyDescent="0.2">
      <c r="AI993" s="60">
        <v>980</v>
      </c>
      <c r="AJ993" s="15">
        <f t="shared" si="102"/>
        <v>1606027</v>
      </c>
      <c r="AK993" s="15" t="str">
        <f t="shared" si="103"/>
        <v>高级神器3配件1-毁灭毒素Lvs20</v>
      </c>
      <c r="AL993" s="60" t="s">
        <v>645</v>
      </c>
      <c r="AM993" s="15">
        <f t="shared" si="104"/>
        <v>20</v>
      </c>
      <c r="AN993" s="15" t="str">
        <f t="shared" si="105"/>
        <v>高级神器3配件1</v>
      </c>
      <c r="AO993" s="15">
        <f>INDEX(芦花古楼!$BX$19:$BX$58,神器!AM993)</f>
        <v>10</v>
      </c>
      <c r="AP993" s="15" t="s">
        <v>88</v>
      </c>
      <c r="AQ993" s="15">
        <f t="shared" si="106"/>
        <v>2685</v>
      </c>
      <c r="AR993" s="15" t="s">
        <v>654</v>
      </c>
      <c r="AS993" s="15">
        <f t="shared" si="107"/>
        <v>53</v>
      </c>
    </row>
    <row r="994" spans="35:45" ht="16.5" x14ac:dyDescent="0.2">
      <c r="AI994" s="60">
        <v>981</v>
      </c>
      <c r="AJ994" s="15">
        <f t="shared" si="102"/>
        <v>1606027</v>
      </c>
      <c r="AK994" s="15" t="str">
        <f t="shared" si="103"/>
        <v>高级神器3配件1-毁灭毒素Lvs21</v>
      </c>
      <c r="AL994" s="60" t="s">
        <v>645</v>
      </c>
      <c r="AM994" s="15">
        <f t="shared" si="104"/>
        <v>21</v>
      </c>
      <c r="AN994" s="15" t="str">
        <f t="shared" si="105"/>
        <v>高级神器3配件1</v>
      </c>
      <c r="AO994" s="15">
        <f>INDEX(芦花古楼!$BX$19:$BX$58,神器!AM994)</f>
        <v>15</v>
      </c>
      <c r="AP994" s="15" t="s">
        <v>88</v>
      </c>
      <c r="AQ994" s="15">
        <f t="shared" si="106"/>
        <v>2965</v>
      </c>
      <c r="AR994" s="15" t="s">
        <v>654</v>
      </c>
      <c r="AS994" s="15">
        <f t="shared" si="107"/>
        <v>57</v>
      </c>
    </row>
    <row r="995" spans="35:45" ht="16.5" x14ac:dyDescent="0.2">
      <c r="AI995" s="60">
        <v>982</v>
      </c>
      <c r="AJ995" s="15">
        <f t="shared" si="102"/>
        <v>1606027</v>
      </c>
      <c r="AK995" s="15" t="str">
        <f t="shared" si="103"/>
        <v>高级神器3配件1-毁灭毒素Lvs22</v>
      </c>
      <c r="AL995" s="60" t="s">
        <v>645</v>
      </c>
      <c r="AM995" s="15">
        <f t="shared" si="104"/>
        <v>22</v>
      </c>
      <c r="AN995" s="15" t="str">
        <f t="shared" si="105"/>
        <v>高级神器3配件1</v>
      </c>
      <c r="AO995" s="15">
        <f>INDEX(芦花古楼!$BX$19:$BX$58,神器!AM995)</f>
        <v>15</v>
      </c>
      <c r="AP995" s="15" t="s">
        <v>88</v>
      </c>
      <c r="AQ995" s="15">
        <f t="shared" si="106"/>
        <v>3115</v>
      </c>
      <c r="AR995" s="15" t="s">
        <v>654</v>
      </c>
      <c r="AS995" s="15">
        <f t="shared" si="107"/>
        <v>61</v>
      </c>
    </row>
    <row r="996" spans="35:45" ht="16.5" x14ac:dyDescent="0.2">
      <c r="AI996" s="60">
        <v>983</v>
      </c>
      <c r="AJ996" s="15">
        <f t="shared" si="102"/>
        <v>1606027</v>
      </c>
      <c r="AK996" s="15" t="str">
        <f t="shared" si="103"/>
        <v>高级神器3配件1-毁灭毒素Lvs23</v>
      </c>
      <c r="AL996" s="60" t="s">
        <v>645</v>
      </c>
      <c r="AM996" s="15">
        <f t="shared" si="104"/>
        <v>23</v>
      </c>
      <c r="AN996" s="15" t="str">
        <f t="shared" si="105"/>
        <v>高级神器3配件1</v>
      </c>
      <c r="AO996" s="15">
        <f>INDEX(芦花古楼!$BX$19:$BX$58,神器!AM996)</f>
        <v>15</v>
      </c>
      <c r="AP996" s="15" t="s">
        <v>88</v>
      </c>
      <c r="AQ996" s="15">
        <f t="shared" si="106"/>
        <v>3265</v>
      </c>
      <c r="AR996" s="15" t="s">
        <v>654</v>
      </c>
      <c r="AS996" s="15">
        <f t="shared" si="107"/>
        <v>66</v>
      </c>
    </row>
    <row r="997" spans="35:45" ht="16.5" x14ac:dyDescent="0.2">
      <c r="AI997" s="60">
        <v>984</v>
      </c>
      <c r="AJ997" s="15">
        <f t="shared" si="102"/>
        <v>1606027</v>
      </c>
      <c r="AK997" s="15" t="str">
        <f t="shared" si="103"/>
        <v>高级神器3配件1-毁灭毒素Lvs24</v>
      </c>
      <c r="AL997" s="60" t="s">
        <v>645</v>
      </c>
      <c r="AM997" s="15">
        <f t="shared" si="104"/>
        <v>24</v>
      </c>
      <c r="AN997" s="15" t="str">
        <f t="shared" si="105"/>
        <v>高级神器3配件1</v>
      </c>
      <c r="AO997" s="15">
        <f>INDEX(芦花古楼!$BX$19:$BX$58,神器!AM997)</f>
        <v>15</v>
      </c>
      <c r="AP997" s="15" t="s">
        <v>88</v>
      </c>
      <c r="AQ997" s="15">
        <f t="shared" si="106"/>
        <v>3410</v>
      </c>
      <c r="AR997" s="15" t="s">
        <v>654</v>
      </c>
      <c r="AS997" s="15">
        <f t="shared" si="107"/>
        <v>71</v>
      </c>
    </row>
    <row r="998" spans="35:45" ht="16.5" x14ac:dyDescent="0.2">
      <c r="AI998" s="60">
        <v>985</v>
      </c>
      <c r="AJ998" s="15">
        <f t="shared" si="102"/>
        <v>1606027</v>
      </c>
      <c r="AK998" s="15" t="str">
        <f t="shared" si="103"/>
        <v>高级神器3配件1-毁灭毒素Lvs25</v>
      </c>
      <c r="AL998" s="60" t="s">
        <v>645</v>
      </c>
      <c r="AM998" s="15">
        <f t="shared" si="104"/>
        <v>25</v>
      </c>
      <c r="AN998" s="15" t="str">
        <f t="shared" si="105"/>
        <v>高级神器3配件1</v>
      </c>
      <c r="AO998" s="15">
        <f>INDEX(芦花古楼!$BX$19:$BX$58,神器!AM998)</f>
        <v>15</v>
      </c>
      <c r="AP998" s="15" t="s">
        <v>88</v>
      </c>
      <c r="AQ998" s="15">
        <f t="shared" si="106"/>
        <v>3560</v>
      </c>
      <c r="AR998" s="15" t="s">
        <v>654</v>
      </c>
      <c r="AS998" s="15">
        <f t="shared" si="107"/>
        <v>75</v>
      </c>
    </row>
    <row r="999" spans="35:45" ht="16.5" x14ac:dyDescent="0.2">
      <c r="AI999" s="60">
        <v>986</v>
      </c>
      <c r="AJ999" s="15">
        <f t="shared" si="102"/>
        <v>1606027</v>
      </c>
      <c r="AK999" s="15" t="str">
        <f t="shared" si="103"/>
        <v>高级神器3配件1-毁灭毒素Lvs26</v>
      </c>
      <c r="AL999" s="60" t="s">
        <v>645</v>
      </c>
      <c r="AM999" s="15">
        <f t="shared" si="104"/>
        <v>26</v>
      </c>
      <c r="AN999" s="15" t="str">
        <f t="shared" si="105"/>
        <v>高级神器3配件1</v>
      </c>
      <c r="AO999" s="15">
        <f>INDEX(芦花古楼!$BX$19:$BX$58,神器!AM999)</f>
        <v>25</v>
      </c>
      <c r="AP999" s="15" t="s">
        <v>88</v>
      </c>
      <c r="AQ999" s="15">
        <f t="shared" si="106"/>
        <v>3710</v>
      </c>
      <c r="AR999" s="15" t="s">
        <v>654</v>
      </c>
      <c r="AS999" s="15">
        <f t="shared" si="107"/>
        <v>81</v>
      </c>
    </row>
    <row r="1000" spans="35:45" ht="16.5" x14ac:dyDescent="0.2">
      <c r="AI1000" s="60">
        <v>987</v>
      </c>
      <c r="AJ1000" s="15">
        <f t="shared" si="102"/>
        <v>1606027</v>
      </c>
      <c r="AK1000" s="15" t="str">
        <f t="shared" si="103"/>
        <v>高级神器3配件1-毁灭毒素Lvs27</v>
      </c>
      <c r="AL1000" s="60" t="s">
        <v>645</v>
      </c>
      <c r="AM1000" s="15">
        <f t="shared" si="104"/>
        <v>27</v>
      </c>
      <c r="AN1000" s="15" t="str">
        <f t="shared" si="105"/>
        <v>高级神器3配件1</v>
      </c>
      <c r="AO1000" s="15">
        <f>INDEX(芦花古楼!$BX$19:$BX$58,神器!AM1000)</f>
        <v>25</v>
      </c>
      <c r="AP1000" s="15" t="s">
        <v>88</v>
      </c>
      <c r="AQ1000" s="15">
        <f t="shared" si="106"/>
        <v>3855</v>
      </c>
      <c r="AR1000" s="15" t="s">
        <v>654</v>
      </c>
      <c r="AS1000" s="15">
        <f t="shared" si="107"/>
        <v>86</v>
      </c>
    </row>
    <row r="1001" spans="35:45" ht="16.5" x14ac:dyDescent="0.2">
      <c r="AI1001" s="60">
        <v>988</v>
      </c>
      <c r="AJ1001" s="15">
        <f t="shared" si="102"/>
        <v>1606027</v>
      </c>
      <c r="AK1001" s="15" t="str">
        <f t="shared" si="103"/>
        <v>高级神器3配件1-毁灭毒素Lvs28</v>
      </c>
      <c r="AL1001" s="60" t="s">
        <v>645</v>
      </c>
      <c r="AM1001" s="15">
        <f t="shared" si="104"/>
        <v>28</v>
      </c>
      <c r="AN1001" s="15" t="str">
        <f t="shared" si="105"/>
        <v>高级神器3配件1</v>
      </c>
      <c r="AO1001" s="15">
        <f>INDEX(芦花古楼!$BX$19:$BX$58,神器!AM1001)</f>
        <v>25</v>
      </c>
      <c r="AP1001" s="15" t="s">
        <v>88</v>
      </c>
      <c r="AQ1001" s="15">
        <f t="shared" si="106"/>
        <v>4005</v>
      </c>
      <c r="AR1001" s="15" t="s">
        <v>654</v>
      </c>
      <c r="AS1001" s="15">
        <f t="shared" si="107"/>
        <v>92</v>
      </c>
    </row>
    <row r="1002" spans="35:45" ht="16.5" x14ac:dyDescent="0.2">
      <c r="AI1002" s="60">
        <v>989</v>
      </c>
      <c r="AJ1002" s="15">
        <f t="shared" si="102"/>
        <v>1606027</v>
      </c>
      <c r="AK1002" s="15" t="str">
        <f t="shared" si="103"/>
        <v>高级神器3配件1-毁灭毒素Lvs29</v>
      </c>
      <c r="AL1002" s="60" t="s">
        <v>645</v>
      </c>
      <c r="AM1002" s="15">
        <f t="shared" si="104"/>
        <v>29</v>
      </c>
      <c r="AN1002" s="15" t="str">
        <f t="shared" si="105"/>
        <v>高级神器3配件1</v>
      </c>
      <c r="AO1002" s="15">
        <f>INDEX(芦花古楼!$BX$19:$BX$58,神器!AM1002)</f>
        <v>25</v>
      </c>
      <c r="AP1002" s="15" t="s">
        <v>88</v>
      </c>
      <c r="AQ1002" s="15">
        <f t="shared" si="106"/>
        <v>4155</v>
      </c>
      <c r="AR1002" s="15" t="s">
        <v>654</v>
      </c>
      <c r="AS1002" s="15">
        <f t="shared" si="107"/>
        <v>97</v>
      </c>
    </row>
    <row r="1003" spans="35:45" ht="16.5" x14ac:dyDescent="0.2">
      <c r="AI1003" s="60">
        <v>990</v>
      </c>
      <c r="AJ1003" s="15">
        <f t="shared" si="102"/>
        <v>1606027</v>
      </c>
      <c r="AK1003" s="15" t="str">
        <f t="shared" si="103"/>
        <v>高级神器3配件1-毁灭毒素Lvs30</v>
      </c>
      <c r="AL1003" s="60" t="s">
        <v>645</v>
      </c>
      <c r="AM1003" s="15">
        <f t="shared" si="104"/>
        <v>30</v>
      </c>
      <c r="AN1003" s="15" t="str">
        <f t="shared" si="105"/>
        <v>高级神器3配件1</v>
      </c>
      <c r="AO1003" s="15">
        <f>INDEX(芦花古楼!$BX$19:$BX$58,神器!AM1003)</f>
        <v>25</v>
      </c>
      <c r="AP1003" s="15" t="s">
        <v>88</v>
      </c>
      <c r="AQ1003" s="15">
        <f t="shared" si="106"/>
        <v>4450</v>
      </c>
      <c r="AR1003" s="15" t="s">
        <v>654</v>
      </c>
      <c r="AS1003" s="15">
        <f t="shared" si="107"/>
        <v>104</v>
      </c>
    </row>
    <row r="1004" spans="35:45" ht="16.5" x14ac:dyDescent="0.2">
      <c r="AI1004" s="60">
        <v>991</v>
      </c>
      <c r="AJ1004" s="15">
        <f t="shared" si="102"/>
        <v>1606027</v>
      </c>
      <c r="AK1004" s="15" t="str">
        <f t="shared" si="103"/>
        <v>高级神器3配件1-毁灭毒素Lvs31</v>
      </c>
      <c r="AL1004" s="60" t="s">
        <v>645</v>
      </c>
      <c r="AM1004" s="15">
        <f t="shared" si="104"/>
        <v>31</v>
      </c>
      <c r="AN1004" s="15" t="str">
        <f t="shared" si="105"/>
        <v>高级神器3配件1</v>
      </c>
      <c r="AO1004" s="15">
        <f>INDEX(芦花古楼!$BX$19:$BX$58,神器!AM1004)</f>
        <v>30</v>
      </c>
      <c r="AP1004" s="15" t="s">
        <v>88</v>
      </c>
      <c r="AQ1004" s="15">
        <f t="shared" si="106"/>
        <v>4340</v>
      </c>
      <c r="AR1004" s="15" t="s">
        <v>654</v>
      </c>
      <c r="AS1004" s="15">
        <f t="shared" si="107"/>
        <v>110</v>
      </c>
    </row>
    <row r="1005" spans="35:45" ht="16.5" x14ac:dyDescent="0.2">
      <c r="AI1005" s="60">
        <v>992</v>
      </c>
      <c r="AJ1005" s="15">
        <f t="shared" si="102"/>
        <v>1606027</v>
      </c>
      <c r="AK1005" s="15" t="str">
        <f t="shared" si="103"/>
        <v>高级神器3配件1-毁灭毒素Lvs32</v>
      </c>
      <c r="AL1005" s="60" t="s">
        <v>645</v>
      </c>
      <c r="AM1005" s="15">
        <f t="shared" si="104"/>
        <v>32</v>
      </c>
      <c r="AN1005" s="15" t="str">
        <f t="shared" si="105"/>
        <v>高级神器3配件1</v>
      </c>
      <c r="AO1005" s="15">
        <f>INDEX(芦花古楼!$BX$19:$BX$58,神器!AM1005)</f>
        <v>30</v>
      </c>
      <c r="AP1005" s="15" t="s">
        <v>88</v>
      </c>
      <c r="AQ1005" s="15">
        <f t="shared" si="106"/>
        <v>6510</v>
      </c>
      <c r="AR1005" s="15" t="s">
        <v>654</v>
      </c>
      <c r="AS1005" s="15">
        <f t="shared" si="107"/>
        <v>117</v>
      </c>
    </row>
    <row r="1006" spans="35:45" ht="16.5" x14ac:dyDescent="0.2">
      <c r="AI1006" s="60">
        <v>993</v>
      </c>
      <c r="AJ1006" s="15">
        <f t="shared" si="102"/>
        <v>1606027</v>
      </c>
      <c r="AK1006" s="15" t="str">
        <f t="shared" si="103"/>
        <v>高级神器3配件1-毁灭毒素Lvs33</v>
      </c>
      <c r="AL1006" s="60" t="s">
        <v>645</v>
      </c>
      <c r="AM1006" s="15">
        <f t="shared" si="104"/>
        <v>33</v>
      </c>
      <c r="AN1006" s="15" t="str">
        <f t="shared" si="105"/>
        <v>高级神器3配件1</v>
      </c>
      <c r="AO1006" s="15">
        <f>INDEX(芦花古楼!$BX$19:$BX$58,神器!AM1006)</f>
        <v>30</v>
      </c>
      <c r="AP1006" s="15" t="s">
        <v>88</v>
      </c>
      <c r="AQ1006" s="15">
        <f t="shared" si="106"/>
        <v>8680</v>
      </c>
      <c r="AR1006" s="15" t="s">
        <v>654</v>
      </c>
      <c r="AS1006" s="15">
        <f t="shared" si="107"/>
        <v>124</v>
      </c>
    </row>
    <row r="1007" spans="35:45" ht="16.5" x14ac:dyDescent="0.2">
      <c r="AI1007" s="60">
        <v>994</v>
      </c>
      <c r="AJ1007" s="15">
        <f t="shared" si="102"/>
        <v>1606027</v>
      </c>
      <c r="AK1007" s="15" t="str">
        <f t="shared" si="103"/>
        <v>高级神器3配件1-毁灭毒素Lvs34</v>
      </c>
      <c r="AL1007" s="60" t="s">
        <v>645</v>
      </c>
      <c r="AM1007" s="15">
        <f t="shared" si="104"/>
        <v>34</v>
      </c>
      <c r="AN1007" s="15" t="str">
        <f t="shared" si="105"/>
        <v>高级神器3配件1</v>
      </c>
      <c r="AO1007" s="15">
        <f>INDEX(芦花古楼!$BX$19:$BX$58,神器!AM1007)</f>
        <v>30</v>
      </c>
      <c r="AP1007" s="15" t="s">
        <v>88</v>
      </c>
      <c r="AQ1007" s="15">
        <f t="shared" si="106"/>
        <v>10850</v>
      </c>
      <c r="AR1007" s="15" t="s">
        <v>654</v>
      </c>
      <c r="AS1007" s="15">
        <f t="shared" si="107"/>
        <v>132</v>
      </c>
    </row>
    <row r="1008" spans="35:45" ht="16.5" x14ac:dyDescent="0.2">
      <c r="AI1008" s="60">
        <v>995</v>
      </c>
      <c r="AJ1008" s="15">
        <f t="shared" si="102"/>
        <v>1606027</v>
      </c>
      <c r="AK1008" s="15" t="str">
        <f t="shared" si="103"/>
        <v>高级神器3配件1-毁灭毒素Lvs35</v>
      </c>
      <c r="AL1008" s="60" t="s">
        <v>645</v>
      </c>
      <c r="AM1008" s="15">
        <f t="shared" si="104"/>
        <v>35</v>
      </c>
      <c r="AN1008" s="15" t="str">
        <f t="shared" si="105"/>
        <v>高级神器3配件1</v>
      </c>
      <c r="AO1008" s="15">
        <f>INDEX(芦花古楼!$BX$19:$BX$58,神器!AM1008)</f>
        <v>30</v>
      </c>
      <c r="AP1008" s="15" t="s">
        <v>88</v>
      </c>
      <c r="AQ1008" s="15">
        <f t="shared" si="106"/>
        <v>13020</v>
      </c>
      <c r="AR1008" s="15" t="s">
        <v>654</v>
      </c>
      <c r="AS1008" s="15">
        <f t="shared" si="107"/>
        <v>140</v>
      </c>
    </row>
    <row r="1009" spans="35:45" ht="16.5" x14ac:dyDescent="0.2">
      <c r="AI1009" s="60">
        <v>996</v>
      </c>
      <c r="AJ1009" s="15">
        <f t="shared" si="102"/>
        <v>1606027</v>
      </c>
      <c r="AK1009" s="15" t="str">
        <f t="shared" si="103"/>
        <v>高级神器3配件1-毁灭毒素Lvs36</v>
      </c>
      <c r="AL1009" s="60" t="s">
        <v>645</v>
      </c>
      <c r="AM1009" s="15">
        <f t="shared" si="104"/>
        <v>36</v>
      </c>
      <c r="AN1009" s="15" t="str">
        <f t="shared" si="105"/>
        <v>高级神器3配件1</v>
      </c>
      <c r="AO1009" s="15">
        <f>INDEX(芦花古楼!$BX$19:$BX$58,神器!AM1009)</f>
        <v>40</v>
      </c>
      <c r="AP1009" s="15" t="s">
        <v>88</v>
      </c>
      <c r="AQ1009" s="15">
        <f t="shared" si="106"/>
        <v>15190</v>
      </c>
      <c r="AR1009" s="15" t="s">
        <v>654</v>
      </c>
      <c r="AS1009" s="15">
        <f t="shared" si="107"/>
        <v>148</v>
      </c>
    </row>
    <row r="1010" spans="35:45" ht="16.5" x14ac:dyDescent="0.2">
      <c r="AI1010" s="60">
        <v>997</v>
      </c>
      <c r="AJ1010" s="15">
        <f t="shared" si="102"/>
        <v>1606027</v>
      </c>
      <c r="AK1010" s="15" t="str">
        <f t="shared" si="103"/>
        <v>高级神器3配件1-毁灭毒素Lvs37</v>
      </c>
      <c r="AL1010" s="60" t="s">
        <v>645</v>
      </c>
      <c r="AM1010" s="15">
        <f t="shared" si="104"/>
        <v>37</v>
      </c>
      <c r="AN1010" s="15" t="str">
        <f t="shared" si="105"/>
        <v>高级神器3配件1</v>
      </c>
      <c r="AO1010" s="15">
        <f>INDEX(芦花古楼!$BX$19:$BX$58,神器!AM1010)</f>
        <v>40</v>
      </c>
      <c r="AP1010" s="15" t="s">
        <v>88</v>
      </c>
      <c r="AQ1010" s="15">
        <f t="shared" si="106"/>
        <v>17360</v>
      </c>
      <c r="AR1010" s="15" t="s">
        <v>654</v>
      </c>
      <c r="AS1010" s="15">
        <f t="shared" si="107"/>
        <v>157</v>
      </c>
    </row>
    <row r="1011" spans="35:45" ht="16.5" x14ac:dyDescent="0.2">
      <c r="AI1011" s="60">
        <v>998</v>
      </c>
      <c r="AJ1011" s="15">
        <f t="shared" si="102"/>
        <v>1606027</v>
      </c>
      <c r="AK1011" s="15" t="str">
        <f t="shared" si="103"/>
        <v>高级神器3配件1-毁灭毒素Lvs38</v>
      </c>
      <c r="AL1011" s="60" t="s">
        <v>645</v>
      </c>
      <c r="AM1011" s="15">
        <f t="shared" si="104"/>
        <v>38</v>
      </c>
      <c r="AN1011" s="15" t="str">
        <f t="shared" si="105"/>
        <v>高级神器3配件1</v>
      </c>
      <c r="AO1011" s="15">
        <f>INDEX(芦花古楼!$BX$19:$BX$58,神器!AM1011)</f>
        <v>40</v>
      </c>
      <c r="AP1011" s="15" t="s">
        <v>88</v>
      </c>
      <c r="AQ1011" s="15">
        <f t="shared" si="106"/>
        <v>19530</v>
      </c>
      <c r="AR1011" s="15" t="s">
        <v>654</v>
      </c>
      <c r="AS1011" s="15">
        <f t="shared" si="107"/>
        <v>166</v>
      </c>
    </row>
    <row r="1012" spans="35:45" ht="16.5" x14ac:dyDescent="0.2">
      <c r="AI1012" s="60">
        <v>999</v>
      </c>
      <c r="AJ1012" s="15">
        <f t="shared" si="102"/>
        <v>1606027</v>
      </c>
      <c r="AK1012" s="15" t="str">
        <f t="shared" si="103"/>
        <v>高级神器3配件1-毁灭毒素Lvs39</v>
      </c>
      <c r="AL1012" s="60" t="s">
        <v>645</v>
      </c>
      <c r="AM1012" s="15">
        <f t="shared" si="104"/>
        <v>39</v>
      </c>
      <c r="AN1012" s="15" t="str">
        <f t="shared" si="105"/>
        <v>高级神器3配件1</v>
      </c>
      <c r="AO1012" s="15">
        <f>INDEX(芦花古楼!$BX$19:$BX$58,神器!AM1012)</f>
        <v>40</v>
      </c>
      <c r="AP1012" s="15" t="s">
        <v>88</v>
      </c>
      <c r="AQ1012" s="15">
        <f t="shared" si="106"/>
        <v>21700</v>
      </c>
      <c r="AR1012" s="15" t="s">
        <v>654</v>
      </c>
      <c r="AS1012" s="15">
        <f t="shared" si="107"/>
        <v>176</v>
      </c>
    </row>
    <row r="1013" spans="35:45" ht="16.5" x14ac:dyDescent="0.2">
      <c r="AI1013" s="60">
        <v>1000</v>
      </c>
      <c r="AJ1013" s="15">
        <f t="shared" si="102"/>
        <v>1606027</v>
      </c>
      <c r="AK1013" s="15" t="str">
        <f t="shared" si="103"/>
        <v>高级神器3配件1-毁灭毒素Lvs40</v>
      </c>
      <c r="AL1013" s="60" t="s">
        <v>645</v>
      </c>
      <c r="AM1013" s="15">
        <f t="shared" si="104"/>
        <v>40</v>
      </c>
      <c r="AN1013" s="15" t="str">
        <f t="shared" si="105"/>
        <v>高级神器3配件1</v>
      </c>
      <c r="AO1013" s="15">
        <f>INDEX(芦花古楼!$BX$19:$BX$58,神器!AM1013)</f>
        <v>40</v>
      </c>
      <c r="AP1013" s="15" t="s">
        <v>88</v>
      </c>
      <c r="AQ1013" s="15">
        <f t="shared" si="106"/>
        <v>26040</v>
      </c>
      <c r="AR1013" s="15" t="s">
        <v>654</v>
      </c>
      <c r="AS1013" s="15">
        <f t="shared" si="107"/>
        <v>186</v>
      </c>
    </row>
    <row r="1014" spans="35:45" ht="16.5" x14ac:dyDescent="0.2">
      <c r="AI1014" s="60">
        <v>1001</v>
      </c>
      <c r="AJ1014" s="15">
        <f t="shared" si="102"/>
        <v>1606028</v>
      </c>
      <c r="AK1014" s="15" t="str">
        <f t="shared" si="103"/>
        <v>高级神器3配件2-阿波普之鞘Lvs1</v>
      </c>
      <c r="AL1014" s="60" t="s">
        <v>645</v>
      </c>
      <c r="AM1014" s="15">
        <f t="shared" si="104"/>
        <v>1</v>
      </c>
      <c r="AN1014" s="15" t="str">
        <f t="shared" si="105"/>
        <v>高级神器3配件2</v>
      </c>
      <c r="AO1014" s="15">
        <f>INDEX(芦花古楼!$BX$19:$BX$58,神器!AM1014)</f>
        <v>1</v>
      </c>
      <c r="AP1014" s="15" t="s">
        <v>88</v>
      </c>
      <c r="AQ1014" s="15">
        <f t="shared" si="106"/>
        <v>200</v>
      </c>
      <c r="AR1014" s="15" t="s">
        <v>654</v>
      </c>
      <c r="AS1014" s="15">
        <f t="shared" si="107"/>
        <v>7</v>
      </c>
    </row>
    <row r="1015" spans="35:45" ht="16.5" x14ac:dyDescent="0.2">
      <c r="AI1015" s="60">
        <v>1002</v>
      </c>
      <c r="AJ1015" s="15">
        <f t="shared" si="102"/>
        <v>1606028</v>
      </c>
      <c r="AK1015" s="15" t="str">
        <f t="shared" si="103"/>
        <v>高级神器3配件2-阿波普之鞘Lvs2</v>
      </c>
      <c r="AL1015" s="60" t="s">
        <v>645</v>
      </c>
      <c r="AM1015" s="15">
        <f t="shared" si="104"/>
        <v>2</v>
      </c>
      <c r="AN1015" s="15" t="str">
        <f t="shared" si="105"/>
        <v>高级神器3配件2</v>
      </c>
      <c r="AO1015" s="15">
        <f>INDEX(芦花古楼!$BX$19:$BX$58,神器!AM1015)</f>
        <v>1</v>
      </c>
      <c r="AP1015" s="15" t="s">
        <v>88</v>
      </c>
      <c r="AQ1015" s="15">
        <f t="shared" si="106"/>
        <v>300</v>
      </c>
      <c r="AR1015" s="15" t="s">
        <v>654</v>
      </c>
      <c r="AS1015" s="15">
        <f t="shared" si="107"/>
        <v>10</v>
      </c>
    </row>
    <row r="1016" spans="35:45" ht="16.5" x14ac:dyDescent="0.2">
      <c r="AI1016" s="60">
        <v>1003</v>
      </c>
      <c r="AJ1016" s="15">
        <f t="shared" si="102"/>
        <v>1606028</v>
      </c>
      <c r="AK1016" s="15" t="str">
        <f t="shared" si="103"/>
        <v>高级神器3配件2-阿波普之鞘Lvs3</v>
      </c>
      <c r="AL1016" s="60" t="s">
        <v>645</v>
      </c>
      <c r="AM1016" s="15">
        <f t="shared" si="104"/>
        <v>3</v>
      </c>
      <c r="AN1016" s="15" t="str">
        <f t="shared" si="105"/>
        <v>高级神器3配件2</v>
      </c>
      <c r="AO1016" s="15">
        <f>INDEX(芦花古楼!$BX$19:$BX$58,神器!AM1016)</f>
        <v>2</v>
      </c>
      <c r="AP1016" s="15" t="s">
        <v>88</v>
      </c>
      <c r="AQ1016" s="15">
        <f t="shared" si="106"/>
        <v>400</v>
      </c>
      <c r="AR1016" s="15" t="s">
        <v>654</v>
      </c>
      <c r="AS1016" s="15">
        <f t="shared" si="107"/>
        <v>12</v>
      </c>
    </row>
    <row r="1017" spans="35:45" ht="16.5" x14ac:dyDescent="0.2">
      <c r="AI1017" s="60">
        <v>1004</v>
      </c>
      <c r="AJ1017" s="15">
        <f t="shared" si="102"/>
        <v>1606028</v>
      </c>
      <c r="AK1017" s="15" t="str">
        <f t="shared" si="103"/>
        <v>高级神器3配件2-阿波普之鞘Lvs4</v>
      </c>
      <c r="AL1017" s="60" t="s">
        <v>645</v>
      </c>
      <c r="AM1017" s="15">
        <f t="shared" si="104"/>
        <v>4</v>
      </c>
      <c r="AN1017" s="15" t="str">
        <f t="shared" si="105"/>
        <v>高级神器3配件2</v>
      </c>
      <c r="AO1017" s="15">
        <f>INDEX(芦花古楼!$BX$19:$BX$58,神器!AM1017)</f>
        <v>3</v>
      </c>
      <c r="AP1017" s="15" t="s">
        <v>88</v>
      </c>
      <c r="AQ1017" s="15">
        <f t="shared" si="106"/>
        <v>500</v>
      </c>
      <c r="AR1017" s="15" t="s">
        <v>654</v>
      </c>
      <c r="AS1017" s="15">
        <f t="shared" si="107"/>
        <v>15</v>
      </c>
    </row>
    <row r="1018" spans="35:45" ht="16.5" x14ac:dyDescent="0.2">
      <c r="AI1018" s="60">
        <v>1005</v>
      </c>
      <c r="AJ1018" s="15">
        <f t="shared" si="102"/>
        <v>1606028</v>
      </c>
      <c r="AK1018" s="15" t="str">
        <f t="shared" si="103"/>
        <v>高级神器3配件2-阿波普之鞘Lvs5</v>
      </c>
      <c r="AL1018" s="60" t="s">
        <v>645</v>
      </c>
      <c r="AM1018" s="15">
        <f t="shared" si="104"/>
        <v>5</v>
      </c>
      <c r="AN1018" s="15" t="str">
        <f t="shared" si="105"/>
        <v>高级神器3配件2</v>
      </c>
      <c r="AO1018" s="15">
        <f>INDEX(芦花古楼!$BX$19:$BX$58,神器!AM1018)</f>
        <v>3</v>
      </c>
      <c r="AP1018" s="15" t="s">
        <v>88</v>
      </c>
      <c r="AQ1018" s="15">
        <f t="shared" si="106"/>
        <v>600</v>
      </c>
      <c r="AR1018" s="15" t="s">
        <v>654</v>
      </c>
      <c r="AS1018" s="15">
        <f t="shared" si="107"/>
        <v>18</v>
      </c>
    </row>
    <row r="1019" spans="35:45" ht="16.5" x14ac:dyDescent="0.2">
      <c r="AI1019" s="60">
        <v>1006</v>
      </c>
      <c r="AJ1019" s="15">
        <f t="shared" si="102"/>
        <v>1606028</v>
      </c>
      <c r="AK1019" s="15" t="str">
        <f t="shared" si="103"/>
        <v>高级神器3配件2-阿波普之鞘Lvs6</v>
      </c>
      <c r="AL1019" s="60" t="s">
        <v>645</v>
      </c>
      <c r="AM1019" s="15">
        <f t="shared" si="104"/>
        <v>6</v>
      </c>
      <c r="AN1019" s="15" t="str">
        <f t="shared" si="105"/>
        <v>高级神器3配件2</v>
      </c>
      <c r="AO1019" s="15">
        <f>INDEX(芦花古楼!$BX$19:$BX$58,神器!AM1019)</f>
        <v>5</v>
      </c>
      <c r="AP1019" s="15" t="s">
        <v>88</v>
      </c>
      <c r="AQ1019" s="15">
        <f t="shared" si="106"/>
        <v>700</v>
      </c>
      <c r="AR1019" s="15" t="s">
        <v>654</v>
      </c>
      <c r="AS1019" s="15">
        <f t="shared" si="107"/>
        <v>21</v>
      </c>
    </row>
    <row r="1020" spans="35:45" ht="16.5" x14ac:dyDescent="0.2">
      <c r="AI1020" s="60">
        <v>1007</v>
      </c>
      <c r="AJ1020" s="15">
        <f t="shared" si="102"/>
        <v>1606028</v>
      </c>
      <c r="AK1020" s="15" t="str">
        <f t="shared" si="103"/>
        <v>高级神器3配件2-阿波普之鞘Lvs7</v>
      </c>
      <c r="AL1020" s="60" t="s">
        <v>645</v>
      </c>
      <c r="AM1020" s="15">
        <f t="shared" si="104"/>
        <v>7</v>
      </c>
      <c r="AN1020" s="15" t="str">
        <f t="shared" si="105"/>
        <v>高级神器3配件2</v>
      </c>
      <c r="AO1020" s="15">
        <f>INDEX(芦花古楼!$BX$19:$BX$58,神器!AM1020)</f>
        <v>5</v>
      </c>
      <c r="AP1020" s="15" t="s">
        <v>88</v>
      </c>
      <c r="AQ1020" s="15">
        <f t="shared" si="106"/>
        <v>800</v>
      </c>
      <c r="AR1020" s="15" t="s">
        <v>654</v>
      </c>
      <c r="AS1020" s="15">
        <f t="shared" si="107"/>
        <v>24</v>
      </c>
    </row>
    <row r="1021" spans="35:45" ht="16.5" x14ac:dyDescent="0.2">
      <c r="AI1021" s="60">
        <v>1008</v>
      </c>
      <c r="AJ1021" s="15">
        <f t="shared" si="102"/>
        <v>1606028</v>
      </c>
      <c r="AK1021" s="15" t="str">
        <f t="shared" si="103"/>
        <v>高级神器3配件2-阿波普之鞘Lvs8</v>
      </c>
      <c r="AL1021" s="60" t="s">
        <v>645</v>
      </c>
      <c r="AM1021" s="15">
        <f t="shared" si="104"/>
        <v>8</v>
      </c>
      <c r="AN1021" s="15" t="str">
        <f t="shared" si="105"/>
        <v>高级神器3配件2</v>
      </c>
      <c r="AO1021" s="15">
        <f>INDEX(芦花古楼!$BX$19:$BX$58,神器!AM1021)</f>
        <v>5</v>
      </c>
      <c r="AP1021" s="15" t="s">
        <v>88</v>
      </c>
      <c r="AQ1021" s="15">
        <f t="shared" si="106"/>
        <v>900</v>
      </c>
      <c r="AR1021" s="15" t="s">
        <v>654</v>
      </c>
      <c r="AS1021" s="15">
        <f t="shared" si="107"/>
        <v>27</v>
      </c>
    </row>
    <row r="1022" spans="35:45" ht="16.5" x14ac:dyDescent="0.2">
      <c r="AI1022" s="60">
        <v>1009</v>
      </c>
      <c r="AJ1022" s="15">
        <f t="shared" si="102"/>
        <v>1606028</v>
      </c>
      <c r="AK1022" s="15" t="str">
        <f t="shared" si="103"/>
        <v>高级神器3配件2-阿波普之鞘Lvs9</v>
      </c>
      <c r="AL1022" s="60" t="s">
        <v>645</v>
      </c>
      <c r="AM1022" s="15">
        <f t="shared" si="104"/>
        <v>9</v>
      </c>
      <c r="AN1022" s="15" t="str">
        <f t="shared" si="105"/>
        <v>高级神器3配件2</v>
      </c>
      <c r="AO1022" s="15">
        <f>INDEX(芦花古楼!$BX$19:$BX$58,神器!AM1022)</f>
        <v>5</v>
      </c>
      <c r="AP1022" s="15" t="s">
        <v>88</v>
      </c>
      <c r="AQ1022" s="15">
        <f t="shared" si="106"/>
        <v>1000</v>
      </c>
      <c r="AR1022" s="15" t="s">
        <v>654</v>
      </c>
      <c r="AS1022" s="15">
        <f t="shared" si="107"/>
        <v>30</v>
      </c>
    </row>
    <row r="1023" spans="35:45" ht="16.5" x14ac:dyDescent="0.2">
      <c r="AI1023" s="60">
        <v>1010</v>
      </c>
      <c r="AJ1023" s="15">
        <f t="shared" si="102"/>
        <v>1606028</v>
      </c>
      <c r="AK1023" s="15" t="str">
        <f t="shared" si="103"/>
        <v>高级神器3配件2-阿波普之鞘Lvs10</v>
      </c>
      <c r="AL1023" s="60" t="s">
        <v>645</v>
      </c>
      <c r="AM1023" s="15">
        <f t="shared" si="104"/>
        <v>10</v>
      </c>
      <c r="AN1023" s="15" t="str">
        <f t="shared" si="105"/>
        <v>高级神器3配件2</v>
      </c>
      <c r="AO1023" s="15">
        <f>INDEX(芦花古楼!$BX$19:$BX$58,神器!AM1023)</f>
        <v>7</v>
      </c>
      <c r="AP1023" s="15" t="s">
        <v>88</v>
      </c>
      <c r="AQ1023" s="15">
        <f t="shared" si="106"/>
        <v>1205</v>
      </c>
      <c r="AR1023" s="15" t="s">
        <v>654</v>
      </c>
      <c r="AS1023" s="15">
        <f t="shared" si="107"/>
        <v>34</v>
      </c>
    </row>
    <row r="1024" spans="35:45" ht="16.5" x14ac:dyDescent="0.2">
      <c r="AI1024" s="60">
        <v>1011</v>
      </c>
      <c r="AJ1024" s="15">
        <f t="shared" si="102"/>
        <v>1606028</v>
      </c>
      <c r="AK1024" s="15" t="str">
        <f t="shared" si="103"/>
        <v>高级神器3配件2-阿波普之鞘Lvs11</v>
      </c>
      <c r="AL1024" s="60" t="s">
        <v>645</v>
      </c>
      <c r="AM1024" s="15">
        <f t="shared" si="104"/>
        <v>11</v>
      </c>
      <c r="AN1024" s="15" t="str">
        <f t="shared" si="105"/>
        <v>高级神器3配件2</v>
      </c>
      <c r="AO1024" s="15">
        <f>INDEX(芦花古楼!$BX$19:$BX$58,神器!AM1024)</f>
        <v>7</v>
      </c>
      <c r="AP1024" s="15" t="s">
        <v>88</v>
      </c>
      <c r="AQ1024" s="15">
        <f t="shared" si="106"/>
        <v>1510</v>
      </c>
      <c r="AR1024" s="15" t="s">
        <v>654</v>
      </c>
      <c r="AS1024" s="15">
        <f t="shared" si="107"/>
        <v>37</v>
      </c>
    </row>
    <row r="1025" spans="35:45" ht="16.5" x14ac:dyDescent="0.2">
      <c r="AI1025" s="60">
        <v>1012</v>
      </c>
      <c r="AJ1025" s="15">
        <f t="shared" si="102"/>
        <v>1606028</v>
      </c>
      <c r="AK1025" s="15" t="str">
        <f t="shared" si="103"/>
        <v>高级神器3配件2-阿波普之鞘Lvs12</v>
      </c>
      <c r="AL1025" s="60" t="s">
        <v>645</v>
      </c>
      <c r="AM1025" s="15">
        <f t="shared" si="104"/>
        <v>12</v>
      </c>
      <c r="AN1025" s="15" t="str">
        <f t="shared" si="105"/>
        <v>高级神器3配件2</v>
      </c>
      <c r="AO1025" s="15">
        <f>INDEX(芦花古楼!$BX$19:$BX$58,神器!AM1025)</f>
        <v>7</v>
      </c>
      <c r="AP1025" s="15" t="s">
        <v>88</v>
      </c>
      <c r="AQ1025" s="15">
        <f t="shared" si="106"/>
        <v>1760</v>
      </c>
      <c r="AR1025" s="15" t="s">
        <v>654</v>
      </c>
      <c r="AS1025" s="15">
        <f t="shared" si="107"/>
        <v>41</v>
      </c>
    </row>
    <row r="1026" spans="35:45" ht="16.5" x14ac:dyDescent="0.2">
      <c r="AI1026" s="60">
        <v>1013</v>
      </c>
      <c r="AJ1026" s="15">
        <f t="shared" si="102"/>
        <v>1606028</v>
      </c>
      <c r="AK1026" s="15" t="str">
        <f t="shared" si="103"/>
        <v>高级神器3配件2-阿波普之鞘Lvs13</v>
      </c>
      <c r="AL1026" s="60" t="s">
        <v>645</v>
      </c>
      <c r="AM1026" s="15">
        <f t="shared" si="104"/>
        <v>13</v>
      </c>
      <c r="AN1026" s="15" t="str">
        <f t="shared" si="105"/>
        <v>高级神器3配件2</v>
      </c>
      <c r="AO1026" s="15">
        <f>INDEX(芦花古楼!$BX$19:$BX$58,神器!AM1026)</f>
        <v>7</v>
      </c>
      <c r="AP1026" s="15" t="s">
        <v>88</v>
      </c>
      <c r="AQ1026" s="15">
        <f t="shared" si="106"/>
        <v>2015</v>
      </c>
      <c r="AR1026" s="15" t="s">
        <v>654</v>
      </c>
      <c r="AS1026" s="15">
        <f t="shared" si="107"/>
        <v>45</v>
      </c>
    </row>
    <row r="1027" spans="35:45" ht="16.5" x14ac:dyDescent="0.2">
      <c r="AI1027" s="60">
        <v>1014</v>
      </c>
      <c r="AJ1027" s="15">
        <f t="shared" si="102"/>
        <v>1606028</v>
      </c>
      <c r="AK1027" s="15" t="str">
        <f t="shared" si="103"/>
        <v>高级神器3配件2-阿波普之鞘Lvs14</v>
      </c>
      <c r="AL1027" s="60" t="s">
        <v>645</v>
      </c>
      <c r="AM1027" s="15">
        <f t="shared" si="104"/>
        <v>14</v>
      </c>
      <c r="AN1027" s="15" t="str">
        <f t="shared" si="105"/>
        <v>高级神器3配件2</v>
      </c>
      <c r="AO1027" s="15">
        <f>INDEX(芦花古楼!$BX$19:$BX$58,神器!AM1027)</f>
        <v>7</v>
      </c>
      <c r="AP1027" s="15" t="s">
        <v>88</v>
      </c>
      <c r="AQ1027" s="15">
        <f t="shared" si="106"/>
        <v>2265</v>
      </c>
      <c r="AR1027" s="15" t="s">
        <v>654</v>
      </c>
      <c r="AS1027" s="15">
        <f t="shared" si="107"/>
        <v>50</v>
      </c>
    </row>
    <row r="1028" spans="35:45" ht="16.5" x14ac:dyDescent="0.2">
      <c r="AI1028" s="60">
        <v>1015</v>
      </c>
      <c r="AJ1028" s="15">
        <f t="shared" si="102"/>
        <v>1606028</v>
      </c>
      <c r="AK1028" s="15" t="str">
        <f t="shared" si="103"/>
        <v>高级神器3配件2-阿波普之鞘Lvs15</v>
      </c>
      <c r="AL1028" s="60" t="s">
        <v>645</v>
      </c>
      <c r="AM1028" s="15">
        <f t="shared" si="104"/>
        <v>15</v>
      </c>
      <c r="AN1028" s="15" t="str">
        <f t="shared" si="105"/>
        <v>高级神器3配件2</v>
      </c>
      <c r="AO1028" s="15">
        <f>INDEX(芦花古楼!$BX$19:$BX$58,神器!AM1028)</f>
        <v>10</v>
      </c>
      <c r="AP1028" s="15" t="s">
        <v>88</v>
      </c>
      <c r="AQ1028" s="15">
        <f t="shared" si="106"/>
        <v>2520</v>
      </c>
      <c r="AR1028" s="15" t="s">
        <v>654</v>
      </c>
      <c r="AS1028" s="15">
        <f t="shared" si="107"/>
        <v>54</v>
      </c>
    </row>
    <row r="1029" spans="35:45" ht="16.5" x14ac:dyDescent="0.2">
      <c r="AI1029" s="60">
        <v>1016</v>
      </c>
      <c r="AJ1029" s="15">
        <f t="shared" si="102"/>
        <v>1606028</v>
      </c>
      <c r="AK1029" s="15" t="str">
        <f t="shared" si="103"/>
        <v>高级神器3配件2-阿波普之鞘Lvs16</v>
      </c>
      <c r="AL1029" s="60" t="s">
        <v>645</v>
      </c>
      <c r="AM1029" s="15">
        <f t="shared" si="104"/>
        <v>16</v>
      </c>
      <c r="AN1029" s="15" t="str">
        <f t="shared" si="105"/>
        <v>高级神器3配件2</v>
      </c>
      <c r="AO1029" s="15">
        <f>INDEX(芦花古楼!$BX$19:$BX$58,神器!AM1029)</f>
        <v>10</v>
      </c>
      <c r="AP1029" s="15" t="s">
        <v>88</v>
      </c>
      <c r="AQ1029" s="15">
        <f t="shared" si="106"/>
        <v>2770</v>
      </c>
      <c r="AR1029" s="15" t="s">
        <v>654</v>
      </c>
      <c r="AS1029" s="15">
        <f t="shared" si="107"/>
        <v>59</v>
      </c>
    </row>
    <row r="1030" spans="35:45" ht="16.5" x14ac:dyDescent="0.2">
      <c r="AI1030" s="60">
        <v>1017</v>
      </c>
      <c r="AJ1030" s="15">
        <f t="shared" si="102"/>
        <v>1606028</v>
      </c>
      <c r="AK1030" s="15" t="str">
        <f t="shared" si="103"/>
        <v>高级神器3配件2-阿波普之鞘Lvs17</v>
      </c>
      <c r="AL1030" s="60" t="s">
        <v>645</v>
      </c>
      <c r="AM1030" s="15">
        <f t="shared" si="104"/>
        <v>17</v>
      </c>
      <c r="AN1030" s="15" t="str">
        <f t="shared" si="105"/>
        <v>高级神器3配件2</v>
      </c>
      <c r="AO1030" s="15">
        <f>INDEX(芦花古楼!$BX$19:$BX$58,神器!AM1030)</f>
        <v>10</v>
      </c>
      <c r="AP1030" s="15" t="s">
        <v>88</v>
      </c>
      <c r="AQ1030" s="15">
        <f t="shared" si="106"/>
        <v>3020</v>
      </c>
      <c r="AR1030" s="15" t="s">
        <v>654</v>
      </c>
      <c r="AS1030" s="15">
        <f t="shared" si="107"/>
        <v>64</v>
      </c>
    </row>
    <row r="1031" spans="35:45" ht="16.5" x14ac:dyDescent="0.2">
      <c r="AI1031" s="60">
        <v>1018</v>
      </c>
      <c r="AJ1031" s="15">
        <f t="shared" si="102"/>
        <v>1606028</v>
      </c>
      <c r="AK1031" s="15" t="str">
        <f t="shared" si="103"/>
        <v>高级神器3配件2-阿波普之鞘Lvs18</v>
      </c>
      <c r="AL1031" s="60" t="s">
        <v>645</v>
      </c>
      <c r="AM1031" s="15">
        <f t="shared" si="104"/>
        <v>18</v>
      </c>
      <c r="AN1031" s="15" t="str">
        <f t="shared" si="105"/>
        <v>高级神器3配件2</v>
      </c>
      <c r="AO1031" s="15">
        <f>INDEX(芦花古楼!$BX$19:$BX$58,神器!AM1031)</f>
        <v>10</v>
      </c>
      <c r="AP1031" s="15" t="s">
        <v>88</v>
      </c>
      <c r="AQ1031" s="15">
        <f t="shared" si="106"/>
        <v>3275</v>
      </c>
      <c r="AR1031" s="15" t="s">
        <v>654</v>
      </c>
      <c r="AS1031" s="15">
        <f t="shared" si="107"/>
        <v>69</v>
      </c>
    </row>
    <row r="1032" spans="35:45" ht="16.5" x14ac:dyDescent="0.2">
      <c r="AI1032" s="60">
        <v>1019</v>
      </c>
      <c r="AJ1032" s="15">
        <f t="shared" si="102"/>
        <v>1606028</v>
      </c>
      <c r="AK1032" s="15" t="str">
        <f t="shared" si="103"/>
        <v>高级神器3配件2-阿波普之鞘Lvs19</v>
      </c>
      <c r="AL1032" s="60" t="s">
        <v>645</v>
      </c>
      <c r="AM1032" s="15">
        <f t="shared" si="104"/>
        <v>19</v>
      </c>
      <c r="AN1032" s="15" t="str">
        <f t="shared" si="105"/>
        <v>高级神器3配件2</v>
      </c>
      <c r="AO1032" s="15">
        <f>INDEX(芦花古楼!$BX$19:$BX$58,神器!AM1032)</f>
        <v>10</v>
      </c>
      <c r="AP1032" s="15" t="s">
        <v>88</v>
      </c>
      <c r="AQ1032" s="15">
        <f t="shared" si="106"/>
        <v>3525</v>
      </c>
      <c r="AR1032" s="15" t="s">
        <v>654</v>
      </c>
      <c r="AS1032" s="15">
        <f t="shared" si="107"/>
        <v>74</v>
      </c>
    </row>
    <row r="1033" spans="35:45" ht="16.5" x14ac:dyDescent="0.2">
      <c r="AI1033" s="60">
        <v>1020</v>
      </c>
      <c r="AJ1033" s="15">
        <f t="shared" si="102"/>
        <v>1606028</v>
      </c>
      <c r="AK1033" s="15" t="str">
        <f t="shared" si="103"/>
        <v>高级神器3配件2-阿波普之鞘Lvs20</v>
      </c>
      <c r="AL1033" s="60" t="s">
        <v>645</v>
      </c>
      <c r="AM1033" s="15">
        <f t="shared" si="104"/>
        <v>20</v>
      </c>
      <c r="AN1033" s="15" t="str">
        <f t="shared" si="105"/>
        <v>高级神器3配件2</v>
      </c>
      <c r="AO1033" s="15">
        <f>INDEX(芦花古楼!$BX$19:$BX$58,神器!AM1033)</f>
        <v>10</v>
      </c>
      <c r="AP1033" s="15" t="s">
        <v>88</v>
      </c>
      <c r="AQ1033" s="15">
        <f t="shared" si="106"/>
        <v>4030</v>
      </c>
      <c r="AR1033" s="15" t="s">
        <v>654</v>
      </c>
      <c r="AS1033" s="15">
        <f t="shared" si="107"/>
        <v>80</v>
      </c>
    </row>
    <row r="1034" spans="35:45" ht="16.5" x14ac:dyDescent="0.2">
      <c r="AI1034" s="60">
        <v>1021</v>
      </c>
      <c r="AJ1034" s="15">
        <f t="shared" si="102"/>
        <v>1606028</v>
      </c>
      <c r="AK1034" s="15" t="str">
        <f t="shared" si="103"/>
        <v>高级神器3配件2-阿波普之鞘Lvs21</v>
      </c>
      <c r="AL1034" s="60" t="s">
        <v>645</v>
      </c>
      <c r="AM1034" s="15">
        <f t="shared" si="104"/>
        <v>21</v>
      </c>
      <c r="AN1034" s="15" t="str">
        <f t="shared" si="105"/>
        <v>高级神器3配件2</v>
      </c>
      <c r="AO1034" s="15">
        <f>INDEX(芦花古楼!$BX$19:$BX$58,神器!AM1034)</f>
        <v>15</v>
      </c>
      <c r="AP1034" s="15" t="s">
        <v>88</v>
      </c>
      <c r="AQ1034" s="15">
        <f t="shared" si="106"/>
        <v>4450</v>
      </c>
      <c r="AR1034" s="15" t="s">
        <v>654</v>
      </c>
      <c r="AS1034" s="15">
        <f t="shared" si="107"/>
        <v>86</v>
      </c>
    </row>
    <row r="1035" spans="35:45" ht="16.5" x14ac:dyDescent="0.2">
      <c r="AI1035" s="60">
        <v>1022</v>
      </c>
      <c r="AJ1035" s="15">
        <f t="shared" si="102"/>
        <v>1606028</v>
      </c>
      <c r="AK1035" s="15" t="str">
        <f t="shared" si="103"/>
        <v>高级神器3配件2-阿波普之鞘Lvs22</v>
      </c>
      <c r="AL1035" s="60" t="s">
        <v>645</v>
      </c>
      <c r="AM1035" s="15">
        <f t="shared" si="104"/>
        <v>22</v>
      </c>
      <c r="AN1035" s="15" t="str">
        <f t="shared" si="105"/>
        <v>高级神器3配件2</v>
      </c>
      <c r="AO1035" s="15">
        <f>INDEX(芦花古楼!$BX$19:$BX$58,神器!AM1035)</f>
        <v>15</v>
      </c>
      <c r="AP1035" s="15" t="s">
        <v>88</v>
      </c>
      <c r="AQ1035" s="15">
        <f t="shared" si="106"/>
        <v>4675</v>
      </c>
      <c r="AR1035" s="15" t="s">
        <v>654</v>
      </c>
      <c r="AS1035" s="15">
        <f t="shared" si="107"/>
        <v>92</v>
      </c>
    </row>
    <row r="1036" spans="35:45" ht="16.5" x14ac:dyDescent="0.2">
      <c r="AI1036" s="60">
        <v>1023</v>
      </c>
      <c r="AJ1036" s="15">
        <f t="shared" si="102"/>
        <v>1606028</v>
      </c>
      <c r="AK1036" s="15" t="str">
        <f t="shared" si="103"/>
        <v>高级神器3配件2-阿波普之鞘Lvs23</v>
      </c>
      <c r="AL1036" s="60" t="s">
        <v>645</v>
      </c>
      <c r="AM1036" s="15">
        <f t="shared" si="104"/>
        <v>23</v>
      </c>
      <c r="AN1036" s="15" t="str">
        <f t="shared" si="105"/>
        <v>高级神器3配件2</v>
      </c>
      <c r="AO1036" s="15">
        <f>INDEX(芦花古楼!$BX$19:$BX$58,神器!AM1036)</f>
        <v>15</v>
      </c>
      <c r="AP1036" s="15" t="s">
        <v>88</v>
      </c>
      <c r="AQ1036" s="15">
        <f t="shared" si="106"/>
        <v>4895</v>
      </c>
      <c r="AR1036" s="15" t="s">
        <v>654</v>
      </c>
      <c r="AS1036" s="15">
        <f t="shared" si="107"/>
        <v>99</v>
      </c>
    </row>
    <row r="1037" spans="35:45" ht="16.5" x14ac:dyDescent="0.2">
      <c r="AI1037" s="60">
        <v>1024</v>
      </c>
      <c r="AJ1037" s="15">
        <f t="shared" si="102"/>
        <v>1606028</v>
      </c>
      <c r="AK1037" s="15" t="str">
        <f t="shared" si="103"/>
        <v>高级神器3配件2-阿波普之鞘Lvs24</v>
      </c>
      <c r="AL1037" s="60" t="s">
        <v>645</v>
      </c>
      <c r="AM1037" s="15">
        <f t="shared" si="104"/>
        <v>24</v>
      </c>
      <c r="AN1037" s="15" t="str">
        <f t="shared" si="105"/>
        <v>高级神器3配件2</v>
      </c>
      <c r="AO1037" s="15">
        <f>INDEX(芦花古楼!$BX$19:$BX$58,神器!AM1037)</f>
        <v>15</v>
      </c>
      <c r="AP1037" s="15" t="s">
        <v>88</v>
      </c>
      <c r="AQ1037" s="15">
        <f t="shared" si="106"/>
        <v>5120</v>
      </c>
      <c r="AR1037" s="15" t="s">
        <v>654</v>
      </c>
      <c r="AS1037" s="15">
        <f t="shared" si="107"/>
        <v>106</v>
      </c>
    </row>
    <row r="1038" spans="35:45" ht="16.5" x14ac:dyDescent="0.2">
      <c r="AI1038" s="60">
        <v>1025</v>
      </c>
      <c r="AJ1038" s="15">
        <f t="shared" si="102"/>
        <v>1606028</v>
      </c>
      <c r="AK1038" s="15" t="str">
        <f t="shared" si="103"/>
        <v>高级神器3配件2-阿波普之鞘Lvs25</v>
      </c>
      <c r="AL1038" s="60" t="s">
        <v>645</v>
      </c>
      <c r="AM1038" s="15">
        <f t="shared" si="104"/>
        <v>25</v>
      </c>
      <c r="AN1038" s="15" t="str">
        <f t="shared" si="105"/>
        <v>高级神器3配件2</v>
      </c>
      <c r="AO1038" s="15">
        <f>INDEX(芦花古楼!$BX$19:$BX$58,神器!AM1038)</f>
        <v>15</v>
      </c>
      <c r="AP1038" s="15" t="s">
        <v>88</v>
      </c>
      <c r="AQ1038" s="15">
        <f t="shared" si="106"/>
        <v>5340</v>
      </c>
      <c r="AR1038" s="15" t="s">
        <v>654</v>
      </c>
      <c r="AS1038" s="15">
        <f t="shared" si="107"/>
        <v>113</v>
      </c>
    </row>
    <row r="1039" spans="35:45" ht="16.5" x14ac:dyDescent="0.2">
      <c r="AI1039" s="60">
        <v>1026</v>
      </c>
      <c r="AJ1039" s="15">
        <f t="shared" ref="AJ1039:AJ1102" si="108">INDEX($AC$4:$AC$33,INT((AI1039-1)/40)+1)</f>
        <v>1606028</v>
      </c>
      <c r="AK1039" s="15" t="str">
        <f t="shared" ref="AK1039:AK1102" si="109">INDEX($AF$4:$AF$33,INT((AI1039-1)/40)+1)&amp;AL1039&amp;AM1039</f>
        <v>高级神器3配件2-阿波普之鞘Lvs26</v>
      </c>
      <c r="AL1039" s="60" t="s">
        <v>645</v>
      </c>
      <c r="AM1039" s="15">
        <f t="shared" ref="AM1039:AM1102" si="110">MOD(AI1039-1,40)+1</f>
        <v>26</v>
      </c>
      <c r="AN1039" s="15" t="str">
        <f t="shared" ref="AN1039:AN1102" si="111">INDEX($AD$4:$AD$33,INT((AI1039-1)/40)+1)</f>
        <v>高级神器3配件2</v>
      </c>
      <c r="AO1039" s="15">
        <f>INDEX(芦花古楼!$BX$19:$BX$58,神器!AM1039)</f>
        <v>25</v>
      </c>
      <c r="AP1039" s="15" t="s">
        <v>88</v>
      </c>
      <c r="AQ1039" s="15">
        <f t="shared" ref="AQ1039:AQ1102" si="112">INDEX($F$14:$L$53,AM1039,INDEX($AB$4:$AB$33,INT((AI1039-1)/40)+1))</f>
        <v>5565</v>
      </c>
      <c r="AR1039" s="15" t="s">
        <v>654</v>
      </c>
      <c r="AS1039" s="15">
        <f t="shared" ref="AS1039:AS1102" si="113">INDEX($P$14:$V$53,AM1039,INDEX($AB$4:$AB$33,INT((AI1039-1)/40)+1))</f>
        <v>121</v>
      </c>
    </row>
    <row r="1040" spans="35:45" ht="16.5" x14ac:dyDescent="0.2">
      <c r="AI1040" s="60">
        <v>1027</v>
      </c>
      <c r="AJ1040" s="15">
        <f t="shared" si="108"/>
        <v>1606028</v>
      </c>
      <c r="AK1040" s="15" t="str">
        <f t="shared" si="109"/>
        <v>高级神器3配件2-阿波普之鞘Lvs27</v>
      </c>
      <c r="AL1040" s="60" t="s">
        <v>645</v>
      </c>
      <c r="AM1040" s="15">
        <f t="shared" si="110"/>
        <v>27</v>
      </c>
      <c r="AN1040" s="15" t="str">
        <f t="shared" si="111"/>
        <v>高级神器3配件2</v>
      </c>
      <c r="AO1040" s="15">
        <f>INDEX(芦花古楼!$BX$19:$BX$58,神器!AM1040)</f>
        <v>25</v>
      </c>
      <c r="AP1040" s="15" t="s">
        <v>88</v>
      </c>
      <c r="AQ1040" s="15">
        <f t="shared" si="112"/>
        <v>5785</v>
      </c>
      <c r="AR1040" s="15" t="s">
        <v>654</v>
      </c>
      <c r="AS1040" s="15">
        <f t="shared" si="113"/>
        <v>129</v>
      </c>
    </row>
    <row r="1041" spans="35:45" ht="16.5" x14ac:dyDescent="0.2">
      <c r="AI1041" s="60">
        <v>1028</v>
      </c>
      <c r="AJ1041" s="15">
        <f t="shared" si="108"/>
        <v>1606028</v>
      </c>
      <c r="AK1041" s="15" t="str">
        <f t="shared" si="109"/>
        <v>高级神器3配件2-阿波普之鞘Lvs28</v>
      </c>
      <c r="AL1041" s="60" t="s">
        <v>645</v>
      </c>
      <c r="AM1041" s="15">
        <f t="shared" si="110"/>
        <v>28</v>
      </c>
      <c r="AN1041" s="15" t="str">
        <f t="shared" si="111"/>
        <v>高级神器3配件2</v>
      </c>
      <c r="AO1041" s="15">
        <f>INDEX(芦花古楼!$BX$19:$BX$58,神器!AM1041)</f>
        <v>25</v>
      </c>
      <c r="AP1041" s="15" t="s">
        <v>88</v>
      </c>
      <c r="AQ1041" s="15">
        <f t="shared" si="112"/>
        <v>6010</v>
      </c>
      <c r="AR1041" s="15" t="s">
        <v>654</v>
      </c>
      <c r="AS1041" s="15">
        <f t="shared" si="113"/>
        <v>138</v>
      </c>
    </row>
    <row r="1042" spans="35:45" ht="16.5" x14ac:dyDescent="0.2">
      <c r="AI1042" s="60">
        <v>1029</v>
      </c>
      <c r="AJ1042" s="15">
        <f t="shared" si="108"/>
        <v>1606028</v>
      </c>
      <c r="AK1042" s="15" t="str">
        <f t="shared" si="109"/>
        <v>高级神器3配件2-阿波普之鞘Lvs29</v>
      </c>
      <c r="AL1042" s="60" t="s">
        <v>645</v>
      </c>
      <c r="AM1042" s="15">
        <f t="shared" si="110"/>
        <v>29</v>
      </c>
      <c r="AN1042" s="15" t="str">
        <f t="shared" si="111"/>
        <v>高级神器3配件2</v>
      </c>
      <c r="AO1042" s="15">
        <f>INDEX(芦花古楼!$BX$19:$BX$58,神器!AM1042)</f>
        <v>25</v>
      </c>
      <c r="AP1042" s="15" t="s">
        <v>88</v>
      </c>
      <c r="AQ1042" s="15">
        <f t="shared" si="112"/>
        <v>6230</v>
      </c>
      <c r="AR1042" s="15" t="s">
        <v>654</v>
      </c>
      <c r="AS1042" s="15">
        <f t="shared" si="113"/>
        <v>146</v>
      </c>
    </row>
    <row r="1043" spans="35:45" ht="16.5" x14ac:dyDescent="0.2">
      <c r="AI1043" s="60">
        <v>1030</v>
      </c>
      <c r="AJ1043" s="15">
        <f t="shared" si="108"/>
        <v>1606028</v>
      </c>
      <c r="AK1043" s="15" t="str">
        <f t="shared" si="109"/>
        <v>高级神器3配件2-阿波普之鞘Lvs30</v>
      </c>
      <c r="AL1043" s="60" t="s">
        <v>645</v>
      </c>
      <c r="AM1043" s="15">
        <f t="shared" si="110"/>
        <v>30</v>
      </c>
      <c r="AN1043" s="15" t="str">
        <f t="shared" si="111"/>
        <v>高级神器3配件2</v>
      </c>
      <c r="AO1043" s="15">
        <f>INDEX(芦花古楼!$BX$19:$BX$58,神器!AM1043)</f>
        <v>25</v>
      </c>
      <c r="AP1043" s="15" t="s">
        <v>88</v>
      </c>
      <c r="AQ1043" s="15">
        <f t="shared" si="112"/>
        <v>6675</v>
      </c>
      <c r="AR1043" s="15" t="s">
        <v>654</v>
      </c>
      <c r="AS1043" s="15">
        <f t="shared" si="113"/>
        <v>156</v>
      </c>
    </row>
    <row r="1044" spans="35:45" ht="16.5" x14ac:dyDescent="0.2">
      <c r="AI1044" s="60">
        <v>1031</v>
      </c>
      <c r="AJ1044" s="15">
        <f t="shared" si="108"/>
        <v>1606028</v>
      </c>
      <c r="AK1044" s="15" t="str">
        <f t="shared" si="109"/>
        <v>高级神器3配件2-阿波普之鞘Lvs31</v>
      </c>
      <c r="AL1044" s="60" t="s">
        <v>645</v>
      </c>
      <c r="AM1044" s="15">
        <f t="shared" si="110"/>
        <v>31</v>
      </c>
      <c r="AN1044" s="15" t="str">
        <f t="shared" si="111"/>
        <v>高级神器3配件2</v>
      </c>
      <c r="AO1044" s="15">
        <f>INDEX(芦花古楼!$BX$19:$BX$58,神器!AM1044)</f>
        <v>30</v>
      </c>
      <c r="AP1044" s="15" t="s">
        <v>88</v>
      </c>
      <c r="AQ1044" s="15">
        <f t="shared" si="112"/>
        <v>6510</v>
      </c>
      <c r="AR1044" s="15" t="s">
        <v>654</v>
      </c>
      <c r="AS1044" s="15">
        <f t="shared" si="113"/>
        <v>166</v>
      </c>
    </row>
    <row r="1045" spans="35:45" ht="16.5" x14ac:dyDescent="0.2">
      <c r="AI1045" s="60">
        <v>1032</v>
      </c>
      <c r="AJ1045" s="15">
        <f t="shared" si="108"/>
        <v>1606028</v>
      </c>
      <c r="AK1045" s="15" t="str">
        <f t="shared" si="109"/>
        <v>高级神器3配件2-阿波普之鞘Lvs32</v>
      </c>
      <c r="AL1045" s="60" t="s">
        <v>645</v>
      </c>
      <c r="AM1045" s="15">
        <f t="shared" si="110"/>
        <v>32</v>
      </c>
      <c r="AN1045" s="15" t="str">
        <f t="shared" si="111"/>
        <v>高级神器3配件2</v>
      </c>
      <c r="AO1045" s="15">
        <f>INDEX(芦花古楼!$BX$19:$BX$58,神器!AM1045)</f>
        <v>30</v>
      </c>
      <c r="AP1045" s="15" t="s">
        <v>88</v>
      </c>
      <c r="AQ1045" s="15">
        <f t="shared" si="112"/>
        <v>9765</v>
      </c>
      <c r="AR1045" s="15" t="s">
        <v>654</v>
      </c>
      <c r="AS1045" s="15">
        <f t="shared" si="113"/>
        <v>176</v>
      </c>
    </row>
    <row r="1046" spans="35:45" ht="16.5" x14ac:dyDescent="0.2">
      <c r="AI1046" s="60">
        <v>1033</v>
      </c>
      <c r="AJ1046" s="15">
        <f t="shared" si="108"/>
        <v>1606028</v>
      </c>
      <c r="AK1046" s="15" t="str">
        <f t="shared" si="109"/>
        <v>高级神器3配件2-阿波普之鞘Lvs33</v>
      </c>
      <c r="AL1046" s="60" t="s">
        <v>645</v>
      </c>
      <c r="AM1046" s="15">
        <f t="shared" si="110"/>
        <v>33</v>
      </c>
      <c r="AN1046" s="15" t="str">
        <f t="shared" si="111"/>
        <v>高级神器3配件2</v>
      </c>
      <c r="AO1046" s="15">
        <f>INDEX(芦花古楼!$BX$19:$BX$58,神器!AM1046)</f>
        <v>30</v>
      </c>
      <c r="AP1046" s="15" t="s">
        <v>88</v>
      </c>
      <c r="AQ1046" s="15">
        <f t="shared" si="112"/>
        <v>13020</v>
      </c>
      <c r="AR1046" s="15" t="s">
        <v>654</v>
      </c>
      <c r="AS1046" s="15">
        <f t="shared" si="113"/>
        <v>187</v>
      </c>
    </row>
    <row r="1047" spans="35:45" ht="16.5" x14ac:dyDescent="0.2">
      <c r="AI1047" s="60">
        <v>1034</v>
      </c>
      <c r="AJ1047" s="15">
        <f t="shared" si="108"/>
        <v>1606028</v>
      </c>
      <c r="AK1047" s="15" t="str">
        <f t="shared" si="109"/>
        <v>高级神器3配件2-阿波普之鞘Lvs34</v>
      </c>
      <c r="AL1047" s="60" t="s">
        <v>645</v>
      </c>
      <c r="AM1047" s="15">
        <f t="shared" si="110"/>
        <v>34</v>
      </c>
      <c r="AN1047" s="15" t="str">
        <f t="shared" si="111"/>
        <v>高级神器3配件2</v>
      </c>
      <c r="AO1047" s="15">
        <f>INDEX(芦花古楼!$BX$19:$BX$58,神器!AM1047)</f>
        <v>30</v>
      </c>
      <c r="AP1047" s="15" t="s">
        <v>88</v>
      </c>
      <c r="AQ1047" s="15">
        <f t="shared" si="112"/>
        <v>16275</v>
      </c>
      <c r="AR1047" s="15" t="s">
        <v>654</v>
      </c>
      <c r="AS1047" s="15">
        <f t="shared" si="113"/>
        <v>198</v>
      </c>
    </row>
    <row r="1048" spans="35:45" ht="16.5" x14ac:dyDescent="0.2">
      <c r="AI1048" s="60">
        <v>1035</v>
      </c>
      <c r="AJ1048" s="15">
        <f t="shared" si="108"/>
        <v>1606028</v>
      </c>
      <c r="AK1048" s="15" t="str">
        <f t="shared" si="109"/>
        <v>高级神器3配件2-阿波普之鞘Lvs35</v>
      </c>
      <c r="AL1048" s="60" t="s">
        <v>645</v>
      </c>
      <c r="AM1048" s="15">
        <f t="shared" si="110"/>
        <v>35</v>
      </c>
      <c r="AN1048" s="15" t="str">
        <f t="shared" si="111"/>
        <v>高级神器3配件2</v>
      </c>
      <c r="AO1048" s="15">
        <f>INDEX(芦花古楼!$BX$19:$BX$58,神器!AM1048)</f>
        <v>30</v>
      </c>
      <c r="AP1048" s="15" t="s">
        <v>88</v>
      </c>
      <c r="AQ1048" s="15">
        <f t="shared" si="112"/>
        <v>19530</v>
      </c>
      <c r="AR1048" s="15" t="s">
        <v>654</v>
      </c>
      <c r="AS1048" s="15">
        <f t="shared" si="113"/>
        <v>210</v>
      </c>
    </row>
    <row r="1049" spans="35:45" ht="16.5" x14ac:dyDescent="0.2">
      <c r="AI1049" s="60">
        <v>1036</v>
      </c>
      <c r="AJ1049" s="15">
        <f t="shared" si="108"/>
        <v>1606028</v>
      </c>
      <c r="AK1049" s="15" t="str">
        <f t="shared" si="109"/>
        <v>高级神器3配件2-阿波普之鞘Lvs36</v>
      </c>
      <c r="AL1049" s="60" t="s">
        <v>645</v>
      </c>
      <c r="AM1049" s="15">
        <f t="shared" si="110"/>
        <v>36</v>
      </c>
      <c r="AN1049" s="15" t="str">
        <f t="shared" si="111"/>
        <v>高级神器3配件2</v>
      </c>
      <c r="AO1049" s="15">
        <f>INDEX(芦花古楼!$BX$19:$BX$58,神器!AM1049)</f>
        <v>40</v>
      </c>
      <c r="AP1049" s="15" t="s">
        <v>88</v>
      </c>
      <c r="AQ1049" s="15">
        <f t="shared" si="112"/>
        <v>22785</v>
      </c>
      <c r="AR1049" s="15" t="s">
        <v>654</v>
      </c>
      <c r="AS1049" s="15">
        <f t="shared" si="113"/>
        <v>222</v>
      </c>
    </row>
    <row r="1050" spans="35:45" ht="16.5" x14ac:dyDescent="0.2">
      <c r="AI1050" s="60">
        <v>1037</v>
      </c>
      <c r="AJ1050" s="15">
        <f t="shared" si="108"/>
        <v>1606028</v>
      </c>
      <c r="AK1050" s="15" t="str">
        <f t="shared" si="109"/>
        <v>高级神器3配件2-阿波普之鞘Lvs37</v>
      </c>
      <c r="AL1050" s="60" t="s">
        <v>645</v>
      </c>
      <c r="AM1050" s="15">
        <f t="shared" si="110"/>
        <v>37</v>
      </c>
      <c r="AN1050" s="15" t="str">
        <f t="shared" si="111"/>
        <v>高级神器3配件2</v>
      </c>
      <c r="AO1050" s="15">
        <f>INDEX(芦花古楼!$BX$19:$BX$58,神器!AM1050)</f>
        <v>40</v>
      </c>
      <c r="AP1050" s="15" t="s">
        <v>88</v>
      </c>
      <c r="AQ1050" s="15">
        <f t="shared" si="112"/>
        <v>26040</v>
      </c>
      <c r="AR1050" s="15" t="s">
        <v>654</v>
      </c>
      <c r="AS1050" s="15">
        <f t="shared" si="113"/>
        <v>236</v>
      </c>
    </row>
    <row r="1051" spans="35:45" ht="16.5" x14ac:dyDescent="0.2">
      <c r="AI1051" s="60">
        <v>1038</v>
      </c>
      <c r="AJ1051" s="15">
        <f t="shared" si="108"/>
        <v>1606028</v>
      </c>
      <c r="AK1051" s="15" t="str">
        <f t="shared" si="109"/>
        <v>高级神器3配件2-阿波普之鞘Lvs38</v>
      </c>
      <c r="AL1051" s="60" t="s">
        <v>645</v>
      </c>
      <c r="AM1051" s="15">
        <f t="shared" si="110"/>
        <v>38</v>
      </c>
      <c r="AN1051" s="15" t="str">
        <f t="shared" si="111"/>
        <v>高级神器3配件2</v>
      </c>
      <c r="AO1051" s="15">
        <f>INDEX(芦花古楼!$BX$19:$BX$58,神器!AM1051)</f>
        <v>40</v>
      </c>
      <c r="AP1051" s="15" t="s">
        <v>88</v>
      </c>
      <c r="AQ1051" s="15">
        <f t="shared" si="112"/>
        <v>29295</v>
      </c>
      <c r="AR1051" s="15" t="s">
        <v>654</v>
      </c>
      <c r="AS1051" s="15">
        <f t="shared" si="113"/>
        <v>249</v>
      </c>
    </row>
    <row r="1052" spans="35:45" ht="16.5" x14ac:dyDescent="0.2">
      <c r="AI1052" s="60">
        <v>1039</v>
      </c>
      <c r="AJ1052" s="15">
        <f t="shared" si="108"/>
        <v>1606028</v>
      </c>
      <c r="AK1052" s="15" t="str">
        <f t="shared" si="109"/>
        <v>高级神器3配件2-阿波普之鞘Lvs39</v>
      </c>
      <c r="AL1052" s="60" t="s">
        <v>645</v>
      </c>
      <c r="AM1052" s="15">
        <f t="shared" si="110"/>
        <v>39</v>
      </c>
      <c r="AN1052" s="15" t="str">
        <f t="shared" si="111"/>
        <v>高级神器3配件2</v>
      </c>
      <c r="AO1052" s="15">
        <f>INDEX(芦花古楼!$BX$19:$BX$58,神器!AM1052)</f>
        <v>40</v>
      </c>
      <c r="AP1052" s="15" t="s">
        <v>88</v>
      </c>
      <c r="AQ1052" s="15">
        <f t="shared" si="112"/>
        <v>32550</v>
      </c>
      <c r="AR1052" s="15" t="s">
        <v>654</v>
      </c>
      <c r="AS1052" s="15">
        <f t="shared" si="113"/>
        <v>264</v>
      </c>
    </row>
    <row r="1053" spans="35:45" ht="16.5" x14ac:dyDescent="0.2">
      <c r="AI1053" s="60">
        <v>1040</v>
      </c>
      <c r="AJ1053" s="15">
        <f t="shared" si="108"/>
        <v>1606028</v>
      </c>
      <c r="AK1053" s="15" t="str">
        <f t="shared" si="109"/>
        <v>高级神器3配件2-阿波普之鞘Lvs40</v>
      </c>
      <c r="AL1053" s="60" t="s">
        <v>645</v>
      </c>
      <c r="AM1053" s="15">
        <f t="shared" si="110"/>
        <v>40</v>
      </c>
      <c r="AN1053" s="15" t="str">
        <f t="shared" si="111"/>
        <v>高级神器3配件2</v>
      </c>
      <c r="AO1053" s="15">
        <f>INDEX(芦花古楼!$BX$19:$BX$58,神器!AM1053)</f>
        <v>40</v>
      </c>
      <c r="AP1053" s="15" t="s">
        <v>88</v>
      </c>
      <c r="AQ1053" s="15">
        <f t="shared" si="112"/>
        <v>39060</v>
      </c>
      <c r="AR1053" s="15" t="s">
        <v>654</v>
      </c>
      <c r="AS1053" s="15">
        <f t="shared" si="113"/>
        <v>279</v>
      </c>
    </row>
    <row r="1054" spans="35:45" ht="16.5" x14ac:dyDescent="0.2">
      <c r="AI1054" s="60">
        <v>1041</v>
      </c>
      <c r="AJ1054" s="15">
        <f t="shared" si="108"/>
        <v>1606029</v>
      </c>
      <c r="AK1054" s="15" t="str">
        <f t="shared" si="109"/>
        <v>高级神器3配件3-翼骨Lvs1</v>
      </c>
      <c r="AL1054" s="60" t="s">
        <v>645</v>
      </c>
      <c r="AM1054" s="15">
        <f t="shared" si="110"/>
        <v>1</v>
      </c>
      <c r="AN1054" s="15" t="str">
        <f t="shared" si="111"/>
        <v>高级神器3配件3</v>
      </c>
      <c r="AO1054" s="15">
        <f>INDEX(芦花古楼!$BX$19:$BX$58,神器!AM1054)</f>
        <v>1</v>
      </c>
      <c r="AP1054" s="15" t="s">
        <v>88</v>
      </c>
      <c r="AQ1054" s="15">
        <f t="shared" si="112"/>
        <v>330</v>
      </c>
      <c r="AR1054" s="15" t="s">
        <v>654</v>
      </c>
      <c r="AS1054" s="15">
        <f t="shared" si="113"/>
        <v>13</v>
      </c>
    </row>
    <row r="1055" spans="35:45" ht="16.5" x14ac:dyDescent="0.2">
      <c r="AI1055" s="60">
        <v>1042</v>
      </c>
      <c r="AJ1055" s="15">
        <f t="shared" si="108"/>
        <v>1606029</v>
      </c>
      <c r="AK1055" s="15" t="str">
        <f t="shared" si="109"/>
        <v>高级神器3配件3-翼骨Lvs2</v>
      </c>
      <c r="AL1055" s="60" t="s">
        <v>645</v>
      </c>
      <c r="AM1055" s="15">
        <f t="shared" si="110"/>
        <v>2</v>
      </c>
      <c r="AN1055" s="15" t="str">
        <f t="shared" si="111"/>
        <v>高级神器3配件3</v>
      </c>
      <c r="AO1055" s="15">
        <f>INDEX(芦花古楼!$BX$19:$BX$58,神器!AM1055)</f>
        <v>1</v>
      </c>
      <c r="AP1055" s="15" t="s">
        <v>88</v>
      </c>
      <c r="AQ1055" s="15">
        <f t="shared" si="112"/>
        <v>500</v>
      </c>
      <c r="AR1055" s="15" t="s">
        <v>654</v>
      </c>
      <c r="AS1055" s="15">
        <f t="shared" si="113"/>
        <v>17</v>
      </c>
    </row>
    <row r="1056" spans="35:45" ht="16.5" x14ac:dyDescent="0.2">
      <c r="AI1056" s="60">
        <v>1043</v>
      </c>
      <c r="AJ1056" s="15">
        <f t="shared" si="108"/>
        <v>1606029</v>
      </c>
      <c r="AK1056" s="15" t="str">
        <f t="shared" si="109"/>
        <v>高级神器3配件3-翼骨Lvs3</v>
      </c>
      <c r="AL1056" s="60" t="s">
        <v>645</v>
      </c>
      <c r="AM1056" s="15">
        <f t="shared" si="110"/>
        <v>3</v>
      </c>
      <c r="AN1056" s="15" t="str">
        <f t="shared" si="111"/>
        <v>高级神器3配件3</v>
      </c>
      <c r="AO1056" s="15">
        <f>INDEX(芦花古楼!$BX$19:$BX$58,神器!AM1056)</f>
        <v>2</v>
      </c>
      <c r="AP1056" s="15" t="s">
        <v>88</v>
      </c>
      <c r="AQ1056" s="15">
        <f t="shared" si="112"/>
        <v>665</v>
      </c>
      <c r="AR1056" s="15" t="s">
        <v>654</v>
      </c>
      <c r="AS1056" s="15">
        <f t="shared" si="113"/>
        <v>21</v>
      </c>
    </row>
    <row r="1057" spans="35:45" ht="16.5" x14ac:dyDescent="0.2">
      <c r="AI1057" s="60">
        <v>1044</v>
      </c>
      <c r="AJ1057" s="15">
        <f t="shared" si="108"/>
        <v>1606029</v>
      </c>
      <c r="AK1057" s="15" t="str">
        <f t="shared" si="109"/>
        <v>高级神器3配件3-翼骨Lvs4</v>
      </c>
      <c r="AL1057" s="60" t="s">
        <v>645</v>
      </c>
      <c r="AM1057" s="15">
        <f t="shared" si="110"/>
        <v>4</v>
      </c>
      <c r="AN1057" s="15" t="str">
        <f t="shared" si="111"/>
        <v>高级神器3配件3</v>
      </c>
      <c r="AO1057" s="15">
        <f>INDEX(芦花古楼!$BX$19:$BX$58,神器!AM1057)</f>
        <v>3</v>
      </c>
      <c r="AP1057" s="15" t="s">
        <v>88</v>
      </c>
      <c r="AQ1057" s="15">
        <f t="shared" si="112"/>
        <v>835</v>
      </c>
      <c r="AR1057" s="15" t="s">
        <v>654</v>
      </c>
      <c r="AS1057" s="15">
        <f t="shared" si="113"/>
        <v>25</v>
      </c>
    </row>
    <row r="1058" spans="35:45" ht="16.5" x14ac:dyDescent="0.2">
      <c r="AI1058" s="60">
        <v>1045</v>
      </c>
      <c r="AJ1058" s="15">
        <f t="shared" si="108"/>
        <v>1606029</v>
      </c>
      <c r="AK1058" s="15" t="str">
        <f t="shared" si="109"/>
        <v>高级神器3配件3-翼骨Lvs5</v>
      </c>
      <c r="AL1058" s="60" t="s">
        <v>645</v>
      </c>
      <c r="AM1058" s="15">
        <f t="shared" si="110"/>
        <v>5</v>
      </c>
      <c r="AN1058" s="15" t="str">
        <f t="shared" si="111"/>
        <v>高级神器3配件3</v>
      </c>
      <c r="AO1058" s="15">
        <f>INDEX(芦花古楼!$BX$19:$BX$58,神器!AM1058)</f>
        <v>3</v>
      </c>
      <c r="AP1058" s="15" t="s">
        <v>88</v>
      </c>
      <c r="AQ1058" s="15">
        <f t="shared" si="112"/>
        <v>1000</v>
      </c>
      <c r="AR1058" s="15" t="s">
        <v>654</v>
      </c>
      <c r="AS1058" s="15">
        <f t="shared" si="113"/>
        <v>30</v>
      </c>
    </row>
    <row r="1059" spans="35:45" ht="16.5" x14ac:dyDescent="0.2">
      <c r="AI1059" s="60">
        <v>1046</v>
      </c>
      <c r="AJ1059" s="15">
        <f t="shared" si="108"/>
        <v>1606029</v>
      </c>
      <c r="AK1059" s="15" t="str">
        <f t="shared" si="109"/>
        <v>高级神器3配件3-翼骨Lvs6</v>
      </c>
      <c r="AL1059" s="60" t="s">
        <v>645</v>
      </c>
      <c r="AM1059" s="15">
        <f t="shared" si="110"/>
        <v>6</v>
      </c>
      <c r="AN1059" s="15" t="str">
        <f t="shared" si="111"/>
        <v>高级神器3配件3</v>
      </c>
      <c r="AO1059" s="15">
        <f>INDEX(芦花古楼!$BX$19:$BX$58,神器!AM1059)</f>
        <v>5</v>
      </c>
      <c r="AP1059" s="15" t="s">
        <v>88</v>
      </c>
      <c r="AQ1059" s="15">
        <f t="shared" si="112"/>
        <v>1170</v>
      </c>
      <c r="AR1059" s="15" t="s">
        <v>654</v>
      </c>
      <c r="AS1059" s="15">
        <f t="shared" si="113"/>
        <v>35</v>
      </c>
    </row>
    <row r="1060" spans="35:45" ht="16.5" x14ac:dyDescent="0.2">
      <c r="AI1060" s="60">
        <v>1047</v>
      </c>
      <c r="AJ1060" s="15">
        <f t="shared" si="108"/>
        <v>1606029</v>
      </c>
      <c r="AK1060" s="15" t="str">
        <f t="shared" si="109"/>
        <v>高级神器3配件3-翼骨Lvs7</v>
      </c>
      <c r="AL1060" s="60" t="s">
        <v>645</v>
      </c>
      <c r="AM1060" s="15">
        <f t="shared" si="110"/>
        <v>7</v>
      </c>
      <c r="AN1060" s="15" t="str">
        <f t="shared" si="111"/>
        <v>高级神器3配件3</v>
      </c>
      <c r="AO1060" s="15">
        <f>INDEX(芦花古楼!$BX$19:$BX$58,神器!AM1060)</f>
        <v>5</v>
      </c>
      <c r="AP1060" s="15" t="s">
        <v>88</v>
      </c>
      <c r="AQ1060" s="15">
        <f t="shared" si="112"/>
        <v>1335</v>
      </c>
      <c r="AR1060" s="15" t="s">
        <v>654</v>
      </c>
      <c r="AS1060" s="15">
        <f t="shared" si="113"/>
        <v>40</v>
      </c>
    </row>
    <row r="1061" spans="35:45" ht="16.5" x14ac:dyDescent="0.2">
      <c r="AI1061" s="60">
        <v>1048</v>
      </c>
      <c r="AJ1061" s="15">
        <f t="shared" si="108"/>
        <v>1606029</v>
      </c>
      <c r="AK1061" s="15" t="str">
        <f t="shared" si="109"/>
        <v>高级神器3配件3-翼骨Lvs8</v>
      </c>
      <c r="AL1061" s="60" t="s">
        <v>645</v>
      </c>
      <c r="AM1061" s="15">
        <f t="shared" si="110"/>
        <v>8</v>
      </c>
      <c r="AN1061" s="15" t="str">
        <f t="shared" si="111"/>
        <v>高级神器3配件3</v>
      </c>
      <c r="AO1061" s="15">
        <f>INDEX(芦花古楼!$BX$19:$BX$58,神器!AM1061)</f>
        <v>5</v>
      </c>
      <c r="AP1061" s="15" t="s">
        <v>88</v>
      </c>
      <c r="AQ1061" s="15">
        <f t="shared" si="112"/>
        <v>1505</v>
      </c>
      <c r="AR1061" s="15" t="s">
        <v>654</v>
      </c>
      <c r="AS1061" s="15">
        <f t="shared" si="113"/>
        <v>45</v>
      </c>
    </row>
    <row r="1062" spans="35:45" ht="16.5" x14ac:dyDescent="0.2">
      <c r="AI1062" s="60">
        <v>1049</v>
      </c>
      <c r="AJ1062" s="15">
        <f t="shared" si="108"/>
        <v>1606029</v>
      </c>
      <c r="AK1062" s="15" t="str">
        <f t="shared" si="109"/>
        <v>高级神器3配件3-翼骨Lvs9</v>
      </c>
      <c r="AL1062" s="60" t="s">
        <v>645</v>
      </c>
      <c r="AM1062" s="15">
        <f t="shared" si="110"/>
        <v>9</v>
      </c>
      <c r="AN1062" s="15" t="str">
        <f t="shared" si="111"/>
        <v>高级神器3配件3</v>
      </c>
      <c r="AO1062" s="15">
        <f>INDEX(芦花古楼!$BX$19:$BX$58,神器!AM1062)</f>
        <v>5</v>
      </c>
      <c r="AP1062" s="15" t="s">
        <v>88</v>
      </c>
      <c r="AQ1062" s="15">
        <f t="shared" si="112"/>
        <v>1670</v>
      </c>
      <c r="AR1062" s="15" t="s">
        <v>654</v>
      </c>
      <c r="AS1062" s="15">
        <f t="shared" si="113"/>
        <v>51</v>
      </c>
    </row>
    <row r="1063" spans="35:45" ht="16.5" x14ac:dyDescent="0.2">
      <c r="AI1063" s="60">
        <v>1050</v>
      </c>
      <c r="AJ1063" s="15">
        <f t="shared" si="108"/>
        <v>1606029</v>
      </c>
      <c r="AK1063" s="15" t="str">
        <f t="shared" si="109"/>
        <v>高级神器3配件3-翼骨Lvs10</v>
      </c>
      <c r="AL1063" s="60" t="s">
        <v>645</v>
      </c>
      <c r="AM1063" s="15">
        <f t="shared" si="110"/>
        <v>10</v>
      </c>
      <c r="AN1063" s="15" t="str">
        <f t="shared" si="111"/>
        <v>高级神器3配件3</v>
      </c>
      <c r="AO1063" s="15">
        <f>INDEX(芦花古楼!$BX$19:$BX$58,神器!AM1063)</f>
        <v>7</v>
      </c>
      <c r="AP1063" s="15" t="s">
        <v>88</v>
      </c>
      <c r="AQ1063" s="15">
        <f t="shared" si="112"/>
        <v>2005</v>
      </c>
      <c r="AR1063" s="15" t="s">
        <v>654</v>
      </c>
      <c r="AS1063" s="15">
        <f t="shared" si="113"/>
        <v>56</v>
      </c>
    </row>
    <row r="1064" spans="35:45" ht="16.5" x14ac:dyDescent="0.2">
      <c r="AI1064" s="60">
        <v>1051</v>
      </c>
      <c r="AJ1064" s="15">
        <f t="shared" si="108"/>
        <v>1606029</v>
      </c>
      <c r="AK1064" s="15" t="str">
        <f t="shared" si="109"/>
        <v>高级神器3配件3-翼骨Lvs11</v>
      </c>
      <c r="AL1064" s="60" t="s">
        <v>645</v>
      </c>
      <c r="AM1064" s="15">
        <f t="shared" si="110"/>
        <v>11</v>
      </c>
      <c r="AN1064" s="15" t="str">
        <f t="shared" si="111"/>
        <v>高级神器3配件3</v>
      </c>
      <c r="AO1064" s="15">
        <f>INDEX(芦花古楼!$BX$19:$BX$58,神器!AM1064)</f>
        <v>7</v>
      </c>
      <c r="AP1064" s="15" t="s">
        <v>88</v>
      </c>
      <c r="AQ1064" s="15">
        <f t="shared" si="112"/>
        <v>2520</v>
      </c>
      <c r="AR1064" s="15" t="s">
        <v>654</v>
      </c>
      <c r="AS1064" s="15">
        <f t="shared" si="113"/>
        <v>63</v>
      </c>
    </row>
    <row r="1065" spans="35:45" ht="16.5" x14ac:dyDescent="0.2">
      <c r="AI1065" s="60">
        <v>1052</v>
      </c>
      <c r="AJ1065" s="15">
        <f t="shared" si="108"/>
        <v>1606029</v>
      </c>
      <c r="AK1065" s="15" t="str">
        <f t="shared" si="109"/>
        <v>高级神器3配件3-翼骨Lvs12</v>
      </c>
      <c r="AL1065" s="60" t="s">
        <v>645</v>
      </c>
      <c r="AM1065" s="15">
        <f t="shared" si="110"/>
        <v>12</v>
      </c>
      <c r="AN1065" s="15" t="str">
        <f t="shared" si="111"/>
        <v>高级神器3配件3</v>
      </c>
      <c r="AO1065" s="15">
        <f>INDEX(芦花古楼!$BX$19:$BX$58,神器!AM1065)</f>
        <v>7</v>
      </c>
      <c r="AP1065" s="15" t="s">
        <v>88</v>
      </c>
      <c r="AQ1065" s="15">
        <f t="shared" si="112"/>
        <v>2940</v>
      </c>
      <c r="AR1065" s="15" t="s">
        <v>654</v>
      </c>
      <c r="AS1065" s="15">
        <f t="shared" si="113"/>
        <v>69</v>
      </c>
    </row>
    <row r="1066" spans="35:45" ht="16.5" x14ac:dyDescent="0.2">
      <c r="AI1066" s="60">
        <v>1053</v>
      </c>
      <c r="AJ1066" s="15">
        <f t="shared" si="108"/>
        <v>1606029</v>
      </c>
      <c r="AK1066" s="15" t="str">
        <f t="shared" si="109"/>
        <v>高级神器3配件3-翼骨Lvs13</v>
      </c>
      <c r="AL1066" s="60" t="s">
        <v>645</v>
      </c>
      <c r="AM1066" s="15">
        <f t="shared" si="110"/>
        <v>13</v>
      </c>
      <c r="AN1066" s="15" t="str">
        <f t="shared" si="111"/>
        <v>高级神器3配件3</v>
      </c>
      <c r="AO1066" s="15">
        <f>INDEX(芦花古楼!$BX$19:$BX$58,神器!AM1066)</f>
        <v>7</v>
      </c>
      <c r="AP1066" s="15" t="s">
        <v>88</v>
      </c>
      <c r="AQ1066" s="15">
        <f t="shared" si="112"/>
        <v>3360</v>
      </c>
      <c r="AR1066" s="15" t="s">
        <v>654</v>
      </c>
      <c r="AS1066" s="15">
        <f t="shared" si="113"/>
        <v>76</v>
      </c>
    </row>
    <row r="1067" spans="35:45" ht="16.5" x14ac:dyDescent="0.2">
      <c r="AI1067" s="60">
        <v>1054</v>
      </c>
      <c r="AJ1067" s="15">
        <f t="shared" si="108"/>
        <v>1606029</v>
      </c>
      <c r="AK1067" s="15" t="str">
        <f t="shared" si="109"/>
        <v>高级神器3配件3-翼骨Lvs14</v>
      </c>
      <c r="AL1067" s="60" t="s">
        <v>645</v>
      </c>
      <c r="AM1067" s="15">
        <f t="shared" si="110"/>
        <v>14</v>
      </c>
      <c r="AN1067" s="15" t="str">
        <f t="shared" si="111"/>
        <v>高级神器3配件3</v>
      </c>
      <c r="AO1067" s="15">
        <f>INDEX(芦花古楼!$BX$19:$BX$58,神器!AM1067)</f>
        <v>7</v>
      </c>
      <c r="AP1067" s="15" t="s">
        <v>88</v>
      </c>
      <c r="AQ1067" s="15">
        <f t="shared" si="112"/>
        <v>3780</v>
      </c>
      <c r="AR1067" s="15" t="s">
        <v>654</v>
      </c>
      <c r="AS1067" s="15">
        <f t="shared" si="113"/>
        <v>83</v>
      </c>
    </row>
    <row r="1068" spans="35:45" ht="16.5" x14ac:dyDescent="0.2">
      <c r="AI1068" s="60">
        <v>1055</v>
      </c>
      <c r="AJ1068" s="15">
        <f t="shared" si="108"/>
        <v>1606029</v>
      </c>
      <c r="AK1068" s="15" t="str">
        <f t="shared" si="109"/>
        <v>高级神器3配件3-翼骨Lvs15</v>
      </c>
      <c r="AL1068" s="60" t="s">
        <v>645</v>
      </c>
      <c r="AM1068" s="15">
        <f t="shared" si="110"/>
        <v>15</v>
      </c>
      <c r="AN1068" s="15" t="str">
        <f t="shared" si="111"/>
        <v>高级神器3配件3</v>
      </c>
      <c r="AO1068" s="15">
        <f>INDEX(芦花古楼!$BX$19:$BX$58,神器!AM1068)</f>
        <v>10</v>
      </c>
      <c r="AP1068" s="15" t="s">
        <v>88</v>
      </c>
      <c r="AQ1068" s="15">
        <f t="shared" si="112"/>
        <v>4200</v>
      </c>
      <c r="AR1068" s="15" t="s">
        <v>654</v>
      </c>
      <c r="AS1068" s="15">
        <f t="shared" si="113"/>
        <v>90</v>
      </c>
    </row>
    <row r="1069" spans="35:45" ht="16.5" x14ac:dyDescent="0.2">
      <c r="AI1069" s="60">
        <v>1056</v>
      </c>
      <c r="AJ1069" s="15">
        <f t="shared" si="108"/>
        <v>1606029</v>
      </c>
      <c r="AK1069" s="15" t="str">
        <f t="shared" si="109"/>
        <v>高级神器3配件3-翼骨Lvs16</v>
      </c>
      <c r="AL1069" s="60" t="s">
        <v>645</v>
      </c>
      <c r="AM1069" s="15">
        <f t="shared" si="110"/>
        <v>16</v>
      </c>
      <c r="AN1069" s="15" t="str">
        <f t="shared" si="111"/>
        <v>高级神器3配件3</v>
      </c>
      <c r="AO1069" s="15">
        <f>INDEX(芦花古楼!$BX$19:$BX$58,神器!AM1069)</f>
        <v>10</v>
      </c>
      <c r="AP1069" s="15" t="s">
        <v>88</v>
      </c>
      <c r="AQ1069" s="15">
        <f t="shared" si="112"/>
        <v>4620</v>
      </c>
      <c r="AR1069" s="15" t="s">
        <v>654</v>
      </c>
      <c r="AS1069" s="15">
        <f t="shared" si="113"/>
        <v>98</v>
      </c>
    </row>
    <row r="1070" spans="35:45" ht="16.5" x14ac:dyDescent="0.2">
      <c r="AI1070" s="60">
        <v>1057</v>
      </c>
      <c r="AJ1070" s="15">
        <f t="shared" si="108"/>
        <v>1606029</v>
      </c>
      <c r="AK1070" s="15" t="str">
        <f t="shared" si="109"/>
        <v>高级神器3配件3-翼骨Lvs17</v>
      </c>
      <c r="AL1070" s="60" t="s">
        <v>645</v>
      </c>
      <c r="AM1070" s="15">
        <f t="shared" si="110"/>
        <v>17</v>
      </c>
      <c r="AN1070" s="15" t="str">
        <f t="shared" si="111"/>
        <v>高级神器3配件3</v>
      </c>
      <c r="AO1070" s="15">
        <f>INDEX(芦花古楼!$BX$19:$BX$58,神器!AM1070)</f>
        <v>10</v>
      </c>
      <c r="AP1070" s="15" t="s">
        <v>88</v>
      </c>
      <c r="AQ1070" s="15">
        <f t="shared" si="112"/>
        <v>5040</v>
      </c>
      <c r="AR1070" s="15" t="s">
        <v>654</v>
      </c>
      <c r="AS1070" s="15">
        <f t="shared" si="113"/>
        <v>107</v>
      </c>
    </row>
    <row r="1071" spans="35:45" ht="16.5" x14ac:dyDescent="0.2">
      <c r="AI1071" s="60">
        <v>1058</v>
      </c>
      <c r="AJ1071" s="15">
        <f t="shared" si="108"/>
        <v>1606029</v>
      </c>
      <c r="AK1071" s="15" t="str">
        <f t="shared" si="109"/>
        <v>高级神器3配件3-翼骨Lvs18</v>
      </c>
      <c r="AL1071" s="60" t="s">
        <v>645</v>
      </c>
      <c r="AM1071" s="15">
        <f t="shared" si="110"/>
        <v>18</v>
      </c>
      <c r="AN1071" s="15" t="str">
        <f t="shared" si="111"/>
        <v>高级神器3配件3</v>
      </c>
      <c r="AO1071" s="15">
        <f>INDEX(芦花古楼!$BX$19:$BX$58,神器!AM1071)</f>
        <v>10</v>
      </c>
      <c r="AP1071" s="15" t="s">
        <v>88</v>
      </c>
      <c r="AQ1071" s="15">
        <f t="shared" si="112"/>
        <v>5460</v>
      </c>
      <c r="AR1071" s="15" t="s">
        <v>654</v>
      </c>
      <c r="AS1071" s="15">
        <f t="shared" si="113"/>
        <v>115</v>
      </c>
    </row>
    <row r="1072" spans="35:45" ht="16.5" x14ac:dyDescent="0.2">
      <c r="AI1072" s="60">
        <v>1059</v>
      </c>
      <c r="AJ1072" s="15">
        <f t="shared" si="108"/>
        <v>1606029</v>
      </c>
      <c r="AK1072" s="15" t="str">
        <f t="shared" si="109"/>
        <v>高级神器3配件3-翼骨Lvs19</v>
      </c>
      <c r="AL1072" s="60" t="s">
        <v>645</v>
      </c>
      <c r="AM1072" s="15">
        <f t="shared" si="110"/>
        <v>19</v>
      </c>
      <c r="AN1072" s="15" t="str">
        <f t="shared" si="111"/>
        <v>高级神器3配件3</v>
      </c>
      <c r="AO1072" s="15">
        <f>INDEX(芦花古楼!$BX$19:$BX$58,神器!AM1072)</f>
        <v>10</v>
      </c>
      <c r="AP1072" s="15" t="s">
        <v>88</v>
      </c>
      <c r="AQ1072" s="15">
        <f t="shared" si="112"/>
        <v>5880</v>
      </c>
      <c r="AR1072" s="15" t="s">
        <v>654</v>
      </c>
      <c r="AS1072" s="15">
        <f t="shared" si="113"/>
        <v>124</v>
      </c>
    </row>
    <row r="1073" spans="35:45" ht="16.5" x14ac:dyDescent="0.2">
      <c r="AI1073" s="60">
        <v>1060</v>
      </c>
      <c r="AJ1073" s="15">
        <f t="shared" si="108"/>
        <v>1606029</v>
      </c>
      <c r="AK1073" s="15" t="str">
        <f t="shared" si="109"/>
        <v>高级神器3配件3-翼骨Lvs20</v>
      </c>
      <c r="AL1073" s="60" t="s">
        <v>645</v>
      </c>
      <c r="AM1073" s="15">
        <f t="shared" si="110"/>
        <v>20</v>
      </c>
      <c r="AN1073" s="15" t="str">
        <f t="shared" si="111"/>
        <v>高级神器3配件3</v>
      </c>
      <c r="AO1073" s="15">
        <f>INDEX(芦花古楼!$BX$19:$BX$58,神器!AM1073)</f>
        <v>10</v>
      </c>
      <c r="AP1073" s="15" t="s">
        <v>88</v>
      </c>
      <c r="AQ1073" s="15">
        <f t="shared" si="112"/>
        <v>6720</v>
      </c>
      <c r="AR1073" s="15" t="s">
        <v>654</v>
      </c>
      <c r="AS1073" s="15">
        <f t="shared" si="113"/>
        <v>134</v>
      </c>
    </row>
    <row r="1074" spans="35:45" ht="16.5" x14ac:dyDescent="0.2">
      <c r="AI1074" s="60">
        <v>1061</v>
      </c>
      <c r="AJ1074" s="15">
        <f t="shared" si="108"/>
        <v>1606029</v>
      </c>
      <c r="AK1074" s="15" t="str">
        <f t="shared" si="109"/>
        <v>高级神器3配件3-翼骨Lvs21</v>
      </c>
      <c r="AL1074" s="60" t="s">
        <v>645</v>
      </c>
      <c r="AM1074" s="15">
        <f t="shared" si="110"/>
        <v>21</v>
      </c>
      <c r="AN1074" s="15" t="str">
        <f t="shared" si="111"/>
        <v>高级神器3配件3</v>
      </c>
      <c r="AO1074" s="15">
        <f>INDEX(芦花古楼!$BX$19:$BX$58,神器!AM1074)</f>
        <v>15</v>
      </c>
      <c r="AP1074" s="15" t="s">
        <v>88</v>
      </c>
      <c r="AQ1074" s="15">
        <f t="shared" si="112"/>
        <v>7420</v>
      </c>
      <c r="AR1074" s="15" t="s">
        <v>654</v>
      </c>
      <c r="AS1074" s="15">
        <f t="shared" si="113"/>
        <v>144</v>
      </c>
    </row>
    <row r="1075" spans="35:45" ht="16.5" x14ac:dyDescent="0.2">
      <c r="AI1075" s="60">
        <v>1062</v>
      </c>
      <c r="AJ1075" s="15">
        <f t="shared" si="108"/>
        <v>1606029</v>
      </c>
      <c r="AK1075" s="15" t="str">
        <f t="shared" si="109"/>
        <v>高级神器3配件3-翼骨Lvs22</v>
      </c>
      <c r="AL1075" s="60" t="s">
        <v>645</v>
      </c>
      <c r="AM1075" s="15">
        <f t="shared" si="110"/>
        <v>22</v>
      </c>
      <c r="AN1075" s="15" t="str">
        <f t="shared" si="111"/>
        <v>高级神器3配件3</v>
      </c>
      <c r="AO1075" s="15">
        <f>INDEX(芦花古楼!$BX$19:$BX$58,神器!AM1075)</f>
        <v>15</v>
      </c>
      <c r="AP1075" s="15" t="s">
        <v>88</v>
      </c>
      <c r="AQ1075" s="15">
        <f t="shared" si="112"/>
        <v>7790</v>
      </c>
      <c r="AR1075" s="15" t="s">
        <v>654</v>
      </c>
      <c r="AS1075" s="15">
        <f t="shared" si="113"/>
        <v>154</v>
      </c>
    </row>
    <row r="1076" spans="35:45" ht="16.5" x14ac:dyDescent="0.2">
      <c r="AI1076" s="60">
        <v>1063</v>
      </c>
      <c r="AJ1076" s="15">
        <f t="shared" si="108"/>
        <v>1606029</v>
      </c>
      <c r="AK1076" s="15" t="str">
        <f t="shared" si="109"/>
        <v>高级神器3配件3-翼骨Lvs23</v>
      </c>
      <c r="AL1076" s="60" t="s">
        <v>645</v>
      </c>
      <c r="AM1076" s="15">
        <f t="shared" si="110"/>
        <v>23</v>
      </c>
      <c r="AN1076" s="15" t="str">
        <f t="shared" si="111"/>
        <v>高级神器3配件3</v>
      </c>
      <c r="AO1076" s="15">
        <f>INDEX(芦花古楼!$BX$19:$BX$58,神器!AM1076)</f>
        <v>15</v>
      </c>
      <c r="AP1076" s="15" t="s">
        <v>88</v>
      </c>
      <c r="AQ1076" s="15">
        <f t="shared" si="112"/>
        <v>8160</v>
      </c>
      <c r="AR1076" s="15" t="s">
        <v>654</v>
      </c>
      <c r="AS1076" s="15">
        <f t="shared" si="113"/>
        <v>166</v>
      </c>
    </row>
    <row r="1077" spans="35:45" ht="16.5" x14ac:dyDescent="0.2">
      <c r="AI1077" s="60">
        <v>1064</v>
      </c>
      <c r="AJ1077" s="15">
        <f t="shared" si="108"/>
        <v>1606029</v>
      </c>
      <c r="AK1077" s="15" t="str">
        <f t="shared" si="109"/>
        <v>高级神器3配件3-翼骨Lvs24</v>
      </c>
      <c r="AL1077" s="60" t="s">
        <v>645</v>
      </c>
      <c r="AM1077" s="15">
        <f t="shared" si="110"/>
        <v>24</v>
      </c>
      <c r="AN1077" s="15" t="str">
        <f t="shared" si="111"/>
        <v>高级神器3配件3</v>
      </c>
      <c r="AO1077" s="15">
        <f>INDEX(芦花古楼!$BX$19:$BX$58,神器!AM1077)</f>
        <v>15</v>
      </c>
      <c r="AP1077" s="15" t="s">
        <v>88</v>
      </c>
      <c r="AQ1077" s="15">
        <f t="shared" si="112"/>
        <v>8535</v>
      </c>
      <c r="AR1077" s="15" t="s">
        <v>654</v>
      </c>
      <c r="AS1077" s="15">
        <f t="shared" si="113"/>
        <v>177</v>
      </c>
    </row>
    <row r="1078" spans="35:45" ht="16.5" x14ac:dyDescent="0.2">
      <c r="AI1078" s="60">
        <v>1065</v>
      </c>
      <c r="AJ1078" s="15">
        <f t="shared" si="108"/>
        <v>1606029</v>
      </c>
      <c r="AK1078" s="15" t="str">
        <f t="shared" si="109"/>
        <v>高级神器3配件3-翼骨Lvs25</v>
      </c>
      <c r="AL1078" s="60" t="s">
        <v>645</v>
      </c>
      <c r="AM1078" s="15">
        <f t="shared" si="110"/>
        <v>25</v>
      </c>
      <c r="AN1078" s="15" t="str">
        <f t="shared" si="111"/>
        <v>高级神器3配件3</v>
      </c>
      <c r="AO1078" s="15">
        <f>INDEX(芦花古楼!$BX$19:$BX$58,神器!AM1078)</f>
        <v>15</v>
      </c>
      <c r="AP1078" s="15" t="s">
        <v>88</v>
      </c>
      <c r="AQ1078" s="15">
        <f t="shared" si="112"/>
        <v>8905</v>
      </c>
      <c r="AR1078" s="15" t="s">
        <v>654</v>
      </c>
      <c r="AS1078" s="15">
        <f t="shared" si="113"/>
        <v>189</v>
      </c>
    </row>
    <row r="1079" spans="35:45" ht="16.5" x14ac:dyDescent="0.2">
      <c r="AI1079" s="60">
        <v>1066</v>
      </c>
      <c r="AJ1079" s="15">
        <f t="shared" si="108"/>
        <v>1606029</v>
      </c>
      <c r="AK1079" s="15" t="str">
        <f t="shared" si="109"/>
        <v>高级神器3配件3-翼骨Lvs26</v>
      </c>
      <c r="AL1079" s="60" t="s">
        <v>645</v>
      </c>
      <c r="AM1079" s="15">
        <f t="shared" si="110"/>
        <v>26</v>
      </c>
      <c r="AN1079" s="15" t="str">
        <f t="shared" si="111"/>
        <v>高级神器3配件3</v>
      </c>
      <c r="AO1079" s="15">
        <f>INDEX(芦花古楼!$BX$19:$BX$58,神器!AM1079)</f>
        <v>25</v>
      </c>
      <c r="AP1079" s="15" t="s">
        <v>88</v>
      </c>
      <c r="AQ1079" s="15">
        <f t="shared" si="112"/>
        <v>9275</v>
      </c>
      <c r="AR1079" s="15" t="s">
        <v>654</v>
      </c>
      <c r="AS1079" s="15">
        <f t="shared" si="113"/>
        <v>202</v>
      </c>
    </row>
    <row r="1080" spans="35:45" ht="16.5" x14ac:dyDescent="0.2">
      <c r="AI1080" s="60">
        <v>1067</v>
      </c>
      <c r="AJ1080" s="15">
        <f t="shared" si="108"/>
        <v>1606029</v>
      </c>
      <c r="AK1080" s="15" t="str">
        <f t="shared" si="109"/>
        <v>高级神器3配件3-翼骨Lvs27</v>
      </c>
      <c r="AL1080" s="60" t="s">
        <v>645</v>
      </c>
      <c r="AM1080" s="15">
        <f t="shared" si="110"/>
        <v>27</v>
      </c>
      <c r="AN1080" s="15" t="str">
        <f t="shared" si="111"/>
        <v>高级神器3配件3</v>
      </c>
      <c r="AO1080" s="15">
        <f>INDEX(芦花古楼!$BX$19:$BX$58,神器!AM1080)</f>
        <v>25</v>
      </c>
      <c r="AP1080" s="15" t="s">
        <v>88</v>
      </c>
      <c r="AQ1080" s="15">
        <f t="shared" si="112"/>
        <v>9645</v>
      </c>
      <c r="AR1080" s="15" t="s">
        <v>654</v>
      </c>
      <c r="AS1080" s="15">
        <f t="shared" si="113"/>
        <v>216</v>
      </c>
    </row>
    <row r="1081" spans="35:45" ht="16.5" x14ac:dyDescent="0.2">
      <c r="AI1081" s="60">
        <v>1068</v>
      </c>
      <c r="AJ1081" s="15">
        <f t="shared" si="108"/>
        <v>1606029</v>
      </c>
      <c r="AK1081" s="15" t="str">
        <f t="shared" si="109"/>
        <v>高级神器3配件3-翼骨Lvs28</v>
      </c>
      <c r="AL1081" s="60" t="s">
        <v>645</v>
      </c>
      <c r="AM1081" s="15">
        <f t="shared" si="110"/>
        <v>28</v>
      </c>
      <c r="AN1081" s="15" t="str">
        <f t="shared" si="111"/>
        <v>高级神器3配件3</v>
      </c>
      <c r="AO1081" s="15">
        <f>INDEX(芦花古楼!$BX$19:$BX$58,神器!AM1081)</f>
        <v>25</v>
      </c>
      <c r="AP1081" s="15" t="s">
        <v>88</v>
      </c>
      <c r="AQ1081" s="15">
        <f t="shared" si="112"/>
        <v>10015</v>
      </c>
      <c r="AR1081" s="15" t="s">
        <v>654</v>
      </c>
      <c r="AS1081" s="15">
        <f t="shared" si="113"/>
        <v>230</v>
      </c>
    </row>
    <row r="1082" spans="35:45" ht="16.5" x14ac:dyDescent="0.2">
      <c r="AI1082" s="60">
        <v>1069</v>
      </c>
      <c r="AJ1082" s="15">
        <f t="shared" si="108"/>
        <v>1606029</v>
      </c>
      <c r="AK1082" s="15" t="str">
        <f t="shared" si="109"/>
        <v>高级神器3配件3-翼骨Lvs29</v>
      </c>
      <c r="AL1082" s="60" t="s">
        <v>645</v>
      </c>
      <c r="AM1082" s="15">
        <f t="shared" si="110"/>
        <v>29</v>
      </c>
      <c r="AN1082" s="15" t="str">
        <f t="shared" si="111"/>
        <v>高级神器3配件3</v>
      </c>
      <c r="AO1082" s="15">
        <f>INDEX(芦花古楼!$BX$19:$BX$58,神器!AM1082)</f>
        <v>25</v>
      </c>
      <c r="AP1082" s="15" t="s">
        <v>88</v>
      </c>
      <c r="AQ1082" s="15">
        <f t="shared" si="112"/>
        <v>10390</v>
      </c>
      <c r="AR1082" s="15" t="s">
        <v>654</v>
      </c>
      <c r="AS1082" s="15">
        <f t="shared" si="113"/>
        <v>244</v>
      </c>
    </row>
    <row r="1083" spans="35:45" ht="16.5" x14ac:dyDescent="0.2">
      <c r="AI1083" s="60">
        <v>1070</v>
      </c>
      <c r="AJ1083" s="15">
        <f t="shared" si="108"/>
        <v>1606029</v>
      </c>
      <c r="AK1083" s="15" t="str">
        <f t="shared" si="109"/>
        <v>高级神器3配件3-翼骨Lvs30</v>
      </c>
      <c r="AL1083" s="60" t="s">
        <v>645</v>
      </c>
      <c r="AM1083" s="15">
        <f t="shared" si="110"/>
        <v>30</v>
      </c>
      <c r="AN1083" s="15" t="str">
        <f t="shared" si="111"/>
        <v>高级神器3配件3</v>
      </c>
      <c r="AO1083" s="15">
        <f>INDEX(芦花古楼!$BX$19:$BX$58,神器!AM1083)</f>
        <v>25</v>
      </c>
      <c r="AP1083" s="15" t="s">
        <v>88</v>
      </c>
      <c r="AQ1083" s="15">
        <f t="shared" si="112"/>
        <v>11130</v>
      </c>
      <c r="AR1083" s="15" t="s">
        <v>654</v>
      </c>
      <c r="AS1083" s="15">
        <f t="shared" si="113"/>
        <v>260</v>
      </c>
    </row>
    <row r="1084" spans="35:45" ht="16.5" x14ac:dyDescent="0.2">
      <c r="AI1084" s="60">
        <v>1071</v>
      </c>
      <c r="AJ1084" s="15">
        <f t="shared" si="108"/>
        <v>1606029</v>
      </c>
      <c r="AK1084" s="15" t="str">
        <f t="shared" si="109"/>
        <v>高级神器3配件3-翼骨Lvs31</v>
      </c>
      <c r="AL1084" s="60" t="s">
        <v>645</v>
      </c>
      <c r="AM1084" s="15">
        <f t="shared" si="110"/>
        <v>31</v>
      </c>
      <c r="AN1084" s="15" t="str">
        <f t="shared" si="111"/>
        <v>高级神器3配件3</v>
      </c>
      <c r="AO1084" s="15">
        <f>INDEX(芦花古楼!$BX$19:$BX$58,神器!AM1084)</f>
        <v>30</v>
      </c>
      <c r="AP1084" s="15" t="s">
        <v>88</v>
      </c>
      <c r="AQ1084" s="15">
        <f t="shared" si="112"/>
        <v>10850</v>
      </c>
      <c r="AR1084" s="15" t="s">
        <v>654</v>
      </c>
      <c r="AS1084" s="15">
        <f t="shared" si="113"/>
        <v>276</v>
      </c>
    </row>
    <row r="1085" spans="35:45" ht="16.5" x14ac:dyDescent="0.2">
      <c r="AI1085" s="60">
        <v>1072</v>
      </c>
      <c r="AJ1085" s="15">
        <f t="shared" si="108"/>
        <v>1606029</v>
      </c>
      <c r="AK1085" s="15" t="str">
        <f t="shared" si="109"/>
        <v>高级神器3配件3-翼骨Lvs32</v>
      </c>
      <c r="AL1085" s="60" t="s">
        <v>645</v>
      </c>
      <c r="AM1085" s="15">
        <f t="shared" si="110"/>
        <v>32</v>
      </c>
      <c r="AN1085" s="15" t="str">
        <f t="shared" si="111"/>
        <v>高级神器3配件3</v>
      </c>
      <c r="AO1085" s="15">
        <f>INDEX(芦花古楼!$BX$19:$BX$58,神器!AM1085)</f>
        <v>30</v>
      </c>
      <c r="AP1085" s="15" t="s">
        <v>88</v>
      </c>
      <c r="AQ1085" s="15">
        <f t="shared" si="112"/>
        <v>16275</v>
      </c>
      <c r="AR1085" s="15" t="s">
        <v>654</v>
      </c>
      <c r="AS1085" s="15">
        <f t="shared" si="113"/>
        <v>293</v>
      </c>
    </row>
    <row r="1086" spans="35:45" ht="16.5" x14ac:dyDescent="0.2">
      <c r="AI1086" s="60">
        <v>1073</v>
      </c>
      <c r="AJ1086" s="15">
        <f t="shared" si="108"/>
        <v>1606029</v>
      </c>
      <c r="AK1086" s="15" t="str">
        <f t="shared" si="109"/>
        <v>高级神器3配件3-翼骨Lvs33</v>
      </c>
      <c r="AL1086" s="60" t="s">
        <v>645</v>
      </c>
      <c r="AM1086" s="15">
        <f t="shared" si="110"/>
        <v>33</v>
      </c>
      <c r="AN1086" s="15" t="str">
        <f t="shared" si="111"/>
        <v>高级神器3配件3</v>
      </c>
      <c r="AO1086" s="15">
        <f>INDEX(芦花古楼!$BX$19:$BX$58,神器!AM1086)</f>
        <v>30</v>
      </c>
      <c r="AP1086" s="15" t="s">
        <v>88</v>
      </c>
      <c r="AQ1086" s="15">
        <f t="shared" si="112"/>
        <v>21700</v>
      </c>
      <c r="AR1086" s="15" t="s">
        <v>654</v>
      </c>
      <c r="AS1086" s="15">
        <f t="shared" si="113"/>
        <v>312</v>
      </c>
    </row>
    <row r="1087" spans="35:45" ht="16.5" x14ac:dyDescent="0.2">
      <c r="AI1087" s="60">
        <v>1074</v>
      </c>
      <c r="AJ1087" s="15">
        <f t="shared" si="108"/>
        <v>1606029</v>
      </c>
      <c r="AK1087" s="15" t="str">
        <f t="shared" si="109"/>
        <v>高级神器3配件3-翼骨Lvs34</v>
      </c>
      <c r="AL1087" s="60" t="s">
        <v>645</v>
      </c>
      <c r="AM1087" s="15">
        <f t="shared" si="110"/>
        <v>34</v>
      </c>
      <c r="AN1087" s="15" t="str">
        <f t="shared" si="111"/>
        <v>高级神器3配件3</v>
      </c>
      <c r="AO1087" s="15">
        <f>INDEX(芦花古楼!$BX$19:$BX$58,神器!AM1087)</f>
        <v>30</v>
      </c>
      <c r="AP1087" s="15" t="s">
        <v>88</v>
      </c>
      <c r="AQ1087" s="15">
        <f t="shared" si="112"/>
        <v>27125</v>
      </c>
      <c r="AR1087" s="15" t="s">
        <v>654</v>
      </c>
      <c r="AS1087" s="15">
        <f t="shared" si="113"/>
        <v>330</v>
      </c>
    </row>
    <row r="1088" spans="35:45" ht="16.5" x14ac:dyDescent="0.2">
      <c r="AI1088" s="60">
        <v>1075</v>
      </c>
      <c r="AJ1088" s="15">
        <f t="shared" si="108"/>
        <v>1606029</v>
      </c>
      <c r="AK1088" s="15" t="str">
        <f t="shared" si="109"/>
        <v>高级神器3配件3-翼骨Lvs35</v>
      </c>
      <c r="AL1088" s="60" t="s">
        <v>645</v>
      </c>
      <c r="AM1088" s="15">
        <f t="shared" si="110"/>
        <v>35</v>
      </c>
      <c r="AN1088" s="15" t="str">
        <f t="shared" si="111"/>
        <v>高级神器3配件3</v>
      </c>
      <c r="AO1088" s="15">
        <f>INDEX(芦花古楼!$BX$19:$BX$58,神器!AM1088)</f>
        <v>30</v>
      </c>
      <c r="AP1088" s="15" t="s">
        <v>88</v>
      </c>
      <c r="AQ1088" s="15">
        <f t="shared" si="112"/>
        <v>32550</v>
      </c>
      <c r="AR1088" s="15" t="s">
        <v>654</v>
      </c>
      <c r="AS1088" s="15">
        <f t="shared" si="113"/>
        <v>350</v>
      </c>
    </row>
    <row r="1089" spans="35:45" ht="16.5" x14ac:dyDescent="0.2">
      <c r="AI1089" s="60">
        <v>1076</v>
      </c>
      <c r="AJ1089" s="15">
        <f t="shared" si="108"/>
        <v>1606029</v>
      </c>
      <c r="AK1089" s="15" t="str">
        <f t="shared" si="109"/>
        <v>高级神器3配件3-翼骨Lvs36</v>
      </c>
      <c r="AL1089" s="60" t="s">
        <v>645</v>
      </c>
      <c r="AM1089" s="15">
        <f t="shared" si="110"/>
        <v>36</v>
      </c>
      <c r="AN1089" s="15" t="str">
        <f t="shared" si="111"/>
        <v>高级神器3配件3</v>
      </c>
      <c r="AO1089" s="15">
        <f>INDEX(芦花古楼!$BX$19:$BX$58,神器!AM1089)</f>
        <v>40</v>
      </c>
      <c r="AP1089" s="15" t="s">
        <v>88</v>
      </c>
      <c r="AQ1089" s="15">
        <f t="shared" si="112"/>
        <v>37975</v>
      </c>
      <c r="AR1089" s="15" t="s">
        <v>654</v>
      </c>
      <c r="AS1089" s="15">
        <f t="shared" si="113"/>
        <v>371</v>
      </c>
    </row>
    <row r="1090" spans="35:45" ht="16.5" x14ac:dyDescent="0.2">
      <c r="AI1090" s="60">
        <v>1077</v>
      </c>
      <c r="AJ1090" s="15">
        <f t="shared" si="108"/>
        <v>1606029</v>
      </c>
      <c r="AK1090" s="15" t="str">
        <f t="shared" si="109"/>
        <v>高级神器3配件3-翼骨Lvs37</v>
      </c>
      <c r="AL1090" s="60" t="s">
        <v>645</v>
      </c>
      <c r="AM1090" s="15">
        <f t="shared" si="110"/>
        <v>37</v>
      </c>
      <c r="AN1090" s="15" t="str">
        <f t="shared" si="111"/>
        <v>高级神器3配件3</v>
      </c>
      <c r="AO1090" s="15">
        <f>INDEX(芦花古楼!$BX$19:$BX$58,神器!AM1090)</f>
        <v>40</v>
      </c>
      <c r="AP1090" s="15" t="s">
        <v>88</v>
      </c>
      <c r="AQ1090" s="15">
        <f t="shared" si="112"/>
        <v>43400</v>
      </c>
      <c r="AR1090" s="15" t="s">
        <v>654</v>
      </c>
      <c r="AS1090" s="15">
        <f t="shared" si="113"/>
        <v>393</v>
      </c>
    </row>
    <row r="1091" spans="35:45" ht="16.5" x14ac:dyDescent="0.2">
      <c r="AI1091" s="60">
        <v>1078</v>
      </c>
      <c r="AJ1091" s="15">
        <f t="shared" si="108"/>
        <v>1606029</v>
      </c>
      <c r="AK1091" s="15" t="str">
        <f t="shared" si="109"/>
        <v>高级神器3配件3-翼骨Lvs38</v>
      </c>
      <c r="AL1091" s="60" t="s">
        <v>645</v>
      </c>
      <c r="AM1091" s="15">
        <f t="shared" si="110"/>
        <v>38</v>
      </c>
      <c r="AN1091" s="15" t="str">
        <f t="shared" si="111"/>
        <v>高级神器3配件3</v>
      </c>
      <c r="AO1091" s="15">
        <f>INDEX(芦花古楼!$BX$19:$BX$58,神器!AM1091)</f>
        <v>40</v>
      </c>
      <c r="AP1091" s="15" t="s">
        <v>88</v>
      </c>
      <c r="AQ1091" s="15">
        <f t="shared" si="112"/>
        <v>48825</v>
      </c>
      <c r="AR1091" s="15" t="s">
        <v>654</v>
      </c>
      <c r="AS1091" s="15">
        <f t="shared" si="113"/>
        <v>416</v>
      </c>
    </row>
    <row r="1092" spans="35:45" ht="16.5" x14ac:dyDescent="0.2">
      <c r="AI1092" s="60">
        <v>1079</v>
      </c>
      <c r="AJ1092" s="15">
        <f t="shared" si="108"/>
        <v>1606029</v>
      </c>
      <c r="AK1092" s="15" t="str">
        <f t="shared" si="109"/>
        <v>高级神器3配件3-翼骨Lvs39</v>
      </c>
      <c r="AL1092" s="60" t="s">
        <v>645</v>
      </c>
      <c r="AM1092" s="15">
        <f t="shared" si="110"/>
        <v>39</v>
      </c>
      <c r="AN1092" s="15" t="str">
        <f t="shared" si="111"/>
        <v>高级神器3配件3</v>
      </c>
      <c r="AO1092" s="15">
        <f>INDEX(芦花古楼!$BX$19:$BX$58,神器!AM1092)</f>
        <v>40</v>
      </c>
      <c r="AP1092" s="15" t="s">
        <v>88</v>
      </c>
      <c r="AQ1092" s="15">
        <f t="shared" si="112"/>
        <v>54250</v>
      </c>
      <c r="AR1092" s="15" t="s">
        <v>654</v>
      </c>
      <c r="AS1092" s="15">
        <f t="shared" si="113"/>
        <v>440</v>
      </c>
    </row>
    <row r="1093" spans="35:45" ht="16.5" x14ac:dyDescent="0.2">
      <c r="AI1093" s="60">
        <v>1080</v>
      </c>
      <c r="AJ1093" s="15">
        <f t="shared" si="108"/>
        <v>1606029</v>
      </c>
      <c r="AK1093" s="15" t="str">
        <f t="shared" si="109"/>
        <v>高级神器3配件3-翼骨Lvs40</v>
      </c>
      <c r="AL1093" s="60" t="s">
        <v>645</v>
      </c>
      <c r="AM1093" s="15">
        <f t="shared" si="110"/>
        <v>40</v>
      </c>
      <c r="AN1093" s="15" t="str">
        <f t="shared" si="111"/>
        <v>高级神器3配件3</v>
      </c>
      <c r="AO1093" s="15">
        <f>INDEX(芦花古楼!$BX$19:$BX$58,神器!AM1093)</f>
        <v>40</v>
      </c>
      <c r="AP1093" s="15" t="s">
        <v>88</v>
      </c>
      <c r="AQ1093" s="15">
        <f t="shared" si="112"/>
        <v>65100</v>
      </c>
      <c r="AR1093" s="15" t="s">
        <v>654</v>
      </c>
      <c r="AS1093" s="15">
        <f t="shared" si="113"/>
        <v>465</v>
      </c>
    </row>
    <row r="1094" spans="35:45" ht="16.5" x14ac:dyDescent="0.2">
      <c r="AI1094" s="60">
        <v>1081</v>
      </c>
      <c r="AJ1094" s="15">
        <f t="shared" si="108"/>
        <v>1606030</v>
      </c>
      <c r="AK1094" s="15" t="str">
        <f t="shared" si="109"/>
        <v>高级神器3配件4-冥神刻印Lvs1</v>
      </c>
      <c r="AL1094" s="60" t="s">
        <v>645</v>
      </c>
      <c r="AM1094" s="15">
        <f t="shared" si="110"/>
        <v>1</v>
      </c>
      <c r="AN1094" s="15" t="str">
        <f t="shared" si="111"/>
        <v>高级神器3配件4</v>
      </c>
      <c r="AO1094" s="15">
        <f>INDEX(芦花古楼!$BX$19:$BX$58,神器!AM1094)</f>
        <v>1</v>
      </c>
      <c r="AP1094" s="15" t="s">
        <v>88</v>
      </c>
      <c r="AQ1094" s="15">
        <f t="shared" si="112"/>
        <v>465</v>
      </c>
      <c r="AR1094" s="15" t="s">
        <v>654</v>
      </c>
      <c r="AS1094" s="15">
        <f t="shared" si="113"/>
        <v>18</v>
      </c>
    </row>
    <row r="1095" spans="35:45" ht="16.5" x14ac:dyDescent="0.2">
      <c r="AI1095" s="60">
        <v>1082</v>
      </c>
      <c r="AJ1095" s="15">
        <f t="shared" si="108"/>
        <v>1606030</v>
      </c>
      <c r="AK1095" s="15" t="str">
        <f t="shared" si="109"/>
        <v>高级神器3配件4-冥神刻印Lvs2</v>
      </c>
      <c r="AL1095" s="60" t="s">
        <v>645</v>
      </c>
      <c r="AM1095" s="15">
        <f t="shared" si="110"/>
        <v>2</v>
      </c>
      <c r="AN1095" s="15" t="str">
        <f t="shared" si="111"/>
        <v>高级神器3配件4</v>
      </c>
      <c r="AO1095" s="15">
        <f>INDEX(芦花古楼!$BX$19:$BX$58,神器!AM1095)</f>
        <v>1</v>
      </c>
      <c r="AP1095" s="15" t="s">
        <v>88</v>
      </c>
      <c r="AQ1095" s="15">
        <f t="shared" si="112"/>
        <v>700</v>
      </c>
      <c r="AR1095" s="15" t="s">
        <v>654</v>
      </c>
      <c r="AS1095" s="15">
        <f t="shared" si="113"/>
        <v>24</v>
      </c>
    </row>
    <row r="1096" spans="35:45" ht="16.5" x14ac:dyDescent="0.2">
      <c r="AI1096" s="60">
        <v>1083</v>
      </c>
      <c r="AJ1096" s="15">
        <f t="shared" si="108"/>
        <v>1606030</v>
      </c>
      <c r="AK1096" s="15" t="str">
        <f t="shared" si="109"/>
        <v>高级神器3配件4-冥神刻印Lvs3</v>
      </c>
      <c r="AL1096" s="60" t="s">
        <v>645</v>
      </c>
      <c r="AM1096" s="15">
        <f t="shared" si="110"/>
        <v>3</v>
      </c>
      <c r="AN1096" s="15" t="str">
        <f t="shared" si="111"/>
        <v>高级神器3配件4</v>
      </c>
      <c r="AO1096" s="15">
        <f>INDEX(芦花古楼!$BX$19:$BX$58,神器!AM1096)</f>
        <v>2</v>
      </c>
      <c r="AP1096" s="15" t="s">
        <v>88</v>
      </c>
      <c r="AQ1096" s="15">
        <f t="shared" si="112"/>
        <v>935</v>
      </c>
      <c r="AR1096" s="15" t="s">
        <v>654</v>
      </c>
      <c r="AS1096" s="15">
        <f t="shared" si="113"/>
        <v>29</v>
      </c>
    </row>
    <row r="1097" spans="35:45" ht="16.5" x14ac:dyDescent="0.2">
      <c r="AI1097" s="60">
        <v>1084</v>
      </c>
      <c r="AJ1097" s="15">
        <f t="shared" si="108"/>
        <v>1606030</v>
      </c>
      <c r="AK1097" s="15" t="str">
        <f t="shared" si="109"/>
        <v>高级神器3配件4-冥神刻印Lvs4</v>
      </c>
      <c r="AL1097" s="60" t="s">
        <v>645</v>
      </c>
      <c r="AM1097" s="15">
        <f t="shared" si="110"/>
        <v>4</v>
      </c>
      <c r="AN1097" s="15" t="str">
        <f t="shared" si="111"/>
        <v>高级神器3配件4</v>
      </c>
      <c r="AO1097" s="15">
        <f>INDEX(芦花古楼!$BX$19:$BX$58,神器!AM1097)</f>
        <v>3</v>
      </c>
      <c r="AP1097" s="15" t="s">
        <v>88</v>
      </c>
      <c r="AQ1097" s="15">
        <f t="shared" si="112"/>
        <v>1170</v>
      </c>
      <c r="AR1097" s="15" t="s">
        <v>654</v>
      </c>
      <c r="AS1097" s="15">
        <f t="shared" si="113"/>
        <v>36</v>
      </c>
    </row>
    <row r="1098" spans="35:45" ht="16.5" x14ac:dyDescent="0.2">
      <c r="AI1098" s="60">
        <v>1085</v>
      </c>
      <c r="AJ1098" s="15">
        <f t="shared" si="108"/>
        <v>1606030</v>
      </c>
      <c r="AK1098" s="15" t="str">
        <f t="shared" si="109"/>
        <v>高级神器3配件4-冥神刻印Lvs5</v>
      </c>
      <c r="AL1098" s="60" t="s">
        <v>645</v>
      </c>
      <c r="AM1098" s="15">
        <f t="shared" si="110"/>
        <v>5</v>
      </c>
      <c r="AN1098" s="15" t="str">
        <f t="shared" si="111"/>
        <v>高级神器3配件4</v>
      </c>
      <c r="AO1098" s="15">
        <f>INDEX(芦花古楼!$BX$19:$BX$58,神器!AM1098)</f>
        <v>3</v>
      </c>
      <c r="AP1098" s="15" t="s">
        <v>88</v>
      </c>
      <c r="AQ1098" s="15">
        <f t="shared" si="112"/>
        <v>1405</v>
      </c>
      <c r="AR1098" s="15" t="s">
        <v>654</v>
      </c>
      <c r="AS1098" s="15">
        <f t="shared" si="113"/>
        <v>42</v>
      </c>
    </row>
    <row r="1099" spans="35:45" ht="16.5" x14ac:dyDescent="0.2">
      <c r="AI1099" s="60">
        <v>1086</v>
      </c>
      <c r="AJ1099" s="15">
        <f t="shared" si="108"/>
        <v>1606030</v>
      </c>
      <c r="AK1099" s="15" t="str">
        <f t="shared" si="109"/>
        <v>高级神器3配件4-冥神刻印Lvs6</v>
      </c>
      <c r="AL1099" s="60" t="s">
        <v>645</v>
      </c>
      <c r="AM1099" s="15">
        <f t="shared" si="110"/>
        <v>6</v>
      </c>
      <c r="AN1099" s="15" t="str">
        <f t="shared" si="111"/>
        <v>高级神器3配件4</v>
      </c>
      <c r="AO1099" s="15">
        <f>INDEX(芦花古楼!$BX$19:$BX$58,神器!AM1099)</f>
        <v>5</v>
      </c>
      <c r="AP1099" s="15" t="s">
        <v>88</v>
      </c>
      <c r="AQ1099" s="15">
        <f t="shared" si="112"/>
        <v>1640</v>
      </c>
      <c r="AR1099" s="15" t="s">
        <v>654</v>
      </c>
      <c r="AS1099" s="15">
        <f t="shared" si="113"/>
        <v>49</v>
      </c>
    </row>
    <row r="1100" spans="35:45" ht="16.5" x14ac:dyDescent="0.2">
      <c r="AI1100" s="60">
        <v>1087</v>
      </c>
      <c r="AJ1100" s="15">
        <f t="shared" si="108"/>
        <v>1606030</v>
      </c>
      <c r="AK1100" s="15" t="str">
        <f t="shared" si="109"/>
        <v>高级神器3配件4-冥神刻印Lvs7</v>
      </c>
      <c r="AL1100" s="60" t="s">
        <v>645</v>
      </c>
      <c r="AM1100" s="15">
        <f t="shared" si="110"/>
        <v>7</v>
      </c>
      <c r="AN1100" s="15" t="str">
        <f t="shared" si="111"/>
        <v>高级神器3配件4</v>
      </c>
      <c r="AO1100" s="15">
        <f>INDEX(芦花古楼!$BX$19:$BX$58,神器!AM1100)</f>
        <v>5</v>
      </c>
      <c r="AP1100" s="15" t="s">
        <v>88</v>
      </c>
      <c r="AQ1100" s="15">
        <f t="shared" si="112"/>
        <v>1870</v>
      </c>
      <c r="AR1100" s="15" t="s">
        <v>654</v>
      </c>
      <c r="AS1100" s="15">
        <f t="shared" si="113"/>
        <v>56</v>
      </c>
    </row>
    <row r="1101" spans="35:45" ht="16.5" x14ac:dyDescent="0.2">
      <c r="AI1101" s="60">
        <v>1088</v>
      </c>
      <c r="AJ1101" s="15">
        <f t="shared" si="108"/>
        <v>1606030</v>
      </c>
      <c r="AK1101" s="15" t="str">
        <f t="shared" si="109"/>
        <v>高级神器3配件4-冥神刻印Lvs8</v>
      </c>
      <c r="AL1101" s="60" t="s">
        <v>645</v>
      </c>
      <c r="AM1101" s="15">
        <f t="shared" si="110"/>
        <v>8</v>
      </c>
      <c r="AN1101" s="15" t="str">
        <f t="shared" si="111"/>
        <v>高级神器3配件4</v>
      </c>
      <c r="AO1101" s="15">
        <f>INDEX(芦花古楼!$BX$19:$BX$58,神器!AM1101)</f>
        <v>5</v>
      </c>
      <c r="AP1101" s="15" t="s">
        <v>88</v>
      </c>
      <c r="AQ1101" s="15">
        <f t="shared" si="112"/>
        <v>2105</v>
      </c>
      <c r="AR1101" s="15" t="s">
        <v>654</v>
      </c>
      <c r="AS1101" s="15">
        <f t="shared" si="113"/>
        <v>63</v>
      </c>
    </row>
    <row r="1102" spans="35:45" ht="16.5" x14ac:dyDescent="0.2">
      <c r="AI1102" s="60">
        <v>1089</v>
      </c>
      <c r="AJ1102" s="15">
        <f t="shared" si="108"/>
        <v>1606030</v>
      </c>
      <c r="AK1102" s="15" t="str">
        <f t="shared" si="109"/>
        <v>高级神器3配件4-冥神刻印Lvs9</v>
      </c>
      <c r="AL1102" s="60" t="s">
        <v>645</v>
      </c>
      <c r="AM1102" s="15">
        <f t="shared" si="110"/>
        <v>9</v>
      </c>
      <c r="AN1102" s="15" t="str">
        <f t="shared" si="111"/>
        <v>高级神器3配件4</v>
      </c>
      <c r="AO1102" s="15">
        <f>INDEX(芦花古楼!$BX$19:$BX$58,神器!AM1102)</f>
        <v>5</v>
      </c>
      <c r="AP1102" s="15" t="s">
        <v>88</v>
      </c>
      <c r="AQ1102" s="15">
        <f t="shared" si="112"/>
        <v>2340</v>
      </c>
      <c r="AR1102" s="15" t="s">
        <v>654</v>
      </c>
      <c r="AS1102" s="15">
        <f t="shared" si="113"/>
        <v>71</v>
      </c>
    </row>
    <row r="1103" spans="35:45" ht="16.5" x14ac:dyDescent="0.2">
      <c r="AI1103" s="60">
        <v>1090</v>
      </c>
      <c r="AJ1103" s="15">
        <f t="shared" ref="AJ1103:AJ1166" si="114">INDEX($AC$4:$AC$33,INT((AI1103-1)/40)+1)</f>
        <v>1606030</v>
      </c>
      <c r="AK1103" s="15" t="str">
        <f t="shared" ref="AK1103:AK1166" si="115">INDEX($AF$4:$AF$33,INT((AI1103-1)/40)+1)&amp;AL1103&amp;AM1103</f>
        <v>高级神器3配件4-冥神刻印Lvs10</v>
      </c>
      <c r="AL1103" s="60" t="s">
        <v>645</v>
      </c>
      <c r="AM1103" s="15">
        <f t="shared" ref="AM1103:AM1166" si="116">MOD(AI1103-1,40)+1</f>
        <v>10</v>
      </c>
      <c r="AN1103" s="15" t="str">
        <f t="shared" ref="AN1103:AN1166" si="117">INDEX($AD$4:$AD$33,INT((AI1103-1)/40)+1)</f>
        <v>高级神器3配件4</v>
      </c>
      <c r="AO1103" s="15">
        <f>INDEX(芦花古楼!$BX$19:$BX$58,神器!AM1103)</f>
        <v>7</v>
      </c>
      <c r="AP1103" s="15" t="s">
        <v>88</v>
      </c>
      <c r="AQ1103" s="15">
        <f t="shared" ref="AQ1103:AQ1166" si="118">INDEX($F$14:$L$53,AM1103,INDEX($AB$4:$AB$33,INT((AI1103-1)/40)+1))</f>
        <v>2810</v>
      </c>
      <c r="AR1103" s="15" t="s">
        <v>654</v>
      </c>
      <c r="AS1103" s="15">
        <f t="shared" ref="AS1103:AS1166" si="119">INDEX($P$14:$V$53,AM1103,INDEX($AB$4:$AB$33,INT((AI1103-1)/40)+1))</f>
        <v>79</v>
      </c>
    </row>
    <row r="1104" spans="35:45" ht="16.5" x14ac:dyDescent="0.2">
      <c r="AI1104" s="60">
        <v>1091</v>
      </c>
      <c r="AJ1104" s="15">
        <f t="shared" si="114"/>
        <v>1606030</v>
      </c>
      <c r="AK1104" s="15" t="str">
        <f t="shared" si="115"/>
        <v>高级神器3配件4-冥神刻印Lvs11</v>
      </c>
      <c r="AL1104" s="60" t="s">
        <v>645</v>
      </c>
      <c r="AM1104" s="15">
        <f t="shared" si="116"/>
        <v>11</v>
      </c>
      <c r="AN1104" s="15" t="str">
        <f t="shared" si="117"/>
        <v>高级神器3配件4</v>
      </c>
      <c r="AO1104" s="15">
        <f>INDEX(芦花古楼!$BX$19:$BX$58,神器!AM1104)</f>
        <v>7</v>
      </c>
      <c r="AP1104" s="15" t="s">
        <v>88</v>
      </c>
      <c r="AQ1104" s="15">
        <f t="shared" si="118"/>
        <v>3525</v>
      </c>
      <c r="AR1104" s="15" t="s">
        <v>654</v>
      </c>
      <c r="AS1104" s="15">
        <f t="shared" si="119"/>
        <v>88</v>
      </c>
    </row>
    <row r="1105" spans="35:45" ht="16.5" x14ac:dyDescent="0.2">
      <c r="AI1105" s="60">
        <v>1092</v>
      </c>
      <c r="AJ1105" s="15">
        <f t="shared" si="114"/>
        <v>1606030</v>
      </c>
      <c r="AK1105" s="15" t="str">
        <f t="shared" si="115"/>
        <v>高级神器3配件4-冥神刻印Lvs12</v>
      </c>
      <c r="AL1105" s="60" t="s">
        <v>645</v>
      </c>
      <c r="AM1105" s="15">
        <f t="shared" si="116"/>
        <v>12</v>
      </c>
      <c r="AN1105" s="15" t="str">
        <f t="shared" si="117"/>
        <v>高级神器3配件4</v>
      </c>
      <c r="AO1105" s="15">
        <f>INDEX(芦花古楼!$BX$19:$BX$58,神器!AM1105)</f>
        <v>7</v>
      </c>
      <c r="AP1105" s="15" t="s">
        <v>88</v>
      </c>
      <c r="AQ1105" s="15">
        <f t="shared" si="118"/>
        <v>4115</v>
      </c>
      <c r="AR1105" s="15" t="s">
        <v>654</v>
      </c>
      <c r="AS1105" s="15">
        <f t="shared" si="119"/>
        <v>97</v>
      </c>
    </row>
    <row r="1106" spans="35:45" ht="16.5" x14ac:dyDescent="0.2">
      <c r="AI1106" s="60">
        <v>1093</v>
      </c>
      <c r="AJ1106" s="15">
        <f t="shared" si="114"/>
        <v>1606030</v>
      </c>
      <c r="AK1106" s="15" t="str">
        <f t="shared" si="115"/>
        <v>高级神器3配件4-冥神刻印Lvs13</v>
      </c>
      <c r="AL1106" s="60" t="s">
        <v>645</v>
      </c>
      <c r="AM1106" s="15">
        <f t="shared" si="116"/>
        <v>13</v>
      </c>
      <c r="AN1106" s="15" t="str">
        <f t="shared" si="117"/>
        <v>高级神器3配件4</v>
      </c>
      <c r="AO1106" s="15">
        <f>INDEX(芦花古楼!$BX$19:$BX$58,神器!AM1106)</f>
        <v>7</v>
      </c>
      <c r="AP1106" s="15" t="s">
        <v>88</v>
      </c>
      <c r="AQ1106" s="15">
        <f t="shared" si="118"/>
        <v>4705</v>
      </c>
      <c r="AR1106" s="15" t="s">
        <v>654</v>
      </c>
      <c r="AS1106" s="15">
        <f t="shared" si="119"/>
        <v>106</v>
      </c>
    </row>
    <row r="1107" spans="35:45" ht="16.5" x14ac:dyDescent="0.2">
      <c r="AI1107" s="60">
        <v>1094</v>
      </c>
      <c r="AJ1107" s="15">
        <f t="shared" si="114"/>
        <v>1606030</v>
      </c>
      <c r="AK1107" s="15" t="str">
        <f t="shared" si="115"/>
        <v>高级神器3配件4-冥神刻印Lvs14</v>
      </c>
      <c r="AL1107" s="60" t="s">
        <v>645</v>
      </c>
      <c r="AM1107" s="15">
        <f t="shared" si="116"/>
        <v>14</v>
      </c>
      <c r="AN1107" s="15" t="str">
        <f t="shared" si="117"/>
        <v>高级神器3配件4</v>
      </c>
      <c r="AO1107" s="15">
        <f>INDEX(芦花古楼!$BX$19:$BX$58,神器!AM1107)</f>
        <v>7</v>
      </c>
      <c r="AP1107" s="15" t="s">
        <v>88</v>
      </c>
      <c r="AQ1107" s="15">
        <f t="shared" si="118"/>
        <v>5290</v>
      </c>
      <c r="AR1107" s="15" t="s">
        <v>654</v>
      </c>
      <c r="AS1107" s="15">
        <f t="shared" si="119"/>
        <v>116</v>
      </c>
    </row>
    <row r="1108" spans="35:45" ht="16.5" x14ac:dyDescent="0.2">
      <c r="AI1108" s="60">
        <v>1095</v>
      </c>
      <c r="AJ1108" s="15">
        <f t="shared" si="114"/>
        <v>1606030</v>
      </c>
      <c r="AK1108" s="15" t="str">
        <f t="shared" si="115"/>
        <v>高级神器3配件4-冥神刻印Lvs15</v>
      </c>
      <c r="AL1108" s="60" t="s">
        <v>645</v>
      </c>
      <c r="AM1108" s="15">
        <f t="shared" si="116"/>
        <v>15</v>
      </c>
      <c r="AN1108" s="15" t="str">
        <f t="shared" si="117"/>
        <v>高级神器3配件4</v>
      </c>
      <c r="AO1108" s="15">
        <f>INDEX(芦花古楼!$BX$19:$BX$58,神器!AM1108)</f>
        <v>10</v>
      </c>
      <c r="AP1108" s="15" t="s">
        <v>88</v>
      </c>
      <c r="AQ1108" s="15">
        <f t="shared" si="118"/>
        <v>5880</v>
      </c>
      <c r="AR1108" s="15" t="s">
        <v>654</v>
      </c>
      <c r="AS1108" s="15">
        <f t="shared" si="119"/>
        <v>127</v>
      </c>
    </row>
    <row r="1109" spans="35:45" ht="16.5" x14ac:dyDescent="0.2">
      <c r="AI1109" s="60">
        <v>1096</v>
      </c>
      <c r="AJ1109" s="15">
        <f t="shared" si="114"/>
        <v>1606030</v>
      </c>
      <c r="AK1109" s="15" t="str">
        <f t="shared" si="115"/>
        <v>高级神器3配件4-冥神刻印Lvs16</v>
      </c>
      <c r="AL1109" s="60" t="s">
        <v>645</v>
      </c>
      <c r="AM1109" s="15">
        <f t="shared" si="116"/>
        <v>16</v>
      </c>
      <c r="AN1109" s="15" t="str">
        <f t="shared" si="117"/>
        <v>高级神器3配件4</v>
      </c>
      <c r="AO1109" s="15">
        <f>INDEX(芦花古楼!$BX$19:$BX$58,神器!AM1109)</f>
        <v>10</v>
      </c>
      <c r="AP1109" s="15" t="s">
        <v>88</v>
      </c>
      <c r="AQ1109" s="15">
        <f t="shared" si="118"/>
        <v>6465</v>
      </c>
      <c r="AR1109" s="15" t="s">
        <v>654</v>
      </c>
      <c r="AS1109" s="15">
        <f t="shared" si="119"/>
        <v>138</v>
      </c>
    </row>
    <row r="1110" spans="35:45" ht="16.5" x14ac:dyDescent="0.2">
      <c r="AI1110" s="60">
        <v>1097</v>
      </c>
      <c r="AJ1110" s="15">
        <f t="shared" si="114"/>
        <v>1606030</v>
      </c>
      <c r="AK1110" s="15" t="str">
        <f t="shared" si="115"/>
        <v>高级神器3配件4-冥神刻印Lvs17</v>
      </c>
      <c r="AL1110" s="60" t="s">
        <v>645</v>
      </c>
      <c r="AM1110" s="15">
        <f t="shared" si="116"/>
        <v>17</v>
      </c>
      <c r="AN1110" s="15" t="str">
        <f t="shared" si="117"/>
        <v>高级神器3配件4</v>
      </c>
      <c r="AO1110" s="15">
        <f>INDEX(芦花古楼!$BX$19:$BX$58,神器!AM1110)</f>
        <v>10</v>
      </c>
      <c r="AP1110" s="15" t="s">
        <v>88</v>
      </c>
      <c r="AQ1110" s="15">
        <f t="shared" si="118"/>
        <v>7055</v>
      </c>
      <c r="AR1110" s="15" t="s">
        <v>654</v>
      </c>
      <c r="AS1110" s="15">
        <f t="shared" si="119"/>
        <v>149</v>
      </c>
    </row>
    <row r="1111" spans="35:45" ht="16.5" x14ac:dyDescent="0.2">
      <c r="AI1111" s="60">
        <v>1098</v>
      </c>
      <c r="AJ1111" s="15">
        <f t="shared" si="114"/>
        <v>1606030</v>
      </c>
      <c r="AK1111" s="15" t="str">
        <f t="shared" si="115"/>
        <v>高级神器3配件4-冥神刻印Lvs18</v>
      </c>
      <c r="AL1111" s="60" t="s">
        <v>645</v>
      </c>
      <c r="AM1111" s="15">
        <f t="shared" si="116"/>
        <v>18</v>
      </c>
      <c r="AN1111" s="15" t="str">
        <f t="shared" si="117"/>
        <v>高级神器3配件4</v>
      </c>
      <c r="AO1111" s="15">
        <f>INDEX(芦花古楼!$BX$19:$BX$58,神器!AM1111)</f>
        <v>10</v>
      </c>
      <c r="AP1111" s="15" t="s">
        <v>88</v>
      </c>
      <c r="AQ1111" s="15">
        <f t="shared" si="118"/>
        <v>7645</v>
      </c>
      <c r="AR1111" s="15" t="s">
        <v>654</v>
      </c>
      <c r="AS1111" s="15">
        <f t="shared" si="119"/>
        <v>162</v>
      </c>
    </row>
    <row r="1112" spans="35:45" ht="16.5" x14ac:dyDescent="0.2">
      <c r="AI1112" s="60">
        <v>1099</v>
      </c>
      <c r="AJ1112" s="15">
        <f t="shared" si="114"/>
        <v>1606030</v>
      </c>
      <c r="AK1112" s="15" t="str">
        <f t="shared" si="115"/>
        <v>高级神器3配件4-冥神刻印Lvs19</v>
      </c>
      <c r="AL1112" s="60" t="s">
        <v>645</v>
      </c>
      <c r="AM1112" s="15">
        <f t="shared" si="116"/>
        <v>19</v>
      </c>
      <c r="AN1112" s="15" t="str">
        <f t="shared" si="117"/>
        <v>高级神器3配件4</v>
      </c>
      <c r="AO1112" s="15">
        <f>INDEX(芦花古楼!$BX$19:$BX$58,神器!AM1112)</f>
        <v>10</v>
      </c>
      <c r="AP1112" s="15" t="s">
        <v>88</v>
      </c>
      <c r="AQ1112" s="15">
        <f t="shared" si="118"/>
        <v>8230</v>
      </c>
      <c r="AR1112" s="15" t="s">
        <v>654</v>
      </c>
      <c r="AS1112" s="15">
        <f t="shared" si="119"/>
        <v>174</v>
      </c>
    </row>
    <row r="1113" spans="35:45" ht="16.5" x14ac:dyDescent="0.2">
      <c r="AI1113" s="60">
        <v>1100</v>
      </c>
      <c r="AJ1113" s="15">
        <f t="shared" si="114"/>
        <v>1606030</v>
      </c>
      <c r="AK1113" s="15" t="str">
        <f t="shared" si="115"/>
        <v>高级神器3配件4-冥神刻印Lvs20</v>
      </c>
      <c r="AL1113" s="60" t="s">
        <v>645</v>
      </c>
      <c r="AM1113" s="15">
        <f t="shared" si="116"/>
        <v>20</v>
      </c>
      <c r="AN1113" s="15" t="str">
        <f t="shared" si="117"/>
        <v>高级神器3配件4</v>
      </c>
      <c r="AO1113" s="15">
        <f>INDEX(芦花古楼!$BX$19:$BX$58,神器!AM1113)</f>
        <v>10</v>
      </c>
      <c r="AP1113" s="15" t="s">
        <v>88</v>
      </c>
      <c r="AQ1113" s="15">
        <f t="shared" si="118"/>
        <v>9410</v>
      </c>
      <c r="AR1113" s="15" t="s">
        <v>654</v>
      </c>
      <c r="AS1113" s="15">
        <f t="shared" si="119"/>
        <v>188</v>
      </c>
    </row>
    <row r="1114" spans="35:45" ht="16.5" x14ac:dyDescent="0.2">
      <c r="AI1114" s="60">
        <v>1101</v>
      </c>
      <c r="AJ1114" s="15">
        <f t="shared" si="114"/>
        <v>1606030</v>
      </c>
      <c r="AK1114" s="15" t="str">
        <f t="shared" si="115"/>
        <v>高级神器3配件4-冥神刻印Lvs21</v>
      </c>
      <c r="AL1114" s="60" t="s">
        <v>645</v>
      </c>
      <c r="AM1114" s="15">
        <f t="shared" si="116"/>
        <v>21</v>
      </c>
      <c r="AN1114" s="15" t="str">
        <f t="shared" si="117"/>
        <v>高级神器3配件4</v>
      </c>
      <c r="AO1114" s="15">
        <f>INDEX(芦花古楼!$BX$19:$BX$58,神器!AM1114)</f>
        <v>15</v>
      </c>
      <c r="AP1114" s="15" t="s">
        <v>88</v>
      </c>
      <c r="AQ1114" s="15">
        <f t="shared" si="118"/>
        <v>10390</v>
      </c>
      <c r="AR1114" s="15" t="s">
        <v>654</v>
      </c>
      <c r="AS1114" s="15">
        <f t="shared" si="119"/>
        <v>202</v>
      </c>
    </row>
    <row r="1115" spans="35:45" ht="16.5" x14ac:dyDescent="0.2">
      <c r="AI1115" s="60">
        <v>1102</v>
      </c>
      <c r="AJ1115" s="15">
        <f t="shared" si="114"/>
        <v>1606030</v>
      </c>
      <c r="AK1115" s="15" t="str">
        <f t="shared" si="115"/>
        <v>高级神器3配件4-冥神刻印Lvs22</v>
      </c>
      <c r="AL1115" s="60" t="s">
        <v>645</v>
      </c>
      <c r="AM1115" s="15">
        <f t="shared" si="116"/>
        <v>22</v>
      </c>
      <c r="AN1115" s="15" t="str">
        <f t="shared" si="117"/>
        <v>高级神器3配件4</v>
      </c>
      <c r="AO1115" s="15">
        <f>INDEX(芦花古楼!$BX$19:$BX$58,神器!AM1115)</f>
        <v>15</v>
      </c>
      <c r="AP1115" s="15" t="s">
        <v>88</v>
      </c>
      <c r="AQ1115" s="15">
        <f t="shared" si="118"/>
        <v>10910</v>
      </c>
      <c r="AR1115" s="15" t="s">
        <v>654</v>
      </c>
      <c r="AS1115" s="15">
        <f t="shared" si="119"/>
        <v>216</v>
      </c>
    </row>
    <row r="1116" spans="35:45" ht="16.5" x14ac:dyDescent="0.2">
      <c r="AI1116" s="60">
        <v>1103</v>
      </c>
      <c r="AJ1116" s="15">
        <f t="shared" si="114"/>
        <v>1606030</v>
      </c>
      <c r="AK1116" s="15" t="str">
        <f t="shared" si="115"/>
        <v>高级神器3配件4-冥神刻印Lvs23</v>
      </c>
      <c r="AL1116" s="60" t="s">
        <v>645</v>
      </c>
      <c r="AM1116" s="15">
        <f t="shared" si="116"/>
        <v>23</v>
      </c>
      <c r="AN1116" s="15" t="str">
        <f t="shared" si="117"/>
        <v>高级神器3配件4</v>
      </c>
      <c r="AO1116" s="15">
        <f>INDEX(芦花古楼!$BX$19:$BX$58,神器!AM1116)</f>
        <v>15</v>
      </c>
      <c r="AP1116" s="15" t="s">
        <v>88</v>
      </c>
      <c r="AQ1116" s="15">
        <f t="shared" si="118"/>
        <v>11425</v>
      </c>
      <c r="AR1116" s="15" t="s">
        <v>654</v>
      </c>
      <c r="AS1116" s="15">
        <f t="shared" si="119"/>
        <v>232</v>
      </c>
    </row>
    <row r="1117" spans="35:45" ht="16.5" x14ac:dyDescent="0.2">
      <c r="AI1117" s="60">
        <v>1104</v>
      </c>
      <c r="AJ1117" s="15">
        <f t="shared" si="114"/>
        <v>1606030</v>
      </c>
      <c r="AK1117" s="15" t="str">
        <f t="shared" si="115"/>
        <v>高级神器3配件4-冥神刻印Lvs24</v>
      </c>
      <c r="AL1117" s="60" t="s">
        <v>645</v>
      </c>
      <c r="AM1117" s="15">
        <f t="shared" si="116"/>
        <v>24</v>
      </c>
      <c r="AN1117" s="15" t="str">
        <f t="shared" si="117"/>
        <v>高级神器3配件4</v>
      </c>
      <c r="AO1117" s="15">
        <f>INDEX(芦花古楼!$BX$19:$BX$58,神器!AM1117)</f>
        <v>15</v>
      </c>
      <c r="AP1117" s="15" t="s">
        <v>88</v>
      </c>
      <c r="AQ1117" s="15">
        <f t="shared" si="118"/>
        <v>11945</v>
      </c>
      <c r="AR1117" s="15" t="s">
        <v>654</v>
      </c>
      <c r="AS1117" s="15">
        <f t="shared" si="119"/>
        <v>248</v>
      </c>
    </row>
    <row r="1118" spans="35:45" ht="16.5" x14ac:dyDescent="0.2">
      <c r="AI1118" s="60">
        <v>1105</v>
      </c>
      <c r="AJ1118" s="15">
        <f t="shared" si="114"/>
        <v>1606030</v>
      </c>
      <c r="AK1118" s="15" t="str">
        <f t="shared" si="115"/>
        <v>高级神器3配件4-冥神刻印Lvs25</v>
      </c>
      <c r="AL1118" s="60" t="s">
        <v>645</v>
      </c>
      <c r="AM1118" s="15">
        <f t="shared" si="116"/>
        <v>25</v>
      </c>
      <c r="AN1118" s="15" t="str">
        <f t="shared" si="117"/>
        <v>高级神器3配件4</v>
      </c>
      <c r="AO1118" s="15">
        <f>INDEX(芦花古楼!$BX$19:$BX$58,神器!AM1118)</f>
        <v>15</v>
      </c>
      <c r="AP1118" s="15" t="s">
        <v>88</v>
      </c>
      <c r="AQ1118" s="15">
        <f t="shared" si="118"/>
        <v>12465</v>
      </c>
      <c r="AR1118" s="15" t="s">
        <v>654</v>
      </c>
      <c r="AS1118" s="15">
        <f t="shared" si="119"/>
        <v>265</v>
      </c>
    </row>
    <row r="1119" spans="35:45" ht="16.5" x14ac:dyDescent="0.2">
      <c r="AI1119" s="60">
        <v>1106</v>
      </c>
      <c r="AJ1119" s="15">
        <f t="shared" si="114"/>
        <v>1606030</v>
      </c>
      <c r="AK1119" s="15" t="str">
        <f t="shared" si="115"/>
        <v>高级神器3配件4-冥神刻印Lvs26</v>
      </c>
      <c r="AL1119" s="60" t="s">
        <v>645</v>
      </c>
      <c r="AM1119" s="15">
        <f t="shared" si="116"/>
        <v>26</v>
      </c>
      <c r="AN1119" s="15" t="str">
        <f t="shared" si="117"/>
        <v>高级神器3配件4</v>
      </c>
      <c r="AO1119" s="15">
        <f>INDEX(芦花古楼!$BX$19:$BX$58,神器!AM1119)</f>
        <v>25</v>
      </c>
      <c r="AP1119" s="15" t="s">
        <v>88</v>
      </c>
      <c r="AQ1119" s="15">
        <f t="shared" si="118"/>
        <v>12985</v>
      </c>
      <c r="AR1119" s="15" t="s">
        <v>654</v>
      </c>
      <c r="AS1119" s="15">
        <f t="shared" si="119"/>
        <v>283</v>
      </c>
    </row>
    <row r="1120" spans="35:45" ht="16.5" x14ac:dyDescent="0.2">
      <c r="AI1120" s="60">
        <v>1107</v>
      </c>
      <c r="AJ1120" s="15">
        <f t="shared" si="114"/>
        <v>1606030</v>
      </c>
      <c r="AK1120" s="15" t="str">
        <f t="shared" si="115"/>
        <v>高级神器3配件4-冥神刻印Lvs27</v>
      </c>
      <c r="AL1120" s="60" t="s">
        <v>645</v>
      </c>
      <c r="AM1120" s="15">
        <f t="shared" si="116"/>
        <v>27</v>
      </c>
      <c r="AN1120" s="15" t="str">
        <f t="shared" si="117"/>
        <v>高级神器3配件4</v>
      </c>
      <c r="AO1120" s="15">
        <f>INDEX(芦花古楼!$BX$19:$BX$58,神器!AM1120)</f>
        <v>25</v>
      </c>
      <c r="AP1120" s="15" t="s">
        <v>88</v>
      </c>
      <c r="AQ1120" s="15">
        <f t="shared" si="118"/>
        <v>13505</v>
      </c>
      <c r="AR1120" s="15" t="s">
        <v>654</v>
      </c>
      <c r="AS1120" s="15">
        <f t="shared" si="119"/>
        <v>302</v>
      </c>
    </row>
    <row r="1121" spans="35:45" ht="16.5" x14ac:dyDescent="0.2">
      <c r="AI1121" s="60">
        <v>1108</v>
      </c>
      <c r="AJ1121" s="15">
        <f t="shared" si="114"/>
        <v>1606030</v>
      </c>
      <c r="AK1121" s="15" t="str">
        <f t="shared" si="115"/>
        <v>高级神器3配件4-冥神刻印Lvs28</v>
      </c>
      <c r="AL1121" s="60" t="s">
        <v>645</v>
      </c>
      <c r="AM1121" s="15">
        <f t="shared" si="116"/>
        <v>28</v>
      </c>
      <c r="AN1121" s="15" t="str">
        <f t="shared" si="117"/>
        <v>高级神器3配件4</v>
      </c>
      <c r="AO1121" s="15">
        <f>INDEX(芦花古楼!$BX$19:$BX$58,神器!AM1121)</f>
        <v>25</v>
      </c>
      <c r="AP1121" s="15" t="s">
        <v>88</v>
      </c>
      <c r="AQ1121" s="15">
        <f t="shared" si="118"/>
        <v>14025</v>
      </c>
      <c r="AR1121" s="15" t="s">
        <v>654</v>
      </c>
      <c r="AS1121" s="15">
        <f t="shared" si="119"/>
        <v>322</v>
      </c>
    </row>
    <row r="1122" spans="35:45" ht="16.5" x14ac:dyDescent="0.2">
      <c r="AI1122" s="60">
        <v>1109</v>
      </c>
      <c r="AJ1122" s="15">
        <f t="shared" si="114"/>
        <v>1606030</v>
      </c>
      <c r="AK1122" s="15" t="str">
        <f t="shared" si="115"/>
        <v>高级神器3配件4-冥神刻印Lvs29</v>
      </c>
      <c r="AL1122" s="60" t="s">
        <v>645</v>
      </c>
      <c r="AM1122" s="15">
        <f t="shared" si="116"/>
        <v>29</v>
      </c>
      <c r="AN1122" s="15" t="str">
        <f t="shared" si="117"/>
        <v>高级神器3配件4</v>
      </c>
      <c r="AO1122" s="15">
        <f>INDEX(芦花古楼!$BX$19:$BX$58,神器!AM1122)</f>
        <v>25</v>
      </c>
      <c r="AP1122" s="15" t="s">
        <v>88</v>
      </c>
      <c r="AQ1122" s="15">
        <f t="shared" si="118"/>
        <v>14545</v>
      </c>
      <c r="AR1122" s="15" t="s">
        <v>654</v>
      </c>
      <c r="AS1122" s="15">
        <f t="shared" si="119"/>
        <v>342</v>
      </c>
    </row>
    <row r="1123" spans="35:45" ht="16.5" x14ac:dyDescent="0.2">
      <c r="AI1123" s="60">
        <v>1110</v>
      </c>
      <c r="AJ1123" s="15">
        <f t="shared" si="114"/>
        <v>1606030</v>
      </c>
      <c r="AK1123" s="15" t="str">
        <f t="shared" si="115"/>
        <v>高级神器3配件4-冥神刻印Lvs30</v>
      </c>
      <c r="AL1123" s="60" t="s">
        <v>645</v>
      </c>
      <c r="AM1123" s="15">
        <f t="shared" si="116"/>
        <v>30</v>
      </c>
      <c r="AN1123" s="15" t="str">
        <f t="shared" si="117"/>
        <v>高级神器3配件4</v>
      </c>
      <c r="AO1123" s="15">
        <f>INDEX(芦花古楼!$BX$19:$BX$58,神器!AM1123)</f>
        <v>25</v>
      </c>
      <c r="AP1123" s="15" t="s">
        <v>88</v>
      </c>
      <c r="AQ1123" s="15">
        <f t="shared" si="118"/>
        <v>15585</v>
      </c>
      <c r="AR1123" s="15" t="s">
        <v>654</v>
      </c>
      <c r="AS1123" s="15">
        <f t="shared" si="119"/>
        <v>364</v>
      </c>
    </row>
    <row r="1124" spans="35:45" ht="16.5" x14ac:dyDescent="0.2">
      <c r="AI1124" s="60">
        <v>1111</v>
      </c>
      <c r="AJ1124" s="15">
        <f t="shared" si="114"/>
        <v>1606030</v>
      </c>
      <c r="AK1124" s="15" t="str">
        <f t="shared" si="115"/>
        <v>高级神器3配件4-冥神刻印Lvs31</v>
      </c>
      <c r="AL1124" s="60" t="s">
        <v>645</v>
      </c>
      <c r="AM1124" s="15">
        <f t="shared" si="116"/>
        <v>31</v>
      </c>
      <c r="AN1124" s="15" t="str">
        <f t="shared" si="117"/>
        <v>高级神器3配件4</v>
      </c>
      <c r="AO1124" s="15">
        <f>INDEX(芦花古楼!$BX$19:$BX$58,神器!AM1124)</f>
        <v>30</v>
      </c>
      <c r="AP1124" s="15" t="s">
        <v>88</v>
      </c>
      <c r="AQ1124" s="15">
        <f t="shared" si="118"/>
        <v>15190</v>
      </c>
      <c r="AR1124" s="15" t="s">
        <v>654</v>
      </c>
      <c r="AS1124" s="15">
        <f t="shared" si="119"/>
        <v>387</v>
      </c>
    </row>
    <row r="1125" spans="35:45" ht="16.5" x14ac:dyDescent="0.2">
      <c r="AI1125" s="60">
        <v>1112</v>
      </c>
      <c r="AJ1125" s="15">
        <f t="shared" si="114"/>
        <v>1606030</v>
      </c>
      <c r="AK1125" s="15" t="str">
        <f t="shared" si="115"/>
        <v>高级神器3配件4-冥神刻印Lvs32</v>
      </c>
      <c r="AL1125" s="60" t="s">
        <v>645</v>
      </c>
      <c r="AM1125" s="15">
        <f t="shared" si="116"/>
        <v>32</v>
      </c>
      <c r="AN1125" s="15" t="str">
        <f t="shared" si="117"/>
        <v>高级神器3配件4</v>
      </c>
      <c r="AO1125" s="15">
        <f>INDEX(芦花古楼!$BX$19:$BX$58,神器!AM1125)</f>
        <v>30</v>
      </c>
      <c r="AP1125" s="15" t="s">
        <v>88</v>
      </c>
      <c r="AQ1125" s="15">
        <f t="shared" si="118"/>
        <v>22785</v>
      </c>
      <c r="AR1125" s="15" t="s">
        <v>654</v>
      </c>
      <c r="AS1125" s="15">
        <f t="shared" si="119"/>
        <v>411</v>
      </c>
    </row>
    <row r="1126" spans="35:45" ht="16.5" x14ac:dyDescent="0.2">
      <c r="AI1126" s="60">
        <v>1113</v>
      </c>
      <c r="AJ1126" s="15">
        <f t="shared" si="114"/>
        <v>1606030</v>
      </c>
      <c r="AK1126" s="15" t="str">
        <f t="shared" si="115"/>
        <v>高级神器3配件4-冥神刻印Lvs33</v>
      </c>
      <c r="AL1126" s="60" t="s">
        <v>645</v>
      </c>
      <c r="AM1126" s="15">
        <f t="shared" si="116"/>
        <v>33</v>
      </c>
      <c r="AN1126" s="15" t="str">
        <f t="shared" si="117"/>
        <v>高级神器3配件4</v>
      </c>
      <c r="AO1126" s="15">
        <f>INDEX(芦花古楼!$BX$19:$BX$58,神器!AM1126)</f>
        <v>30</v>
      </c>
      <c r="AP1126" s="15" t="s">
        <v>88</v>
      </c>
      <c r="AQ1126" s="15">
        <f t="shared" si="118"/>
        <v>30380</v>
      </c>
      <c r="AR1126" s="15" t="s">
        <v>654</v>
      </c>
      <c r="AS1126" s="15">
        <f t="shared" si="119"/>
        <v>436</v>
      </c>
    </row>
    <row r="1127" spans="35:45" ht="16.5" x14ac:dyDescent="0.2">
      <c r="AI1127" s="60">
        <v>1114</v>
      </c>
      <c r="AJ1127" s="15">
        <f t="shared" si="114"/>
        <v>1606030</v>
      </c>
      <c r="AK1127" s="15" t="str">
        <f t="shared" si="115"/>
        <v>高级神器3配件4-冥神刻印Lvs34</v>
      </c>
      <c r="AL1127" s="60" t="s">
        <v>645</v>
      </c>
      <c r="AM1127" s="15">
        <f t="shared" si="116"/>
        <v>34</v>
      </c>
      <c r="AN1127" s="15" t="str">
        <f t="shared" si="117"/>
        <v>高级神器3配件4</v>
      </c>
      <c r="AO1127" s="15">
        <f>INDEX(芦花古楼!$BX$19:$BX$58,神器!AM1127)</f>
        <v>30</v>
      </c>
      <c r="AP1127" s="15" t="s">
        <v>88</v>
      </c>
      <c r="AQ1127" s="15">
        <f t="shared" si="118"/>
        <v>37975</v>
      </c>
      <c r="AR1127" s="15" t="s">
        <v>654</v>
      </c>
      <c r="AS1127" s="15">
        <f t="shared" si="119"/>
        <v>463</v>
      </c>
    </row>
    <row r="1128" spans="35:45" ht="16.5" x14ac:dyDescent="0.2">
      <c r="AI1128" s="60">
        <v>1115</v>
      </c>
      <c r="AJ1128" s="15">
        <f t="shared" si="114"/>
        <v>1606030</v>
      </c>
      <c r="AK1128" s="15" t="str">
        <f t="shared" si="115"/>
        <v>高级神器3配件4-冥神刻印Lvs35</v>
      </c>
      <c r="AL1128" s="60" t="s">
        <v>645</v>
      </c>
      <c r="AM1128" s="15">
        <f t="shared" si="116"/>
        <v>35</v>
      </c>
      <c r="AN1128" s="15" t="str">
        <f t="shared" si="117"/>
        <v>高级神器3配件4</v>
      </c>
      <c r="AO1128" s="15">
        <f>INDEX(芦花古楼!$BX$19:$BX$58,神器!AM1128)</f>
        <v>30</v>
      </c>
      <c r="AP1128" s="15" t="s">
        <v>88</v>
      </c>
      <c r="AQ1128" s="15">
        <f t="shared" si="118"/>
        <v>45570</v>
      </c>
      <c r="AR1128" s="15" t="s">
        <v>654</v>
      </c>
      <c r="AS1128" s="15">
        <f t="shared" si="119"/>
        <v>491</v>
      </c>
    </row>
    <row r="1129" spans="35:45" ht="16.5" x14ac:dyDescent="0.2">
      <c r="AI1129" s="60">
        <v>1116</v>
      </c>
      <c r="AJ1129" s="15">
        <f t="shared" si="114"/>
        <v>1606030</v>
      </c>
      <c r="AK1129" s="15" t="str">
        <f t="shared" si="115"/>
        <v>高级神器3配件4-冥神刻印Lvs36</v>
      </c>
      <c r="AL1129" s="60" t="s">
        <v>645</v>
      </c>
      <c r="AM1129" s="15">
        <f t="shared" si="116"/>
        <v>36</v>
      </c>
      <c r="AN1129" s="15" t="str">
        <f t="shared" si="117"/>
        <v>高级神器3配件4</v>
      </c>
      <c r="AO1129" s="15">
        <f>INDEX(芦花古楼!$BX$19:$BX$58,神器!AM1129)</f>
        <v>40</v>
      </c>
      <c r="AP1129" s="15" t="s">
        <v>88</v>
      </c>
      <c r="AQ1129" s="15">
        <f t="shared" si="118"/>
        <v>53165</v>
      </c>
      <c r="AR1129" s="15" t="s">
        <v>654</v>
      </c>
      <c r="AS1129" s="15">
        <f t="shared" si="119"/>
        <v>520</v>
      </c>
    </row>
    <row r="1130" spans="35:45" ht="16.5" x14ac:dyDescent="0.2">
      <c r="AI1130" s="60">
        <v>1117</v>
      </c>
      <c r="AJ1130" s="15">
        <f t="shared" si="114"/>
        <v>1606030</v>
      </c>
      <c r="AK1130" s="15" t="str">
        <f t="shared" si="115"/>
        <v>高级神器3配件4-冥神刻印Lvs37</v>
      </c>
      <c r="AL1130" s="60" t="s">
        <v>645</v>
      </c>
      <c r="AM1130" s="15">
        <f t="shared" si="116"/>
        <v>37</v>
      </c>
      <c r="AN1130" s="15" t="str">
        <f t="shared" si="117"/>
        <v>高级神器3配件4</v>
      </c>
      <c r="AO1130" s="15">
        <f>INDEX(芦花古楼!$BX$19:$BX$58,神器!AM1130)</f>
        <v>40</v>
      </c>
      <c r="AP1130" s="15" t="s">
        <v>88</v>
      </c>
      <c r="AQ1130" s="15">
        <f t="shared" si="118"/>
        <v>60760</v>
      </c>
      <c r="AR1130" s="15" t="s">
        <v>654</v>
      </c>
      <c r="AS1130" s="15">
        <f t="shared" si="119"/>
        <v>550</v>
      </c>
    </row>
    <row r="1131" spans="35:45" ht="16.5" x14ac:dyDescent="0.2">
      <c r="AI1131" s="60">
        <v>1118</v>
      </c>
      <c r="AJ1131" s="15">
        <f t="shared" si="114"/>
        <v>1606030</v>
      </c>
      <c r="AK1131" s="15" t="str">
        <f t="shared" si="115"/>
        <v>高级神器3配件4-冥神刻印Lvs38</v>
      </c>
      <c r="AL1131" s="60" t="s">
        <v>645</v>
      </c>
      <c r="AM1131" s="15">
        <f t="shared" si="116"/>
        <v>38</v>
      </c>
      <c r="AN1131" s="15" t="str">
        <f t="shared" si="117"/>
        <v>高级神器3配件4</v>
      </c>
      <c r="AO1131" s="15">
        <f>INDEX(芦花古楼!$BX$19:$BX$58,神器!AM1131)</f>
        <v>40</v>
      </c>
      <c r="AP1131" s="15" t="s">
        <v>88</v>
      </c>
      <c r="AQ1131" s="15">
        <f t="shared" si="118"/>
        <v>68355</v>
      </c>
      <c r="AR1131" s="15" t="s">
        <v>654</v>
      </c>
      <c r="AS1131" s="15">
        <f t="shared" si="119"/>
        <v>583</v>
      </c>
    </row>
    <row r="1132" spans="35:45" ht="16.5" x14ac:dyDescent="0.2">
      <c r="AI1132" s="60">
        <v>1119</v>
      </c>
      <c r="AJ1132" s="15">
        <f t="shared" si="114"/>
        <v>1606030</v>
      </c>
      <c r="AK1132" s="15" t="str">
        <f t="shared" si="115"/>
        <v>高级神器3配件4-冥神刻印Lvs39</v>
      </c>
      <c r="AL1132" s="60" t="s">
        <v>645</v>
      </c>
      <c r="AM1132" s="15">
        <f t="shared" si="116"/>
        <v>39</v>
      </c>
      <c r="AN1132" s="15" t="str">
        <f t="shared" si="117"/>
        <v>高级神器3配件4</v>
      </c>
      <c r="AO1132" s="15">
        <f>INDEX(芦花古楼!$BX$19:$BX$58,神器!AM1132)</f>
        <v>40</v>
      </c>
      <c r="AP1132" s="15" t="s">
        <v>88</v>
      </c>
      <c r="AQ1132" s="15">
        <f t="shared" si="118"/>
        <v>75950</v>
      </c>
      <c r="AR1132" s="15" t="s">
        <v>654</v>
      </c>
      <c r="AS1132" s="15">
        <f t="shared" si="119"/>
        <v>616</v>
      </c>
    </row>
    <row r="1133" spans="35:45" ht="16.5" x14ac:dyDescent="0.2">
      <c r="AI1133" s="60">
        <v>1120</v>
      </c>
      <c r="AJ1133" s="15">
        <f t="shared" si="114"/>
        <v>1606030</v>
      </c>
      <c r="AK1133" s="15" t="str">
        <f t="shared" si="115"/>
        <v>高级神器3配件4-冥神刻印Lvs40</v>
      </c>
      <c r="AL1133" s="60" t="s">
        <v>645</v>
      </c>
      <c r="AM1133" s="15">
        <f t="shared" si="116"/>
        <v>40</v>
      </c>
      <c r="AN1133" s="15" t="str">
        <f t="shared" si="117"/>
        <v>高级神器3配件4</v>
      </c>
      <c r="AO1133" s="15">
        <f>INDEX(芦花古楼!$BX$19:$BX$58,神器!AM1133)</f>
        <v>40</v>
      </c>
      <c r="AP1133" s="15" t="s">
        <v>88</v>
      </c>
      <c r="AQ1133" s="15">
        <f t="shared" si="118"/>
        <v>91145</v>
      </c>
      <c r="AR1133" s="15" t="s">
        <v>654</v>
      </c>
      <c r="AS1133" s="15">
        <f t="shared" si="119"/>
        <v>652</v>
      </c>
    </row>
    <row r="1134" spans="35:45" ht="16.5" x14ac:dyDescent="0.2">
      <c r="AI1134" s="60">
        <v>1121</v>
      </c>
      <c r="AJ1134" s="15">
        <f t="shared" si="114"/>
        <v>1606031</v>
      </c>
      <c r="AK1134" s="15" t="str">
        <f t="shared" si="115"/>
        <v>高级神器3配件5-灼热磨沙Lvs1</v>
      </c>
      <c r="AL1134" s="60" t="s">
        <v>645</v>
      </c>
      <c r="AM1134" s="15">
        <f t="shared" si="116"/>
        <v>1</v>
      </c>
      <c r="AN1134" s="15" t="str">
        <f t="shared" si="117"/>
        <v>高级神器3配件5</v>
      </c>
      <c r="AO1134" s="15">
        <f>INDEX(芦花古楼!$BX$19:$BX$58,神器!AM1134)</f>
        <v>1</v>
      </c>
      <c r="AP1134" s="15" t="s">
        <v>88</v>
      </c>
      <c r="AQ1134" s="15">
        <f t="shared" si="118"/>
        <v>665</v>
      </c>
      <c r="AR1134" s="15" t="s">
        <v>654</v>
      </c>
      <c r="AS1134" s="15">
        <f t="shared" si="119"/>
        <v>25</v>
      </c>
    </row>
    <row r="1135" spans="35:45" ht="16.5" x14ac:dyDescent="0.2">
      <c r="AI1135" s="60">
        <v>1122</v>
      </c>
      <c r="AJ1135" s="15">
        <f t="shared" si="114"/>
        <v>1606031</v>
      </c>
      <c r="AK1135" s="15" t="str">
        <f t="shared" si="115"/>
        <v>高级神器3配件5-灼热磨沙Lvs2</v>
      </c>
      <c r="AL1135" s="60" t="s">
        <v>645</v>
      </c>
      <c r="AM1135" s="15">
        <f t="shared" si="116"/>
        <v>2</v>
      </c>
      <c r="AN1135" s="15" t="str">
        <f t="shared" si="117"/>
        <v>高级神器3配件5</v>
      </c>
      <c r="AO1135" s="15">
        <f>INDEX(芦花古楼!$BX$19:$BX$58,神器!AM1135)</f>
        <v>1</v>
      </c>
      <c r="AP1135" s="15" t="s">
        <v>88</v>
      </c>
      <c r="AQ1135" s="15">
        <f t="shared" si="118"/>
        <v>1000</v>
      </c>
      <c r="AR1135" s="15" t="s">
        <v>654</v>
      </c>
      <c r="AS1135" s="15">
        <f t="shared" si="119"/>
        <v>30</v>
      </c>
    </row>
    <row r="1136" spans="35:45" ht="16.5" x14ac:dyDescent="0.2">
      <c r="AI1136" s="60">
        <v>1123</v>
      </c>
      <c r="AJ1136" s="15">
        <f t="shared" si="114"/>
        <v>1606031</v>
      </c>
      <c r="AK1136" s="15" t="str">
        <f t="shared" si="115"/>
        <v>高级神器3配件5-灼热磨沙Lvs3</v>
      </c>
      <c r="AL1136" s="60" t="s">
        <v>645</v>
      </c>
      <c r="AM1136" s="15">
        <f t="shared" si="116"/>
        <v>3</v>
      </c>
      <c r="AN1136" s="15" t="str">
        <f t="shared" si="117"/>
        <v>高级神器3配件5</v>
      </c>
      <c r="AO1136" s="15">
        <f>INDEX(芦花古楼!$BX$19:$BX$58,神器!AM1136)</f>
        <v>2</v>
      </c>
      <c r="AP1136" s="15" t="s">
        <v>88</v>
      </c>
      <c r="AQ1136" s="15">
        <f t="shared" si="118"/>
        <v>1335</v>
      </c>
      <c r="AR1136" s="15" t="s">
        <v>654</v>
      </c>
      <c r="AS1136" s="15">
        <f t="shared" si="119"/>
        <v>40</v>
      </c>
    </row>
    <row r="1137" spans="35:45" ht="16.5" x14ac:dyDescent="0.2">
      <c r="AI1137" s="60">
        <v>1124</v>
      </c>
      <c r="AJ1137" s="15">
        <f t="shared" si="114"/>
        <v>1606031</v>
      </c>
      <c r="AK1137" s="15" t="str">
        <f t="shared" si="115"/>
        <v>高级神器3配件5-灼热磨沙Lvs4</v>
      </c>
      <c r="AL1137" s="60" t="s">
        <v>645</v>
      </c>
      <c r="AM1137" s="15">
        <f t="shared" si="116"/>
        <v>4</v>
      </c>
      <c r="AN1137" s="15" t="str">
        <f t="shared" si="117"/>
        <v>高级神器3配件5</v>
      </c>
      <c r="AO1137" s="15">
        <f>INDEX(芦花古楼!$BX$19:$BX$58,神器!AM1137)</f>
        <v>3</v>
      </c>
      <c r="AP1137" s="15" t="s">
        <v>88</v>
      </c>
      <c r="AQ1137" s="15">
        <f t="shared" si="118"/>
        <v>1670</v>
      </c>
      <c r="AR1137" s="15" t="s">
        <v>654</v>
      </c>
      <c r="AS1137" s="15">
        <f t="shared" si="119"/>
        <v>50</v>
      </c>
    </row>
    <row r="1138" spans="35:45" ht="16.5" x14ac:dyDescent="0.2">
      <c r="AI1138" s="60">
        <v>1125</v>
      </c>
      <c r="AJ1138" s="15">
        <f t="shared" si="114"/>
        <v>1606031</v>
      </c>
      <c r="AK1138" s="15" t="str">
        <f t="shared" si="115"/>
        <v>高级神器3配件5-灼热磨沙Lvs5</v>
      </c>
      <c r="AL1138" s="60" t="s">
        <v>645</v>
      </c>
      <c r="AM1138" s="15">
        <f t="shared" si="116"/>
        <v>5</v>
      </c>
      <c r="AN1138" s="15" t="str">
        <f t="shared" si="117"/>
        <v>高级神器3配件5</v>
      </c>
      <c r="AO1138" s="15">
        <f>INDEX(芦花古楼!$BX$19:$BX$58,神器!AM1138)</f>
        <v>3</v>
      </c>
      <c r="AP1138" s="15" t="s">
        <v>88</v>
      </c>
      <c r="AQ1138" s="15">
        <f t="shared" si="118"/>
        <v>2005</v>
      </c>
      <c r="AR1138" s="15" t="s">
        <v>654</v>
      </c>
      <c r="AS1138" s="15">
        <f t="shared" si="119"/>
        <v>60</v>
      </c>
    </row>
    <row r="1139" spans="35:45" ht="16.5" x14ac:dyDescent="0.2">
      <c r="AI1139" s="60">
        <v>1126</v>
      </c>
      <c r="AJ1139" s="15">
        <f t="shared" si="114"/>
        <v>1606031</v>
      </c>
      <c r="AK1139" s="15" t="str">
        <f t="shared" si="115"/>
        <v>高级神器3配件5-灼热磨沙Lvs6</v>
      </c>
      <c r="AL1139" s="60" t="s">
        <v>645</v>
      </c>
      <c r="AM1139" s="15">
        <f t="shared" si="116"/>
        <v>6</v>
      </c>
      <c r="AN1139" s="15" t="str">
        <f t="shared" si="117"/>
        <v>高级神器3配件5</v>
      </c>
      <c r="AO1139" s="15">
        <f>INDEX(芦花古楼!$BX$19:$BX$58,神器!AM1139)</f>
        <v>5</v>
      </c>
      <c r="AP1139" s="15" t="s">
        <v>88</v>
      </c>
      <c r="AQ1139" s="15">
        <f t="shared" si="118"/>
        <v>2340</v>
      </c>
      <c r="AR1139" s="15" t="s">
        <v>654</v>
      </c>
      <c r="AS1139" s="15">
        <f t="shared" si="119"/>
        <v>70</v>
      </c>
    </row>
    <row r="1140" spans="35:45" ht="16.5" x14ac:dyDescent="0.2">
      <c r="AI1140" s="60">
        <v>1127</v>
      </c>
      <c r="AJ1140" s="15">
        <f t="shared" si="114"/>
        <v>1606031</v>
      </c>
      <c r="AK1140" s="15" t="str">
        <f t="shared" si="115"/>
        <v>高级神器3配件5-灼热磨沙Lvs7</v>
      </c>
      <c r="AL1140" s="60" t="s">
        <v>645</v>
      </c>
      <c r="AM1140" s="15">
        <f t="shared" si="116"/>
        <v>7</v>
      </c>
      <c r="AN1140" s="15" t="str">
        <f t="shared" si="117"/>
        <v>高级神器3配件5</v>
      </c>
      <c r="AO1140" s="15">
        <f>INDEX(芦花古楼!$BX$19:$BX$58,神器!AM1140)</f>
        <v>5</v>
      </c>
      <c r="AP1140" s="15" t="s">
        <v>88</v>
      </c>
      <c r="AQ1140" s="15">
        <f t="shared" si="118"/>
        <v>2675</v>
      </c>
      <c r="AR1140" s="15" t="s">
        <v>654</v>
      </c>
      <c r="AS1140" s="15">
        <f t="shared" si="119"/>
        <v>80</v>
      </c>
    </row>
    <row r="1141" spans="35:45" ht="16.5" x14ac:dyDescent="0.2">
      <c r="AI1141" s="60">
        <v>1128</v>
      </c>
      <c r="AJ1141" s="15">
        <f t="shared" si="114"/>
        <v>1606031</v>
      </c>
      <c r="AK1141" s="15" t="str">
        <f t="shared" si="115"/>
        <v>高级神器3配件5-灼热磨沙Lvs8</v>
      </c>
      <c r="AL1141" s="60" t="s">
        <v>645</v>
      </c>
      <c r="AM1141" s="15">
        <f t="shared" si="116"/>
        <v>8</v>
      </c>
      <c r="AN1141" s="15" t="str">
        <f t="shared" si="117"/>
        <v>高级神器3配件5</v>
      </c>
      <c r="AO1141" s="15">
        <f>INDEX(芦花古楼!$BX$19:$BX$58,神器!AM1141)</f>
        <v>5</v>
      </c>
      <c r="AP1141" s="15" t="s">
        <v>88</v>
      </c>
      <c r="AQ1141" s="15">
        <f t="shared" si="118"/>
        <v>3010</v>
      </c>
      <c r="AR1141" s="15" t="s">
        <v>654</v>
      </c>
      <c r="AS1141" s="15">
        <f t="shared" si="119"/>
        <v>90</v>
      </c>
    </row>
    <row r="1142" spans="35:45" ht="16.5" x14ac:dyDescent="0.2">
      <c r="AI1142" s="60">
        <v>1129</v>
      </c>
      <c r="AJ1142" s="15">
        <f t="shared" si="114"/>
        <v>1606031</v>
      </c>
      <c r="AK1142" s="15" t="str">
        <f t="shared" si="115"/>
        <v>高级神器3配件5-灼热磨沙Lvs9</v>
      </c>
      <c r="AL1142" s="60" t="s">
        <v>645</v>
      </c>
      <c r="AM1142" s="15">
        <f t="shared" si="116"/>
        <v>9</v>
      </c>
      <c r="AN1142" s="15" t="str">
        <f t="shared" si="117"/>
        <v>高级神器3配件5</v>
      </c>
      <c r="AO1142" s="15">
        <f>INDEX(芦花古楼!$BX$19:$BX$58,神器!AM1142)</f>
        <v>5</v>
      </c>
      <c r="AP1142" s="15" t="s">
        <v>88</v>
      </c>
      <c r="AQ1142" s="15">
        <f t="shared" si="118"/>
        <v>3345</v>
      </c>
      <c r="AR1142" s="15" t="s">
        <v>654</v>
      </c>
      <c r="AS1142" s="15">
        <f t="shared" si="119"/>
        <v>100</v>
      </c>
    </row>
    <row r="1143" spans="35:45" ht="16.5" x14ac:dyDescent="0.2">
      <c r="AI1143" s="60">
        <v>1130</v>
      </c>
      <c r="AJ1143" s="15">
        <f t="shared" si="114"/>
        <v>1606031</v>
      </c>
      <c r="AK1143" s="15" t="str">
        <f t="shared" si="115"/>
        <v>高级神器3配件5-灼热磨沙Lvs10</v>
      </c>
      <c r="AL1143" s="60" t="s">
        <v>645</v>
      </c>
      <c r="AM1143" s="15">
        <f t="shared" si="116"/>
        <v>10</v>
      </c>
      <c r="AN1143" s="15" t="str">
        <f t="shared" si="117"/>
        <v>高级神器3配件5</v>
      </c>
      <c r="AO1143" s="15">
        <f>INDEX(芦花古楼!$BX$19:$BX$58,神器!AM1143)</f>
        <v>7</v>
      </c>
      <c r="AP1143" s="15" t="s">
        <v>88</v>
      </c>
      <c r="AQ1143" s="15">
        <f t="shared" si="118"/>
        <v>4015</v>
      </c>
      <c r="AR1143" s="15" t="s">
        <v>654</v>
      </c>
      <c r="AS1143" s="15">
        <f t="shared" si="119"/>
        <v>110</v>
      </c>
    </row>
    <row r="1144" spans="35:45" ht="16.5" x14ac:dyDescent="0.2">
      <c r="AI1144" s="60">
        <v>1131</v>
      </c>
      <c r="AJ1144" s="15">
        <f t="shared" si="114"/>
        <v>1606031</v>
      </c>
      <c r="AK1144" s="15" t="str">
        <f t="shared" si="115"/>
        <v>高级神器3配件5-灼热磨沙Lvs11</v>
      </c>
      <c r="AL1144" s="60" t="s">
        <v>645</v>
      </c>
      <c r="AM1144" s="15">
        <f t="shared" si="116"/>
        <v>11</v>
      </c>
      <c r="AN1144" s="15" t="str">
        <f t="shared" si="117"/>
        <v>高级神器3配件5</v>
      </c>
      <c r="AO1144" s="15">
        <f>INDEX(芦花古楼!$BX$19:$BX$58,神器!AM1144)</f>
        <v>7</v>
      </c>
      <c r="AP1144" s="15" t="s">
        <v>88</v>
      </c>
      <c r="AQ1144" s="15">
        <f t="shared" si="118"/>
        <v>5040</v>
      </c>
      <c r="AR1144" s="15" t="s">
        <v>654</v>
      </c>
      <c r="AS1144" s="15">
        <f t="shared" si="119"/>
        <v>125</v>
      </c>
    </row>
    <row r="1145" spans="35:45" ht="16.5" x14ac:dyDescent="0.2">
      <c r="AI1145" s="60">
        <v>1132</v>
      </c>
      <c r="AJ1145" s="15">
        <f t="shared" si="114"/>
        <v>1606031</v>
      </c>
      <c r="AK1145" s="15" t="str">
        <f t="shared" si="115"/>
        <v>高级神器3配件5-灼热磨沙Lvs12</v>
      </c>
      <c r="AL1145" s="60" t="s">
        <v>645</v>
      </c>
      <c r="AM1145" s="15">
        <f t="shared" si="116"/>
        <v>12</v>
      </c>
      <c r="AN1145" s="15" t="str">
        <f t="shared" si="117"/>
        <v>高级神器3配件5</v>
      </c>
      <c r="AO1145" s="15">
        <f>INDEX(芦花古楼!$BX$19:$BX$58,神器!AM1145)</f>
        <v>7</v>
      </c>
      <c r="AP1145" s="15" t="s">
        <v>88</v>
      </c>
      <c r="AQ1145" s="15">
        <f t="shared" si="118"/>
        <v>5880</v>
      </c>
      <c r="AR1145" s="15" t="s">
        <v>654</v>
      </c>
      <c r="AS1145" s="15">
        <f t="shared" si="119"/>
        <v>135</v>
      </c>
    </row>
    <row r="1146" spans="35:45" ht="16.5" x14ac:dyDescent="0.2">
      <c r="AI1146" s="60">
        <v>1133</v>
      </c>
      <c r="AJ1146" s="15">
        <f t="shared" si="114"/>
        <v>1606031</v>
      </c>
      <c r="AK1146" s="15" t="str">
        <f t="shared" si="115"/>
        <v>高级神器3配件5-灼热磨沙Lvs13</v>
      </c>
      <c r="AL1146" s="60" t="s">
        <v>645</v>
      </c>
      <c r="AM1146" s="15">
        <f t="shared" si="116"/>
        <v>13</v>
      </c>
      <c r="AN1146" s="15" t="str">
        <f t="shared" si="117"/>
        <v>高级神器3配件5</v>
      </c>
      <c r="AO1146" s="15">
        <f>INDEX(芦花古楼!$BX$19:$BX$58,神器!AM1146)</f>
        <v>7</v>
      </c>
      <c r="AP1146" s="15" t="s">
        <v>88</v>
      </c>
      <c r="AQ1146" s="15">
        <f t="shared" si="118"/>
        <v>6720</v>
      </c>
      <c r="AR1146" s="15" t="s">
        <v>654</v>
      </c>
      <c r="AS1146" s="15">
        <f t="shared" si="119"/>
        <v>150</v>
      </c>
    </row>
    <row r="1147" spans="35:45" ht="16.5" x14ac:dyDescent="0.2">
      <c r="AI1147" s="60">
        <v>1134</v>
      </c>
      <c r="AJ1147" s="15">
        <f t="shared" si="114"/>
        <v>1606031</v>
      </c>
      <c r="AK1147" s="15" t="str">
        <f t="shared" si="115"/>
        <v>高级神器3配件5-灼热磨沙Lvs14</v>
      </c>
      <c r="AL1147" s="60" t="s">
        <v>645</v>
      </c>
      <c r="AM1147" s="15">
        <f t="shared" si="116"/>
        <v>14</v>
      </c>
      <c r="AN1147" s="15" t="str">
        <f t="shared" si="117"/>
        <v>高级神器3配件5</v>
      </c>
      <c r="AO1147" s="15">
        <f>INDEX(芦花古楼!$BX$19:$BX$58,神器!AM1147)</f>
        <v>7</v>
      </c>
      <c r="AP1147" s="15" t="s">
        <v>88</v>
      </c>
      <c r="AQ1147" s="15">
        <f t="shared" si="118"/>
        <v>7560</v>
      </c>
      <c r="AR1147" s="15" t="s">
        <v>654</v>
      </c>
      <c r="AS1147" s="15">
        <f t="shared" si="119"/>
        <v>165</v>
      </c>
    </row>
    <row r="1148" spans="35:45" ht="16.5" x14ac:dyDescent="0.2">
      <c r="AI1148" s="60">
        <v>1135</v>
      </c>
      <c r="AJ1148" s="15">
        <f t="shared" si="114"/>
        <v>1606031</v>
      </c>
      <c r="AK1148" s="15" t="str">
        <f t="shared" si="115"/>
        <v>高级神器3配件5-灼热磨沙Lvs15</v>
      </c>
      <c r="AL1148" s="60" t="s">
        <v>645</v>
      </c>
      <c r="AM1148" s="15">
        <f t="shared" si="116"/>
        <v>15</v>
      </c>
      <c r="AN1148" s="15" t="str">
        <f t="shared" si="117"/>
        <v>高级神器3配件5</v>
      </c>
      <c r="AO1148" s="15">
        <f>INDEX(芦花古楼!$BX$19:$BX$58,神器!AM1148)</f>
        <v>10</v>
      </c>
      <c r="AP1148" s="15" t="s">
        <v>88</v>
      </c>
      <c r="AQ1148" s="15">
        <f t="shared" si="118"/>
        <v>8400</v>
      </c>
      <c r="AR1148" s="15" t="s">
        <v>654</v>
      </c>
      <c r="AS1148" s="15">
        <f t="shared" si="119"/>
        <v>180</v>
      </c>
    </row>
    <row r="1149" spans="35:45" ht="16.5" x14ac:dyDescent="0.2">
      <c r="AI1149" s="60">
        <v>1136</v>
      </c>
      <c r="AJ1149" s="15">
        <f t="shared" si="114"/>
        <v>1606031</v>
      </c>
      <c r="AK1149" s="15" t="str">
        <f t="shared" si="115"/>
        <v>高级神器3配件5-灼热磨沙Lvs16</v>
      </c>
      <c r="AL1149" s="60" t="s">
        <v>645</v>
      </c>
      <c r="AM1149" s="15">
        <f t="shared" si="116"/>
        <v>16</v>
      </c>
      <c r="AN1149" s="15" t="str">
        <f t="shared" si="117"/>
        <v>高级神器3配件5</v>
      </c>
      <c r="AO1149" s="15">
        <f>INDEX(芦花古楼!$BX$19:$BX$58,神器!AM1149)</f>
        <v>10</v>
      </c>
      <c r="AP1149" s="15" t="s">
        <v>88</v>
      </c>
      <c r="AQ1149" s="15">
        <f t="shared" si="118"/>
        <v>9240</v>
      </c>
      <c r="AR1149" s="15" t="s">
        <v>654</v>
      </c>
      <c r="AS1149" s="15">
        <f t="shared" si="119"/>
        <v>195</v>
      </c>
    </row>
    <row r="1150" spans="35:45" ht="16.5" x14ac:dyDescent="0.2">
      <c r="AI1150" s="60">
        <v>1137</v>
      </c>
      <c r="AJ1150" s="15">
        <f t="shared" si="114"/>
        <v>1606031</v>
      </c>
      <c r="AK1150" s="15" t="str">
        <f t="shared" si="115"/>
        <v>高级神器3配件5-灼热磨沙Lvs17</v>
      </c>
      <c r="AL1150" s="60" t="s">
        <v>645</v>
      </c>
      <c r="AM1150" s="15">
        <f t="shared" si="116"/>
        <v>17</v>
      </c>
      <c r="AN1150" s="15" t="str">
        <f t="shared" si="117"/>
        <v>高级神器3配件5</v>
      </c>
      <c r="AO1150" s="15">
        <f>INDEX(芦花古楼!$BX$19:$BX$58,神器!AM1150)</f>
        <v>10</v>
      </c>
      <c r="AP1150" s="15" t="s">
        <v>88</v>
      </c>
      <c r="AQ1150" s="15">
        <f t="shared" si="118"/>
        <v>10080</v>
      </c>
      <c r="AR1150" s="15" t="s">
        <v>654</v>
      </c>
      <c r="AS1150" s="15">
        <f t="shared" si="119"/>
        <v>210</v>
      </c>
    </row>
    <row r="1151" spans="35:45" ht="16.5" x14ac:dyDescent="0.2">
      <c r="AI1151" s="60">
        <v>1138</v>
      </c>
      <c r="AJ1151" s="15">
        <f t="shared" si="114"/>
        <v>1606031</v>
      </c>
      <c r="AK1151" s="15" t="str">
        <f t="shared" si="115"/>
        <v>高级神器3配件5-灼热磨沙Lvs18</v>
      </c>
      <c r="AL1151" s="60" t="s">
        <v>645</v>
      </c>
      <c r="AM1151" s="15">
        <f t="shared" si="116"/>
        <v>18</v>
      </c>
      <c r="AN1151" s="15" t="str">
        <f t="shared" si="117"/>
        <v>高级神器3配件5</v>
      </c>
      <c r="AO1151" s="15">
        <f>INDEX(芦花古楼!$BX$19:$BX$58,神器!AM1151)</f>
        <v>10</v>
      </c>
      <c r="AP1151" s="15" t="s">
        <v>88</v>
      </c>
      <c r="AQ1151" s="15">
        <f t="shared" si="118"/>
        <v>10920</v>
      </c>
      <c r="AR1151" s="15" t="s">
        <v>654</v>
      </c>
      <c r="AS1151" s="15">
        <f t="shared" si="119"/>
        <v>230</v>
      </c>
    </row>
    <row r="1152" spans="35:45" ht="16.5" x14ac:dyDescent="0.2">
      <c r="AI1152" s="60">
        <v>1139</v>
      </c>
      <c r="AJ1152" s="15">
        <f t="shared" si="114"/>
        <v>1606031</v>
      </c>
      <c r="AK1152" s="15" t="str">
        <f t="shared" si="115"/>
        <v>高级神器3配件5-灼热磨沙Lvs19</v>
      </c>
      <c r="AL1152" s="60" t="s">
        <v>645</v>
      </c>
      <c r="AM1152" s="15">
        <f t="shared" si="116"/>
        <v>19</v>
      </c>
      <c r="AN1152" s="15" t="str">
        <f t="shared" si="117"/>
        <v>高级神器3配件5</v>
      </c>
      <c r="AO1152" s="15">
        <f>INDEX(芦花古楼!$BX$19:$BX$58,神器!AM1152)</f>
        <v>10</v>
      </c>
      <c r="AP1152" s="15" t="s">
        <v>88</v>
      </c>
      <c r="AQ1152" s="15">
        <f t="shared" si="118"/>
        <v>11760</v>
      </c>
      <c r="AR1152" s="15" t="s">
        <v>654</v>
      </c>
      <c r="AS1152" s="15">
        <f t="shared" si="119"/>
        <v>245</v>
      </c>
    </row>
    <row r="1153" spans="35:45" ht="16.5" x14ac:dyDescent="0.2">
      <c r="AI1153" s="60">
        <v>1140</v>
      </c>
      <c r="AJ1153" s="15">
        <f t="shared" si="114"/>
        <v>1606031</v>
      </c>
      <c r="AK1153" s="15" t="str">
        <f t="shared" si="115"/>
        <v>高级神器3配件5-灼热磨沙Lvs20</v>
      </c>
      <c r="AL1153" s="60" t="s">
        <v>645</v>
      </c>
      <c r="AM1153" s="15">
        <f t="shared" si="116"/>
        <v>20</v>
      </c>
      <c r="AN1153" s="15" t="str">
        <f t="shared" si="117"/>
        <v>高级神器3配件5</v>
      </c>
      <c r="AO1153" s="15">
        <f>INDEX(芦花古楼!$BX$19:$BX$58,神器!AM1153)</f>
        <v>10</v>
      </c>
      <c r="AP1153" s="15" t="s">
        <v>88</v>
      </c>
      <c r="AQ1153" s="15">
        <f t="shared" si="118"/>
        <v>13440</v>
      </c>
      <c r="AR1153" s="15" t="s">
        <v>654</v>
      </c>
      <c r="AS1153" s="15">
        <f t="shared" si="119"/>
        <v>265</v>
      </c>
    </row>
    <row r="1154" spans="35:45" ht="16.5" x14ac:dyDescent="0.2">
      <c r="AI1154" s="60">
        <v>1141</v>
      </c>
      <c r="AJ1154" s="15">
        <f t="shared" si="114"/>
        <v>1606031</v>
      </c>
      <c r="AK1154" s="15" t="str">
        <f t="shared" si="115"/>
        <v>高级神器3配件5-灼热磨沙Lvs21</v>
      </c>
      <c r="AL1154" s="60" t="s">
        <v>645</v>
      </c>
      <c r="AM1154" s="15">
        <f t="shared" si="116"/>
        <v>21</v>
      </c>
      <c r="AN1154" s="15" t="str">
        <f t="shared" si="117"/>
        <v>高级神器3配件5</v>
      </c>
      <c r="AO1154" s="15">
        <f>INDEX(芦花古楼!$BX$19:$BX$58,神器!AM1154)</f>
        <v>15</v>
      </c>
      <c r="AP1154" s="15" t="s">
        <v>88</v>
      </c>
      <c r="AQ1154" s="15">
        <f t="shared" si="118"/>
        <v>14840</v>
      </c>
      <c r="AR1154" s="15" t="s">
        <v>654</v>
      </c>
      <c r="AS1154" s="15">
        <f t="shared" si="119"/>
        <v>285</v>
      </c>
    </row>
    <row r="1155" spans="35:45" ht="16.5" x14ac:dyDescent="0.2">
      <c r="AI1155" s="60">
        <v>1142</v>
      </c>
      <c r="AJ1155" s="15">
        <f t="shared" si="114"/>
        <v>1606031</v>
      </c>
      <c r="AK1155" s="15" t="str">
        <f t="shared" si="115"/>
        <v>高级神器3配件5-灼热磨沙Lvs22</v>
      </c>
      <c r="AL1155" s="60" t="s">
        <v>645</v>
      </c>
      <c r="AM1155" s="15">
        <f t="shared" si="116"/>
        <v>22</v>
      </c>
      <c r="AN1155" s="15" t="str">
        <f t="shared" si="117"/>
        <v>高级神器3配件5</v>
      </c>
      <c r="AO1155" s="15">
        <f>INDEX(芦花古楼!$BX$19:$BX$58,神器!AM1155)</f>
        <v>15</v>
      </c>
      <c r="AP1155" s="15" t="s">
        <v>88</v>
      </c>
      <c r="AQ1155" s="15">
        <f t="shared" si="118"/>
        <v>15585</v>
      </c>
      <c r="AR1155" s="15" t="s">
        <v>654</v>
      </c>
      <c r="AS1155" s="15">
        <f t="shared" si="119"/>
        <v>305</v>
      </c>
    </row>
    <row r="1156" spans="35:45" ht="16.5" x14ac:dyDescent="0.2">
      <c r="AI1156" s="60">
        <v>1143</v>
      </c>
      <c r="AJ1156" s="15">
        <f t="shared" si="114"/>
        <v>1606031</v>
      </c>
      <c r="AK1156" s="15" t="str">
        <f t="shared" si="115"/>
        <v>高级神器3配件5-灼热磨沙Lvs23</v>
      </c>
      <c r="AL1156" s="60" t="s">
        <v>645</v>
      </c>
      <c r="AM1156" s="15">
        <f t="shared" si="116"/>
        <v>23</v>
      </c>
      <c r="AN1156" s="15" t="str">
        <f t="shared" si="117"/>
        <v>高级神器3配件5</v>
      </c>
      <c r="AO1156" s="15">
        <f>INDEX(芦花古楼!$BX$19:$BX$58,神器!AM1156)</f>
        <v>15</v>
      </c>
      <c r="AP1156" s="15" t="s">
        <v>88</v>
      </c>
      <c r="AQ1156" s="15">
        <f t="shared" si="118"/>
        <v>16325</v>
      </c>
      <c r="AR1156" s="15" t="s">
        <v>654</v>
      </c>
      <c r="AS1156" s="15">
        <f t="shared" si="119"/>
        <v>330</v>
      </c>
    </row>
    <row r="1157" spans="35:45" ht="16.5" x14ac:dyDescent="0.2">
      <c r="AI1157" s="60">
        <v>1144</v>
      </c>
      <c r="AJ1157" s="15">
        <f t="shared" si="114"/>
        <v>1606031</v>
      </c>
      <c r="AK1157" s="15" t="str">
        <f t="shared" si="115"/>
        <v>高级神器3配件5-灼热磨沙Lvs24</v>
      </c>
      <c r="AL1157" s="60" t="s">
        <v>645</v>
      </c>
      <c r="AM1157" s="15">
        <f t="shared" si="116"/>
        <v>24</v>
      </c>
      <c r="AN1157" s="15" t="str">
        <f t="shared" si="117"/>
        <v>高级神器3配件5</v>
      </c>
      <c r="AO1157" s="15">
        <f>INDEX(芦花古楼!$BX$19:$BX$58,神器!AM1157)</f>
        <v>15</v>
      </c>
      <c r="AP1157" s="15" t="s">
        <v>88</v>
      </c>
      <c r="AQ1157" s="15">
        <f t="shared" si="118"/>
        <v>17070</v>
      </c>
      <c r="AR1157" s="15" t="s">
        <v>654</v>
      </c>
      <c r="AS1157" s="15">
        <f t="shared" si="119"/>
        <v>355</v>
      </c>
    </row>
    <row r="1158" spans="35:45" ht="16.5" x14ac:dyDescent="0.2">
      <c r="AI1158" s="60">
        <v>1145</v>
      </c>
      <c r="AJ1158" s="15">
        <f t="shared" si="114"/>
        <v>1606031</v>
      </c>
      <c r="AK1158" s="15" t="str">
        <f t="shared" si="115"/>
        <v>高级神器3配件5-灼热磨沙Lvs25</v>
      </c>
      <c r="AL1158" s="60" t="s">
        <v>645</v>
      </c>
      <c r="AM1158" s="15">
        <f t="shared" si="116"/>
        <v>25</v>
      </c>
      <c r="AN1158" s="15" t="str">
        <f t="shared" si="117"/>
        <v>高级神器3配件5</v>
      </c>
      <c r="AO1158" s="15">
        <f>INDEX(芦花古楼!$BX$19:$BX$58,神器!AM1158)</f>
        <v>15</v>
      </c>
      <c r="AP1158" s="15" t="s">
        <v>88</v>
      </c>
      <c r="AQ1158" s="15">
        <f t="shared" si="118"/>
        <v>17810</v>
      </c>
      <c r="AR1158" s="15" t="s">
        <v>654</v>
      </c>
      <c r="AS1158" s="15">
        <f t="shared" si="119"/>
        <v>375</v>
      </c>
    </row>
    <row r="1159" spans="35:45" ht="16.5" x14ac:dyDescent="0.2">
      <c r="AI1159" s="60">
        <v>1146</v>
      </c>
      <c r="AJ1159" s="15">
        <f t="shared" si="114"/>
        <v>1606031</v>
      </c>
      <c r="AK1159" s="15" t="str">
        <f t="shared" si="115"/>
        <v>高级神器3配件5-灼热磨沙Lvs26</v>
      </c>
      <c r="AL1159" s="60" t="s">
        <v>645</v>
      </c>
      <c r="AM1159" s="15">
        <f t="shared" si="116"/>
        <v>26</v>
      </c>
      <c r="AN1159" s="15" t="str">
        <f t="shared" si="117"/>
        <v>高级神器3配件5</v>
      </c>
      <c r="AO1159" s="15">
        <f>INDEX(芦花古楼!$BX$19:$BX$58,神器!AM1159)</f>
        <v>25</v>
      </c>
      <c r="AP1159" s="15" t="s">
        <v>88</v>
      </c>
      <c r="AQ1159" s="15">
        <f t="shared" si="118"/>
        <v>18550</v>
      </c>
      <c r="AR1159" s="15" t="s">
        <v>654</v>
      </c>
      <c r="AS1159" s="15">
        <f t="shared" si="119"/>
        <v>405</v>
      </c>
    </row>
    <row r="1160" spans="35:45" ht="16.5" x14ac:dyDescent="0.2">
      <c r="AI1160" s="60">
        <v>1147</v>
      </c>
      <c r="AJ1160" s="15">
        <f t="shared" si="114"/>
        <v>1606031</v>
      </c>
      <c r="AK1160" s="15" t="str">
        <f t="shared" si="115"/>
        <v>高级神器3配件5-灼热磨沙Lvs27</v>
      </c>
      <c r="AL1160" s="60" t="s">
        <v>645</v>
      </c>
      <c r="AM1160" s="15">
        <f t="shared" si="116"/>
        <v>27</v>
      </c>
      <c r="AN1160" s="15" t="str">
        <f t="shared" si="117"/>
        <v>高级神器3配件5</v>
      </c>
      <c r="AO1160" s="15">
        <f>INDEX(芦花古楼!$BX$19:$BX$58,神器!AM1160)</f>
        <v>25</v>
      </c>
      <c r="AP1160" s="15" t="s">
        <v>88</v>
      </c>
      <c r="AQ1160" s="15">
        <f t="shared" si="118"/>
        <v>19295</v>
      </c>
      <c r="AR1160" s="15" t="s">
        <v>654</v>
      </c>
      <c r="AS1160" s="15">
        <f t="shared" si="119"/>
        <v>430</v>
      </c>
    </row>
    <row r="1161" spans="35:45" ht="16.5" x14ac:dyDescent="0.2">
      <c r="AI1161" s="60">
        <v>1148</v>
      </c>
      <c r="AJ1161" s="15">
        <f t="shared" si="114"/>
        <v>1606031</v>
      </c>
      <c r="AK1161" s="15" t="str">
        <f t="shared" si="115"/>
        <v>高级神器3配件5-灼热磨沙Lvs28</v>
      </c>
      <c r="AL1161" s="60" t="s">
        <v>645</v>
      </c>
      <c r="AM1161" s="15">
        <f t="shared" si="116"/>
        <v>28</v>
      </c>
      <c r="AN1161" s="15" t="str">
        <f t="shared" si="117"/>
        <v>高级神器3配件5</v>
      </c>
      <c r="AO1161" s="15">
        <f>INDEX(芦花古楼!$BX$19:$BX$58,神器!AM1161)</f>
        <v>25</v>
      </c>
      <c r="AP1161" s="15" t="s">
        <v>88</v>
      </c>
      <c r="AQ1161" s="15">
        <f t="shared" si="118"/>
        <v>20035</v>
      </c>
      <c r="AR1161" s="15" t="s">
        <v>654</v>
      </c>
      <c r="AS1161" s="15">
        <f t="shared" si="119"/>
        <v>460</v>
      </c>
    </row>
    <row r="1162" spans="35:45" ht="16.5" x14ac:dyDescent="0.2">
      <c r="AI1162" s="60">
        <v>1149</v>
      </c>
      <c r="AJ1162" s="15">
        <f t="shared" si="114"/>
        <v>1606031</v>
      </c>
      <c r="AK1162" s="15" t="str">
        <f t="shared" si="115"/>
        <v>高级神器3配件5-灼热磨沙Lvs29</v>
      </c>
      <c r="AL1162" s="60" t="s">
        <v>645</v>
      </c>
      <c r="AM1162" s="15">
        <f t="shared" si="116"/>
        <v>29</v>
      </c>
      <c r="AN1162" s="15" t="str">
        <f t="shared" si="117"/>
        <v>高级神器3配件5</v>
      </c>
      <c r="AO1162" s="15">
        <f>INDEX(芦花古楼!$BX$19:$BX$58,神器!AM1162)</f>
        <v>25</v>
      </c>
      <c r="AP1162" s="15" t="s">
        <v>88</v>
      </c>
      <c r="AQ1162" s="15">
        <f t="shared" si="118"/>
        <v>20780</v>
      </c>
      <c r="AR1162" s="15" t="s">
        <v>654</v>
      </c>
      <c r="AS1162" s="15">
        <f t="shared" si="119"/>
        <v>485</v>
      </c>
    </row>
    <row r="1163" spans="35:45" ht="16.5" x14ac:dyDescent="0.2">
      <c r="AI1163" s="60">
        <v>1150</v>
      </c>
      <c r="AJ1163" s="15">
        <f t="shared" si="114"/>
        <v>1606031</v>
      </c>
      <c r="AK1163" s="15" t="str">
        <f t="shared" si="115"/>
        <v>高级神器3配件5-灼热磨沙Lvs30</v>
      </c>
      <c r="AL1163" s="60" t="s">
        <v>645</v>
      </c>
      <c r="AM1163" s="15">
        <f t="shared" si="116"/>
        <v>30</v>
      </c>
      <c r="AN1163" s="15" t="str">
        <f t="shared" si="117"/>
        <v>高级神器3配件5</v>
      </c>
      <c r="AO1163" s="15">
        <f>INDEX(芦花古楼!$BX$19:$BX$58,神器!AM1163)</f>
        <v>25</v>
      </c>
      <c r="AP1163" s="15" t="s">
        <v>88</v>
      </c>
      <c r="AQ1163" s="15">
        <f t="shared" si="118"/>
        <v>22265</v>
      </c>
      <c r="AR1163" s="15" t="s">
        <v>654</v>
      </c>
      <c r="AS1163" s="15">
        <f t="shared" si="119"/>
        <v>520</v>
      </c>
    </row>
    <row r="1164" spans="35:45" ht="16.5" x14ac:dyDescent="0.2">
      <c r="AI1164" s="60">
        <v>1151</v>
      </c>
      <c r="AJ1164" s="15">
        <f t="shared" si="114"/>
        <v>1606031</v>
      </c>
      <c r="AK1164" s="15" t="str">
        <f t="shared" si="115"/>
        <v>高级神器3配件5-灼热磨沙Lvs31</v>
      </c>
      <c r="AL1164" s="60" t="s">
        <v>645</v>
      </c>
      <c r="AM1164" s="15">
        <f t="shared" si="116"/>
        <v>31</v>
      </c>
      <c r="AN1164" s="15" t="str">
        <f t="shared" si="117"/>
        <v>高级神器3配件5</v>
      </c>
      <c r="AO1164" s="15">
        <f>INDEX(芦花古楼!$BX$19:$BX$58,神器!AM1164)</f>
        <v>30</v>
      </c>
      <c r="AP1164" s="15" t="s">
        <v>88</v>
      </c>
      <c r="AQ1164" s="15">
        <f t="shared" si="118"/>
        <v>21700</v>
      </c>
      <c r="AR1164" s="15" t="s">
        <v>654</v>
      </c>
      <c r="AS1164" s="15">
        <f t="shared" si="119"/>
        <v>550</v>
      </c>
    </row>
    <row r="1165" spans="35:45" ht="16.5" x14ac:dyDescent="0.2">
      <c r="AI1165" s="60">
        <v>1152</v>
      </c>
      <c r="AJ1165" s="15">
        <f t="shared" si="114"/>
        <v>1606031</v>
      </c>
      <c r="AK1165" s="15" t="str">
        <f t="shared" si="115"/>
        <v>高级神器3配件5-灼热磨沙Lvs32</v>
      </c>
      <c r="AL1165" s="60" t="s">
        <v>645</v>
      </c>
      <c r="AM1165" s="15">
        <f t="shared" si="116"/>
        <v>32</v>
      </c>
      <c r="AN1165" s="15" t="str">
        <f t="shared" si="117"/>
        <v>高级神器3配件5</v>
      </c>
      <c r="AO1165" s="15">
        <f>INDEX(芦花古楼!$BX$19:$BX$58,神器!AM1165)</f>
        <v>30</v>
      </c>
      <c r="AP1165" s="15" t="s">
        <v>88</v>
      </c>
      <c r="AQ1165" s="15">
        <f t="shared" si="118"/>
        <v>32550</v>
      </c>
      <c r="AR1165" s="15" t="s">
        <v>654</v>
      </c>
      <c r="AS1165" s="15">
        <f t="shared" si="119"/>
        <v>585</v>
      </c>
    </row>
    <row r="1166" spans="35:45" ht="16.5" x14ac:dyDescent="0.2">
      <c r="AI1166" s="60">
        <v>1153</v>
      </c>
      <c r="AJ1166" s="15">
        <f t="shared" si="114"/>
        <v>1606031</v>
      </c>
      <c r="AK1166" s="15" t="str">
        <f t="shared" si="115"/>
        <v>高级神器3配件5-灼热磨沙Lvs33</v>
      </c>
      <c r="AL1166" s="60" t="s">
        <v>645</v>
      </c>
      <c r="AM1166" s="15">
        <f t="shared" si="116"/>
        <v>33</v>
      </c>
      <c r="AN1166" s="15" t="str">
        <f t="shared" si="117"/>
        <v>高级神器3配件5</v>
      </c>
      <c r="AO1166" s="15">
        <f>INDEX(芦花古楼!$BX$19:$BX$58,神器!AM1166)</f>
        <v>30</v>
      </c>
      <c r="AP1166" s="15" t="s">
        <v>88</v>
      </c>
      <c r="AQ1166" s="15">
        <f t="shared" si="118"/>
        <v>43400</v>
      </c>
      <c r="AR1166" s="15" t="s">
        <v>654</v>
      </c>
      <c r="AS1166" s="15">
        <f t="shared" si="119"/>
        <v>620</v>
      </c>
    </row>
    <row r="1167" spans="35:45" ht="16.5" x14ac:dyDescent="0.2">
      <c r="AI1167" s="60">
        <v>1154</v>
      </c>
      <c r="AJ1167" s="15">
        <f t="shared" ref="AJ1167:AJ1213" si="120">INDEX($AC$4:$AC$33,INT((AI1167-1)/40)+1)</f>
        <v>1606031</v>
      </c>
      <c r="AK1167" s="15" t="str">
        <f t="shared" ref="AK1167:AK1213" si="121">INDEX($AF$4:$AF$33,INT((AI1167-1)/40)+1)&amp;AL1167&amp;AM1167</f>
        <v>高级神器3配件5-灼热磨沙Lvs34</v>
      </c>
      <c r="AL1167" s="60" t="s">
        <v>645</v>
      </c>
      <c r="AM1167" s="15">
        <f t="shared" ref="AM1167:AM1213" si="122">MOD(AI1167-1,40)+1</f>
        <v>34</v>
      </c>
      <c r="AN1167" s="15" t="str">
        <f t="shared" ref="AN1167:AN1213" si="123">INDEX($AD$4:$AD$33,INT((AI1167-1)/40)+1)</f>
        <v>高级神器3配件5</v>
      </c>
      <c r="AO1167" s="15">
        <f>INDEX(芦花古楼!$BX$19:$BX$58,神器!AM1167)</f>
        <v>30</v>
      </c>
      <c r="AP1167" s="15" t="s">
        <v>88</v>
      </c>
      <c r="AQ1167" s="15">
        <f t="shared" ref="AQ1167:AQ1213" si="124">INDEX($F$14:$L$53,AM1167,INDEX($AB$4:$AB$33,INT((AI1167-1)/40)+1))</f>
        <v>54250</v>
      </c>
      <c r="AR1167" s="15" t="s">
        <v>654</v>
      </c>
      <c r="AS1167" s="15">
        <f t="shared" ref="AS1167:AS1213" si="125">INDEX($P$14:$V$53,AM1167,INDEX($AB$4:$AB$33,INT((AI1167-1)/40)+1))</f>
        <v>660</v>
      </c>
    </row>
    <row r="1168" spans="35:45" ht="16.5" x14ac:dyDescent="0.2">
      <c r="AI1168" s="60">
        <v>1155</v>
      </c>
      <c r="AJ1168" s="15">
        <f t="shared" si="120"/>
        <v>1606031</v>
      </c>
      <c r="AK1168" s="15" t="str">
        <f t="shared" si="121"/>
        <v>高级神器3配件5-灼热磨沙Lvs35</v>
      </c>
      <c r="AL1168" s="60" t="s">
        <v>645</v>
      </c>
      <c r="AM1168" s="15">
        <f t="shared" si="122"/>
        <v>35</v>
      </c>
      <c r="AN1168" s="15" t="str">
        <f t="shared" si="123"/>
        <v>高级神器3配件5</v>
      </c>
      <c r="AO1168" s="15">
        <f>INDEX(芦花古楼!$BX$19:$BX$58,神器!AM1168)</f>
        <v>30</v>
      </c>
      <c r="AP1168" s="15" t="s">
        <v>88</v>
      </c>
      <c r="AQ1168" s="15">
        <f t="shared" si="124"/>
        <v>65100</v>
      </c>
      <c r="AR1168" s="15" t="s">
        <v>654</v>
      </c>
      <c r="AS1168" s="15">
        <f t="shared" si="125"/>
        <v>700</v>
      </c>
    </row>
    <row r="1169" spans="35:45" ht="16.5" x14ac:dyDescent="0.2">
      <c r="AI1169" s="60">
        <v>1156</v>
      </c>
      <c r="AJ1169" s="15">
        <f t="shared" si="120"/>
        <v>1606031</v>
      </c>
      <c r="AK1169" s="15" t="str">
        <f t="shared" si="121"/>
        <v>高级神器3配件5-灼热磨沙Lvs36</v>
      </c>
      <c r="AL1169" s="60" t="s">
        <v>645</v>
      </c>
      <c r="AM1169" s="15">
        <f t="shared" si="122"/>
        <v>36</v>
      </c>
      <c r="AN1169" s="15" t="str">
        <f t="shared" si="123"/>
        <v>高级神器3配件5</v>
      </c>
      <c r="AO1169" s="15">
        <f>INDEX(芦花古楼!$BX$19:$BX$58,神器!AM1169)</f>
        <v>40</v>
      </c>
      <c r="AP1169" s="15" t="s">
        <v>88</v>
      </c>
      <c r="AQ1169" s="15">
        <f t="shared" si="124"/>
        <v>75950</v>
      </c>
      <c r="AR1169" s="15" t="s">
        <v>654</v>
      </c>
      <c r="AS1169" s="15">
        <f t="shared" si="125"/>
        <v>740</v>
      </c>
    </row>
    <row r="1170" spans="35:45" ht="16.5" x14ac:dyDescent="0.2">
      <c r="AI1170" s="60">
        <v>1157</v>
      </c>
      <c r="AJ1170" s="15">
        <f t="shared" si="120"/>
        <v>1606031</v>
      </c>
      <c r="AK1170" s="15" t="str">
        <f t="shared" si="121"/>
        <v>高级神器3配件5-灼热磨沙Lvs37</v>
      </c>
      <c r="AL1170" s="60" t="s">
        <v>645</v>
      </c>
      <c r="AM1170" s="15">
        <f t="shared" si="122"/>
        <v>37</v>
      </c>
      <c r="AN1170" s="15" t="str">
        <f t="shared" si="123"/>
        <v>高级神器3配件5</v>
      </c>
      <c r="AO1170" s="15">
        <f>INDEX(芦花古楼!$BX$19:$BX$58,神器!AM1170)</f>
        <v>40</v>
      </c>
      <c r="AP1170" s="15" t="s">
        <v>88</v>
      </c>
      <c r="AQ1170" s="15">
        <f t="shared" si="124"/>
        <v>86805</v>
      </c>
      <c r="AR1170" s="15" t="s">
        <v>654</v>
      </c>
      <c r="AS1170" s="15">
        <f t="shared" si="125"/>
        <v>785</v>
      </c>
    </row>
    <row r="1171" spans="35:45" ht="16.5" x14ac:dyDescent="0.2">
      <c r="AI1171" s="60">
        <v>1158</v>
      </c>
      <c r="AJ1171" s="15">
        <f t="shared" si="120"/>
        <v>1606031</v>
      </c>
      <c r="AK1171" s="15" t="str">
        <f t="shared" si="121"/>
        <v>高级神器3配件5-灼热磨沙Lvs38</v>
      </c>
      <c r="AL1171" s="60" t="s">
        <v>645</v>
      </c>
      <c r="AM1171" s="15">
        <f t="shared" si="122"/>
        <v>38</v>
      </c>
      <c r="AN1171" s="15" t="str">
        <f t="shared" si="123"/>
        <v>高级神器3配件5</v>
      </c>
      <c r="AO1171" s="15">
        <f>INDEX(芦花古楼!$BX$19:$BX$58,神器!AM1171)</f>
        <v>40</v>
      </c>
      <c r="AP1171" s="15" t="s">
        <v>88</v>
      </c>
      <c r="AQ1171" s="15">
        <f t="shared" si="124"/>
        <v>97655</v>
      </c>
      <c r="AR1171" s="15" t="s">
        <v>654</v>
      </c>
      <c r="AS1171" s="15">
        <f t="shared" si="125"/>
        <v>830</v>
      </c>
    </row>
    <row r="1172" spans="35:45" ht="16.5" x14ac:dyDescent="0.2">
      <c r="AI1172" s="60">
        <v>1159</v>
      </c>
      <c r="AJ1172" s="15">
        <f t="shared" si="120"/>
        <v>1606031</v>
      </c>
      <c r="AK1172" s="15" t="str">
        <f t="shared" si="121"/>
        <v>高级神器3配件5-灼热磨沙Lvs39</v>
      </c>
      <c r="AL1172" s="60" t="s">
        <v>645</v>
      </c>
      <c r="AM1172" s="15">
        <f t="shared" si="122"/>
        <v>39</v>
      </c>
      <c r="AN1172" s="15" t="str">
        <f t="shared" si="123"/>
        <v>高级神器3配件5</v>
      </c>
      <c r="AO1172" s="15">
        <f>INDEX(芦花古楼!$BX$19:$BX$58,神器!AM1172)</f>
        <v>40</v>
      </c>
      <c r="AP1172" s="15" t="s">
        <v>88</v>
      </c>
      <c r="AQ1172" s="15">
        <f t="shared" si="124"/>
        <v>108505</v>
      </c>
      <c r="AR1172" s="15" t="s">
        <v>654</v>
      </c>
      <c r="AS1172" s="15">
        <f t="shared" si="125"/>
        <v>880</v>
      </c>
    </row>
    <row r="1173" spans="35:45" ht="16.5" x14ac:dyDescent="0.2">
      <c r="AI1173" s="60">
        <v>1160</v>
      </c>
      <c r="AJ1173" s="15">
        <f t="shared" si="120"/>
        <v>1606031</v>
      </c>
      <c r="AK1173" s="15" t="str">
        <f t="shared" si="121"/>
        <v>高级神器3配件5-灼热磨沙Lvs40</v>
      </c>
      <c r="AL1173" s="60" t="s">
        <v>645</v>
      </c>
      <c r="AM1173" s="15">
        <f t="shared" si="122"/>
        <v>40</v>
      </c>
      <c r="AN1173" s="15" t="str">
        <f t="shared" si="123"/>
        <v>高级神器3配件5</v>
      </c>
      <c r="AO1173" s="15">
        <f>INDEX(芦花古楼!$BX$19:$BX$58,神器!AM1173)</f>
        <v>40</v>
      </c>
      <c r="AP1173" s="15" t="s">
        <v>88</v>
      </c>
      <c r="AQ1173" s="15">
        <f t="shared" si="124"/>
        <v>130205</v>
      </c>
      <c r="AR1173" s="15" t="s">
        <v>654</v>
      </c>
      <c r="AS1173" s="15">
        <f t="shared" si="125"/>
        <v>930</v>
      </c>
    </row>
    <row r="1174" spans="35:45" ht="16.5" x14ac:dyDescent="0.2">
      <c r="AI1174" s="60">
        <v>1161</v>
      </c>
      <c r="AJ1174" s="15">
        <f t="shared" si="120"/>
        <v>1606032</v>
      </c>
      <c r="AK1174" s="15" t="str">
        <f t="shared" si="121"/>
        <v>高级神器3配件6-禁纹Lvs1</v>
      </c>
      <c r="AL1174" s="60" t="s">
        <v>645</v>
      </c>
      <c r="AM1174" s="15">
        <f t="shared" si="122"/>
        <v>1</v>
      </c>
      <c r="AN1174" s="15" t="str">
        <f t="shared" si="123"/>
        <v>高级神器3配件6</v>
      </c>
      <c r="AO1174" s="15">
        <f>INDEX(芦花古楼!$BX$19:$BX$58,神器!AM1174)</f>
        <v>1</v>
      </c>
      <c r="AP1174" s="15" t="s">
        <v>88</v>
      </c>
      <c r="AQ1174" s="15">
        <f t="shared" si="124"/>
        <v>665</v>
      </c>
      <c r="AR1174" s="15" t="s">
        <v>654</v>
      </c>
      <c r="AS1174" s="15">
        <f t="shared" si="125"/>
        <v>25</v>
      </c>
    </row>
    <row r="1175" spans="35:45" ht="16.5" x14ac:dyDescent="0.2">
      <c r="AI1175" s="60">
        <v>1162</v>
      </c>
      <c r="AJ1175" s="15">
        <f t="shared" si="120"/>
        <v>1606032</v>
      </c>
      <c r="AK1175" s="15" t="str">
        <f t="shared" si="121"/>
        <v>高级神器3配件6-禁纹Lvs2</v>
      </c>
      <c r="AL1175" s="60" t="s">
        <v>645</v>
      </c>
      <c r="AM1175" s="15">
        <f t="shared" si="122"/>
        <v>2</v>
      </c>
      <c r="AN1175" s="15" t="str">
        <f t="shared" si="123"/>
        <v>高级神器3配件6</v>
      </c>
      <c r="AO1175" s="15">
        <f>INDEX(芦花古楼!$BX$19:$BX$58,神器!AM1175)</f>
        <v>1</v>
      </c>
      <c r="AP1175" s="15" t="s">
        <v>88</v>
      </c>
      <c r="AQ1175" s="15">
        <f t="shared" si="124"/>
        <v>1000</v>
      </c>
      <c r="AR1175" s="15" t="s">
        <v>654</v>
      </c>
      <c r="AS1175" s="15">
        <f t="shared" si="125"/>
        <v>30</v>
      </c>
    </row>
    <row r="1176" spans="35:45" ht="16.5" x14ac:dyDescent="0.2">
      <c r="AI1176" s="60">
        <v>1163</v>
      </c>
      <c r="AJ1176" s="15">
        <f t="shared" si="120"/>
        <v>1606032</v>
      </c>
      <c r="AK1176" s="15" t="str">
        <f t="shared" si="121"/>
        <v>高级神器3配件6-禁纹Lvs3</v>
      </c>
      <c r="AL1176" s="60" t="s">
        <v>645</v>
      </c>
      <c r="AM1176" s="15">
        <f t="shared" si="122"/>
        <v>3</v>
      </c>
      <c r="AN1176" s="15" t="str">
        <f t="shared" si="123"/>
        <v>高级神器3配件6</v>
      </c>
      <c r="AO1176" s="15">
        <f>INDEX(芦花古楼!$BX$19:$BX$58,神器!AM1176)</f>
        <v>2</v>
      </c>
      <c r="AP1176" s="15" t="s">
        <v>88</v>
      </c>
      <c r="AQ1176" s="15">
        <f t="shared" si="124"/>
        <v>1335</v>
      </c>
      <c r="AR1176" s="15" t="s">
        <v>654</v>
      </c>
      <c r="AS1176" s="15">
        <f t="shared" si="125"/>
        <v>40</v>
      </c>
    </row>
    <row r="1177" spans="35:45" ht="16.5" x14ac:dyDescent="0.2">
      <c r="AI1177" s="60">
        <v>1164</v>
      </c>
      <c r="AJ1177" s="15">
        <f t="shared" si="120"/>
        <v>1606032</v>
      </c>
      <c r="AK1177" s="15" t="str">
        <f t="shared" si="121"/>
        <v>高级神器3配件6-禁纹Lvs4</v>
      </c>
      <c r="AL1177" s="60" t="s">
        <v>645</v>
      </c>
      <c r="AM1177" s="15">
        <f t="shared" si="122"/>
        <v>4</v>
      </c>
      <c r="AN1177" s="15" t="str">
        <f t="shared" si="123"/>
        <v>高级神器3配件6</v>
      </c>
      <c r="AO1177" s="15">
        <f>INDEX(芦花古楼!$BX$19:$BX$58,神器!AM1177)</f>
        <v>3</v>
      </c>
      <c r="AP1177" s="15" t="s">
        <v>88</v>
      </c>
      <c r="AQ1177" s="15">
        <f t="shared" si="124"/>
        <v>1670</v>
      </c>
      <c r="AR1177" s="15" t="s">
        <v>654</v>
      </c>
      <c r="AS1177" s="15">
        <f t="shared" si="125"/>
        <v>50</v>
      </c>
    </row>
    <row r="1178" spans="35:45" ht="16.5" x14ac:dyDescent="0.2">
      <c r="AI1178" s="60">
        <v>1165</v>
      </c>
      <c r="AJ1178" s="15">
        <f t="shared" si="120"/>
        <v>1606032</v>
      </c>
      <c r="AK1178" s="15" t="str">
        <f t="shared" si="121"/>
        <v>高级神器3配件6-禁纹Lvs5</v>
      </c>
      <c r="AL1178" s="60" t="s">
        <v>645</v>
      </c>
      <c r="AM1178" s="15">
        <f t="shared" si="122"/>
        <v>5</v>
      </c>
      <c r="AN1178" s="15" t="str">
        <f t="shared" si="123"/>
        <v>高级神器3配件6</v>
      </c>
      <c r="AO1178" s="15">
        <f>INDEX(芦花古楼!$BX$19:$BX$58,神器!AM1178)</f>
        <v>3</v>
      </c>
      <c r="AP1178" s="15" t="s">
        <v>88</v>
      </c>
      <c r="AQ1178" s="15">
        <f t="shared" si="124"/>
        <v>2005</v>
      </c>
      <c r="AR1178" s="15" t="s">
        <v>654</v>
      </c>
      <c r="AS1178" s="15">
        <f t="shared" si="125"/>
        <v>60</v>
      </c>
    </row>
    <row r="1179" spans="35:45" ht="16.5" x14ac:dyDescent="0.2">
      <c r="AI1179" s="60">
        <v>1166</v>
      </c>
      <c r="AJ1179" s="15">
        <f t="shared" si="120"/>
        <v>1606032</v>
      </c>
      <c r="AK1179" s="15" t="str">
        <f t="shared" si="121"/>
        <v>高级神器3配件6-禁纹Lvs6</v>
      </c>
      <c r="AL1179" s="60" t="s">
        <v>645</v>
      </c>
      <c r="AM1179" s="15">
        <f t="shared" si="122"/>
        <v>6</v>
      </c>
      <c r="AN1179" s="15" t="str">
        <f t="shared" si="123"/>
        <v>高级神器3配件6</v>
      </c>
      <c r="AO1179" s="15">
        <f>INDEX(芦花古楼!$BX$19:$BX$58,神器!AM1179)</f>
        <v>5</v>
      </c>
      <c r="AP1179" s="15" t="s">
        <v>88</v>
      </c>
      <c r="AQ1179" s="15">
        <f t="shared" si="124"/>
        <v>2340</v>
      </c>
      <c r="AR1179" s="15" t="s">
        <v>654</v>
      </c>
      <c r="AS1179" s="15">
        <f t="shared" si="125"/>
        <v>70</v>
      </c>
    </row>
    <row r="1180" spans="35:45" ht="16.5" x14ac:dyDescent="0.2">
      <c r="AI1180" s="60">
        <v>1167</v>
      </c>
      <c r="AJ1180" s="15">
        <f t="shared" si="120"/>
        <v>1606032</v>
      </c>
      <c r="AK1180" s="15" t="str">
        <f t="shared" si="121"/>
        <v>高级神器3配件6-禁纹Lvs7</v>
      </c>
      <c r="AL1180" s="60" t="s">
        <v>645</v>
      </c>
      <c r="AM1180" s="15">
        <f t="shared" si="122"/>
        <v>7</v>
      </c>
      <c r="AN1180" s="15" t="str">
        <f t="shared" si="123"/>
        <v>高级神器3配件6</v>
      </c>
      <c r="AO1180" s="15">
        <f>INDEX(芦花古楼!$BX$19:$BX$58,神器!AM1180)</f>
        <v>5</v>
      </c>
      <c r="AP1180" s="15" t="s">
        <v>88</v>
      </c>
      <c r="AQ1180" s="15">
        <f t="shared" si="124"/>
        <v>2675</v>
      </c>
      <c r="AR1180" s="15" t="s">
        <v>654</v>
      </c>
      <c r="AS1180" s="15">
        <f t="shared" si="125"/>
        <v>80</v>
      </c>
    </row>
    <row r="1181" spans="35:45" ht="16.5" x14ac:dyDescent="0.2">
      <c r="AI1181" s="60">
        <v>1168</v>
      </c>
      <c r="AJ1181" s="15">
        <f t="shared" si="120"/>
        <v>1606032</v>
      </c>
      <c r="AK1181" s="15" t="str">
        <f t="shared" si="121"/>
        <v>高级神器3配件6-禁纹Lvs8</v>
      </c>
      <c r="AL1181" s="60" t="s">
        <v>645</v>
      </c>
      <c r="AM1181" s="15">
        <f t="shared" si="122"/>
        <v>8</v>
      </c>
      <c r="AN1181" s="15" t="str">
        <f t="shared" si="123"/>
        <v>高级神器3配件6</v>
      </c>
      <c r="AO1181" s="15">
        <f>INDEX(芦花古楼!$BX$19:$BX$58,神器!AM1181)</f>
        <v>5</v>
      </c>
      <c r="AP1181" s="15" t="s">
        <v>88</v>
      </c>
      <c r="AQ1181" s="15">
        <f t="shared" si="124"/>
        <v>3010</v>
      </c>
      <c r="AR1181" s="15" t="s">
        <v>654</v>
      </c>
      <c r="AS1181" s="15">
        <f t="shared" si="125"/>
        <v>90</v>
      </c>
    </row>
    <row r="1182" spans="35:45" ht="16.5" x14ac:dyDescent="0.2">
      <c r="AI1182" s="60">
        <v>1169</v>
      </c>
      <c r="AJ1182" s="15">
        <f t="shared" si="120"/>
        <v>1606032</v>
      </c>
      <c r="AK1182" s="15" t="str">
        <f t="shared" si="121"/>
        <v>高级神器3配件6-禁纹Lvs9</v>
      </c>
      <c r="AL1182" s="60" t="s">
        <v>645</v>
      </c>
      <c r="AM1182" s="15">
        <f t="shared" si="122"/>
        <v>9</v>
      </c>
      <c r="AN1182" s="15" t="str">
        <f t="shared" si="123"/>
        <v>高级神器3配件6</v>
      </c>
      <c r="AO1182" s="15">
        <f>INDEX(芦花古楼!$BX$19:$BX$58,神器!AM1182)</f>
        <v>5</v>
      </c>
      <c r="AP1182" s="15" t="s">
        <v>88</v>
      </c>
      <c r="AQ1182" s="15">
        <f t="shared" si="124"/>
        <v>3345</v>
      </c>
      <c r="AR1182" s="15" t="s">
        <v>654</v>
      </c>
      <c r="AS1182" s="15">
        <f t="shared" si="125"/>
        <v>100</v>
      </c>
    </row>
    <row r="1183" spans="35:45" ht="16.5" x14ac:dyDescent="0.2">
      <c r="AI1183" s="60">
        <v>1170</v>
      </c>
      <c r="AJ1183" s="15">
        <f t="shared" si="120"/>
        <v>1606032</v>
      </c>
      <c r="AK1183" s="15" t="str">
        <f t="shared" si="121"/>
        <v>高级神器3配件6-禁纹Lvs10</v>
      </c>
      <c r="AL1183" s="60" t="s">
        <v>645</v>
      </c>
      <c r="AM1183" s="15">
        <f t="shared" si="122"/>
        <v>10</v>
      </c>
      <c r="AN1183" s="15" t="str">
        <f t="shared" si="123"/>
        <v>高级神器3配件6</v>
      </c>
      <c r="AO1183" s="15">
        <f>INDEX(芦花古楼!$BX$19:$BX$58,神器!AM1183)</f>
        <v>7</v>
      </c>
      <c r="AP1183" s="15" t="s">
        <v>88</v>
      </c>
      <c r="AQ1183" s="15">
        <f t="shared" si="124"/>
        <v>4015</v>
      </c>
      <c r="AR1183" s="15" t="s">
        <v>654</v>
      </c>
      <c r="AS1183" s="15">
        <f t="shared" si="125"/>
        <v>110</v>
      </c>
    </row>
    <row r="1184" spans="35:45" ht="16.5" x14ac:dyDescent="0.2">
      <c r="AI1184" s="60">
        <v>1171</v>
      </c>
      <c r="AJ1184" s="15">
        <f t="shared" si="120"/>
        <v>1606032</v>
      </c>
      <c r="AK1184" s="15" t="str">
        <f t="shared" si="121"/>
        <v>高级神器3配件6-禁纹Lvs11</v>
      </c>
      <c r="AL1184" s="60" t="s">
        <v>645</v>
      </c>
      <c r="AM1184" s="15">
        <f t="shared" si="122"/>
        <v>11</v>
      </c>
      <c r="AN1184" s="15" t="str">
        <f t="shared" si="123"/>
        <v>高级神器3配件6</v>
      </c>
      <c r="AO1184" s="15">
        <f>INDEX(芦花古楼!$BX$19:$BX$58,神器!AM1184)</f>
        <v>7</v>
      </c>
      <c r="AP1184" s="15" t="s">
        <v>88</v>
      </c>
      <c r="AQ1184" s="15">
        <f t="shared" si="124"/>
        <v>5040</v>
      </c>
      <c r="AR1184" s="15" t="s">
        <v>654</v>
      </c>
      <c r="AS1184" s="15">
        <f t="shared" si="125"/>
        <v>125</v>
      </c>
    </row>
    <row r="1185" spans="35:45" ht="16.5" x14ac:dyDescent="0.2">
      <c r="AI1185" s="60">
        <v>1172</v>
      </c>
      <c r="AJ1185" s="15">
        <f t="shared" si="120"/>
        <v>1606032</v>
      </c>
      <c r="AK1185" s="15" t="str">
        <f t="shared" si="121"/>
        <v>高级神器3配件6-禁纹Lvs12</v>
      </c>
      <c r="AL1185" s="60" t="s">
        <v>645</v>
      </c>
      <c r="AM1185" s="15">
        <f t="shared" si="122"/>
        <v>12</v>
      </c>
      <c r="AN1185" s="15" t="str">
        <f t="shared" si="123"/>
        <v>高级神器3配件6</v>
      </c>
      <c r="AO1185" s="15">
        <f>INDEX(芦花古楼!$BX$19:$BX$58,神器!AM1185)</f>
        <v>7</v>
      </c>
      <c r="AP1185" s="15" t="s">
        <v>88</v>
      </c>
      <c r="AQ1185" s="15">
        <f t="shared" si="124"/>
        <v>5880</v>
      </c>
      <c r="AR1185" s="15" t="s">
        <v>654</v>
      </c>
      <c r="AS1185" s="15">
        <f t="shared" si="125"/>
        <v>135</v>
      </c>
    </row>
    <row r="1186" spans="35:45" ht="16.5" x14ac:dyDescent="0.2">
      <c r="AI1186" s="60">
        <v>1173</v>
      </c>
      <c r="AJ1186" s="15">
        <f t="shared" si="120"/>
        <v>1606032</v>
      </c>
      <c r="AK1186" s="15" t="str">
        <f t="shared" si="121"/>
        <v>高级神器3配件6-禁纹Lvs13</v>
      </c>
      <c r="AL1186" s="60" t="s">
        <v>645</v>
      </c>
      <c r="AM1186" s="15">
        <f t="shared" si="122"/>
        <v>13</v>
      </c>
      <c r="AN1186" s="15" t="str">
        <f t="shared" si="123"/>
        <v>高级神器3配件6</v>
      </c>
      <c r="AO1186" s="15">
        <f>INDEX(芦花古楼!$BX$19:$BX$58,神器!AM1186)</f>
        <v>7</v>
      </c>
      <c r="AP1186" s="15" t="s">
        <v>88</v>
      </c>
      <c r="AQ1186" s="15">
        <f t="shared" si="124"/>
        <v>6720</v>
      </c>
      <c r="AR1186" s="15" t="s">
        <v>654</v>
      </c>
      <c r="AS1186" s="15">
        <f t="shared" si="125"/>
        <v>150</v>
      </c>
    </row>
    <row r="1187" spans="35:45" ht="16.5" x14ac:dyDescent="0.2">
      <c r="AI1187" s="60">
        <v>1174</v>
      </c>
      <c r="AJ1187" s="15">
        <f t="shared" si="120"/>
        <v>1606032</v>
      </c>
      <c r="AK1187" s="15" t="str">
        <f t="shared" si="121"/>
        <v>高级神器3配件6-禁纹Lvs14</v>
      </c>
      <c r="AL1187" s="60" t="s">
        <v>645</v>
      </c>
      <c r="AM1187" s="15">
        <f t="shared" si="122"/>
        <v>14</v>
      </c>
      <c r="AN1187" s="15" t="str">
        <f t="shared" si="123"/>
        <v>高级神器3配件6</v>
      </c>
      <c r="AO1187" s="15">
        <f>INDEX(芦花古楼!$BX$19:$BX$58,神器!AM1187)</f>
        <v>7</v>
      </c>
      <c r="AP1187" s="15" t="s">
        <v>88</v>
      </c>
      <c r="AQ1187" s="15">
        <f t="shared" si="124"/>
        <v>7560</v>
      </c>
      <c r="AR1187" s="15" t="s">
        <v>654</v>
      </c>
      <c r="AS1187" s="15">
        <f t="shared" si="125"/>
        <v>165</v>
      </c>
    </row>
    <row r="1188" spans="35:45" ht="16.5" x14ac:dyDescent="0.2">
      <c r="AI1188" s="60">
        <v>1175</v>
      </c>
      <c r="AJ1188" s="15">
        <f t="shared" si="120"/>
        <v>1606032</v>
      </c>
      <c r="AK1188" s="15" t="str">
        <f t="shared" si="121"/>
        <v>高级神器3配件6-禁纹Lvs15</v>
      </c>
      <c r="AL1188" s="60" t="s">
        <v>645</v>
      </c>
      <c r="AM1188" s="15">
        <f t="shared" si="122"/>
        <v>15</v>
      </c>
      <c r="AN1188" s="15" t="str">
        <f t="shared" si="123"/>
        <v>高级神器3配件6</v>
      </c>
      <c r="AO1188" s="15">
        <f>INDEX(芦花古楼!$BX$19:$BX$58,神器!AM1188)</f>
        <v>10</v>
      </c>
      <c r="AP1188" s="15" t="s">
        <v>88</v>
      </c>
      <c r="AQ1188" s="15">
        <f t="shared" si="124"/>
        <v>8400</v>
      </c>
      <c r="AR1188" s="15" t="s">
        <v>654</v>
      </c>
      <c r="AS1188" s="15">
        <f t="shared" si="125"/>
        <v>180</v>
      </c>
    </row>
    <row r="1189" spans="35:45" ht="16.5" x14ac:dyDescent="0.2">
      <c r="AI1189" s="60">
        <v>1176</v>
      </c>
      <c r="AJ1189" s="15">
        <f t="shared" si="120"/>
        <v>1606032</v>
      </c>
      <c r="AK1189" s="15" t="str">
        <f t="shared" si="121"/>
        <v>高级神器3配件6-禁纹Lvs16</v>
      </c>
      <c r="AL1189" s="60" t="s">
        <v>645</v>
      </c>
      <c r="AM1189" s="15">
        <f t="shared" si="122"/>
        <v>16</v>
      </c>
      <c r="AN1189" s="15" t="str">
        <f t="shared" si="123"/>
        <v>高级神器3配件6</v>
      </c>
      <c r="AO1189" s="15">
        <f>INDEX(芦花古楼!$BX$19:$BX$58,神器!AM1189)</f>
        <v>10</v>
      </c>
      <c r="AP1189" s="15" t="s">
        <v>88</v>
      </c>
      <c r="AQ1189" s="15">
        <f t="shared" si="124"/>
        <v>9240</v>
      </c>
      <c r="AR1189" s="15" t="s">
        <v>654</v>
      </c>
      <c r="AS1189" s="15">
        <f t="shared" si="125"/>
        <v>195</v>
      </c>
    </row>
    <row r="1190" spans="35:45" ht="16.5" x14ac:dyDescent="0.2">
      <c r="AI1190" s="60">
        <v>1177</v>
      </c>
      <c r="AJ1190" s="15">
        <f t="shared" si="120"/>
        <v>1606032</v>
      </c>
      <c r="AK1190" s="15" t="str">
        <f t="shared" si="121"/>
        <v>高级神器3配件6-禁纹Lvs17</v>
      </c>
      <c r="AL1190" s="60" t="s">
        <v>645</v>
      </c>
      <c r="AM1190" s="15">
        <f t="shared" si="122"/>
        <v>17</v>
      </c>
      <c r="AN1190" s="15" t="str">
        <f t="shared" si="123"/>
        <v>高级神器3配件6</v>
      </c>
      <c r="AO1190" s="15">
        <f>INDEX(芦花古楼!$BX$19:$BX$58,神器!AM1190)</f>
        <v>10</v>
      </c>
      <c r="AP1190" s="15" t="s">
        <v>88</v>
      </c>
      <c r="AQ1190" s="15">
        <f t="shared" si="124"/>
        <v>10080</v>
      </c>
      <c r="AR1190" s="15" t="s">
        <v>654</v>
      </c>
      <c r="AS1190" s="15">
        <f t="shared" si="125"/>
        <v>210</v>
      </c>
    </row>
    <row r="1191" spans="35:45" ht="16.5" x14ac:dyDescent="0.2">
      <c r="AI1191" s="60">
        <v>1178</v>
      </c>
      <c r="AJ1191" s="15">
        <f t="shared" si="120"/>
        <v>1606032</v>
      </c>
      <c r="AK1191" s="15" t="str">
        <f t="shared" si="121"/>
        <v>高级神器3配件6-禁纹Lvs18</v>
      </c>
      <c r="AL1191" s="60" t="s">
        <v>645</v>
      </c>
      <c r="AM1191" s="15">
        <f t="shared" si="122"/>
        <v>18</v>
      </c>
      <c r="AN1191" s="15" t="str">
        <f t="shared" si="123"/>
        <v>高级神器3配件6</v>
      </c>
      <c r="AO1191" s="15">
        <f>INDEX(芦花古楼!$BX$19:$BX$58,神器!AM1191)</f>
        <v>10</v>
      </c>
      <c r="AP1191" s="15" t="s">
        <v>88</v>
      </c>
      <c r="AQ1191" s="15">
        <f t="shared" si="124"/>
        <v>10920</v>
      </c>
      <c r="AR1191" s="15" t="s">
        <v>654</v>
      </c>
      <c r="AS1191" s="15">
        <f t="shared" si="125"/>
        <v>230</v>
      </c>
    </row>
    <row r="1192" spans="35:45" ht="16.5" x14ac:dyDescent="0.2">
      <c r="AI1192" s="60">
        <v>1179</v>
      </c>
      <c r="AJ1192" s="15">
        <f t="shared" si="120"/>
        <v>1606032</v>
      </c>
      <c r="AK1192" s="15" t="str">
        <f t="shared" si="121"/>
        <v>高级神器3配件6-禁纹Lvs19</v>
      </c>
      <c r="AL1192" s="60" t="s">
        <v>645</v>
      </c>
      <c r="AM1192" s="15">
        <f t="shared" si="122"/>
        <v>19</v>
      </c>
      <c r="AN1192" s="15" t="str">
        <f t="shared" si="123"/>
        <v>高级神器3配件6</v>
      </c>
      <c r="AO1192" s="15">
        <f>INDEX(芦花古楼!$BX$19:$BX$58,神器!AM1192)</f>
        <v>10</v>
      </c>
      <c r="AP1192" s="15" t="s">
        <v>88</v>
      </c>
      <c r="AQ1192" s="15">
        <f t="shared" si="124"/>
        <v>11760</v>
      </c>
      <c r="AR1192" s="15" t="s">
        <v>654</v>
      </c>
      <c r="AS1192" s="15">
        <f t="shared" si="125"/>
        <v>245</v>
      </c>
    </row>
    <row r="1193" spans="35:45" ht="16.5" x14ac:dyDescent="0.2">
      <c r="AI1193" s="60">
        <v>1180</v>
      </c>
      <c r="AJ1193" s="15">
        <f t="shared" si="120"/>
        <v>1606032</v>
      </c>
      <c r="AK1193" s="15" t="str">
        <f t="shared" si="121"/>
        <v>高级神器3配件6-禁纹Lvs20</v>
      </c>
      <c r="AL1193" s="60" t="s">
        <v>645</v>
      </c>
      <c r="AM1193" s="15">
        <f t="shared" si="122"/>
        <v>20</v>
      </c>
      <c r="AN1193" s="15" t="str">
        <f t="shared" si="123"/>
        <v>高级神器3配件6</v>
      </c>
      <c r="AO1193" s="15">
        <f>INDEX(芦花古楼!$BX$19:$BX$58,神器!AM1193)</f>
        <v>10</v>
      </c>
      <c r="AP1193" s="15" t="s">
        <v>88</v>
      </c>
      <c r="AQ1193" s="15">
        <f t="shared" si="124"/>
        <v>13440</v>
      </c>
      <c r="AR1193" s="15" t="s">
        <v>654</v>
      </c>
      <c r="AS1193" s="15">
        <f t="shared" si="125"/>
        <v>265</v>
      </c>
    </row>
    <row r="1194" spans="35:45" ht="16.5" x14ac:dyDescent="0.2">
      <c r="AI1194" s="60">
        <v>1181</v>
      </c>
      <c r="AJ1194" s="15">
        <f t="shared" si="120"/>
        <v>1606032</v>
      </c>
      <c r="AK1194" s="15" t="str">
        <f t="shared" si="121"/>
        <v>高级神器3配件6-禁纹Lvs21</v>
      </c>
      <c r="AL1194" s="60" t="s">
        <v>645</v>
      </c>
      <c r="AM1194" s="15">
        <f t="shared" si="122"/>
        <v>21</v>
      </c>
      <c r="AN1194" s="15" t="str">
        <f t="shared" si="123"/>
        <v>高级神器3配件6</v>
      </c>
      <c r="AO1194" s="15">
        <f>INDEX(芦花古楼!$BX$19:$BX$58,神器!AM1194)</f>
        <v>15</v>
      </c>
      <c r="AP1194" s="15" t="s">
        <v>88</v>
      </c>
      <c r="AQ1194" s="15">
        <f t="shared" si="124"/>
        <v>14840</v>
      </c>
      <c r="AR1194" s="15" t="s">
        <v>654</v>
      </c>
      <c r="AS1194" s="15">
        <f t="shared" si="125"/>
        <v>285</v>
      </c>
    </row>
    <row r="1195" spans="35:45" ht="16.5" x14ac:dyDescent="0.2">
      <c r="AI1195" s="60">
        <v>1182</v>
      </c>
      <c r="AJ1195" s="15">
        <f t="shared" si="120"/>
        <v>1606032</v>
      </c>
      <c r="AK1195" s="15" t="str">
        <f t="shared" si="121"/>
        <v>高级神器3配件6-禁纹Lvs22</v>
      </c>
      <c r="AL1195" s="60" t="s">
        <v>645</v>
      </c>
      <c r="AM1195" s="15">
        <f t="shared" si="122"/>
        <v>22</v>
      </c>
      <c r="AN1195" s="15" t="str">
        <f t="shared" si="123"/>
        <v>高级神器3配件6</v>
      </c>
      <c r="AO1195" s="15">
        <f>INDEX(芦花古楼!$BX$19:$BX$58,神器!AM1195)</f>
        <v>15</v>
      </c>
      <c r="AP1195" s="15" t="s">
        <v>88</v>
      </c>
      <c r="AQ1195" s="15">
        <f t="shared" si="124"/>
        <v>15585</v>
      </c>
      <c r="AR1195" s="15" t="s">
        <v>654</v>
      </c>
      <c r="AS1195" s="15">
        <f t="shared" si="125"/>
        <v>305</v>
      </c>
    </row>
    <row r="1196" spans="35:45" ht="16.5" x14ac:dyDescent="0.2">
      <c r="AI1196" s="60">
        <v>1183</v>
      </c>
      <c r="AJ1196" s="15">
        <f t="shared" si="120"/>
        <v>1606032</v>
      </c>
      <c r="AK1196" s="15" t="str">
        <f t="shared" si="121"/>
        <v>高级神器3配件6-禁纹Lvs23</v>
      </c>
      <c r="AL1196" s="60" t="s">
        <v>645</v>
      </c>
      <c r="AM1196" s="15">
        <f t="shared" si="122"/>
        <v>23</v>
      </c>
      <c r="AN1196" s="15" t="str">
        <f t="shared" si="123"/>
        <v>高级神器3配件6</v>
      </c>
      <c r="AO1196" s="15">
        <f>INDEX(芦花古楼!$BX$19:$BX$58,神器!AM1196)</f>
        <v>15</v>
      </c>
      <c r="AP1196" s="15" t="s">
        <v>88</v>
      </c>
      <c r="AQ1196" s="15">
        <f t="shared" si="124"/>
        <v>16325</v>
      </c>
      <c r="AR1196" s="15" t="s">
        <v>654</v>
      </c>
      <c r="AS1196" s="15">
        <f t="shared" si="125"/>
        <v>330</v>
      </c>
    </row>
    <row r="1197" spans="35:45" ht="16.5" x14ac:dyDescent="0.2">
      <c r="AI1197" s="60">
        <v>1184</v>
      </c>
      <c r="AJ1197" s="15">
        <f t="shared" si="120"/>
        <v>1606032</v>
      </c>
      <c r="AK1197" s="15" t="str">
        <f t="shared" si="121"/>
        <v>高级神器3配件6-禁纹Lvs24</v>
      </c>
      <c r="AL1197" s="60" t="s">
        <v>645</v>
      </c>
      <c r="AM1197" s="15">
        <f t="shared" si="122"/>
        <v>24</v>
      </c>
      <c r="AN1197" s="15" t="str">
        <f t="shared" si="123"/>
        <v>高级神器3配件6</v>
      </c>
      <c r="AO1197" s="15">
        <f>INDEX(芦花古楼!$BX$19:$BX$58,神器!AM1197)</f>
        <v>15</v>
      </c>
      <c r="AP1197" s="15" t="s">
        <v>88</v>
      </c>
      <c r="AQ1197" s="15">
        <f t="shared" si="124"/>
        <v>17070</v>
      </c>
      <c r="AR1197" s="15" t="s">
        <v>654</v>
      </c>
      <c r="AS1197" s="15">
        <f t="shared" si="125"/>
        <v>355</v>
      </c>
    </row>
    <row r="1198" spans="35:45" ht="16.5" x14ac:dyDescent="0.2">
      <c r="AI1198" s="60">
        <v>1185</v>
      </c>
      <c r="AJ1198" s="15">
        <f t="shared" si="120"/>
        <v>1606032</v>
      </c>
      <c r="AK1198" s="15" t="str">
        <f t="shared" si="121"/>
        <v>高级神器3配件6-禁纹Lvs25</v>
      </c>
      <c r="AL1198" s="60" t="s">
        <v>645</v>
      </c>
      <c r="AM1198" s="15">
        <f t="shared" si="122"/>
        <v>25</v>
      </c>
      <c r="AN1198" s="15" t="str">
        <f t="shared" si="123"/>
        <v>高级神器3配件6</v>
      </c>
      <c r="AO1198" s="15">
        <f>INDEX(芦花古楼!$BX$19:$BX$58,神器!AM1198)</f>
        <v>15</v>
      </c>
      <c r="AP1198" s="15" t="s">
        <v>88</v>
      </c>
      <c r="AQ1198" s="15">
        <f t="shared" si="124"/>
        <v>17810</v>
      </c>
      <c r="AR1198" s="15" t="s">
        <v>654</v>
      </c>
      <c r="AS1198" s="15">
        <f t="shared" si="125"/>
        <v>375</v>
      </c>
    </row>
    <row r="1199" spans="35:45" ht="16.5" x14ac:dyDescent="0.2">
      <c r="AI1199" s="60">
        <v>1186</v>
      </c>
      <c r="AJ1199" s="15">
        <f t="shared" si="120"/>
        <v>1606032</v>
      </c>
      <c r="AK1199" s="15" t="str">
        <f t="shared" si="121"/>
        <v>高级神器3配件6-禁纹Lvs26</v>
      </c>
      <c r="AL1199" s="60" t="s">
        <v>645</v>
      </c>
      <c r="AM1199" s="15">
        <f t="shared" si="122"/>
        <v>26</v>
      </c>
      <c r="AN1199" s="15" t="str">
        <f t="shared" si="123"/>
        <v>高级神器3配件6</v>
      </c>
      <c r="AO1199" s="15">
        <f>INDEX(芦花古楼!$BX$19:$BX$58,神器!AM1199)</f>
        <v>25</v>
      </c>
      <c r="AP1199" s="15" t="s">
        <v>88</v>
      </c>
      <c r="AQ1199" s="15">
        <f t="shared" si="124"/>
        <v>18550</v>
      </c>
      <c r="AR1199" s="15" t="s">
        <v>654</v>
      </c>
      <c r="AS1199" s="15">
        <f t="shared" si="125"/>
        <v>405</v>
      </c>
    </row>
    <row r="1200" spans="35:45" ht="16.5" x14ac:dyDescent="0.2">
      <c r="AI1200" s="60">
        <v>1187</v>
      </c>
      <c r="AJ1200" s="15">
        <f t="shared" si="120"/>
        <v>1606032</v>
      </c>
      <c r="AK1200" s="15" t="str">
        <f t="shared" si="121"/>
        <v>高级神器3配件6-禁纹Lvs27</v>
      </c>
      <c r="AL1200" s="60" t="s">
        <v>645</v>
      </c>
      <c r="AM1200" s="15">
        <f t="shared" si="122"/>
        <v>27</v>
      </c>
      <c r="AN1200" s="15" t="str">
        <f t="shared" si="123"/>
        <v>高级神器3配件6</v>
      </c>
      <c r="AO1200" s="15">
        <f>INDEX(芦花古楼!$BX$19:$BX$58,神器!AM1200)</f>
        <v>25</v>
      </c>
      <c r="AP1200" s="15" t="s">
        <v>88</v>
      </c>
      <c r="AQ1200" s="15">
        <f t="shared" si="124"/>
        <v>19295</v>
      </c>
      <c r="AR1200" s="15" t="s">
        <v>654</v>
      </c>
      <c r="AS1200" s="15">
        <f t="shared" si="125"/>
        <v>430</v>
      </c>
    </row>
    <row r="1201" spans="35:45" ht="16.5" x14ac:dyDescent="0.2">
      <c r="AI1201" s="60">
        <v>1188</v>
      </c>
      <c r="AJ1201" s="15">
        <f t="shared" si="120"/>
        <v>1606032</v>
      </c>
      <c r="AK1201" s="15" t="str">
        <f t="shared" si="121"/>
        <v>高级神器3配件6-禁纹Lvs28</v>
      </c>
      <c r="AL1201" s="60" t="s">
        <v>645</v>
      </c>
      <c r="AM1201" s="15">
        <f t="shared" si="122"/>
        <v>28</v>
      </c>
      <c r="AN1201" s="15" t="str">
        <f t="shared" si="123"/>
        <v>高级神器3配件6</v>
      </c>
      <c r="AO1201" s="15">
        <f>INDEX(芦花古楼!$BX$19:$BX$58,神器!AM1201)</f>
        <v>25</v>
      </c>
      <c r="AP1201" s="15" t="s">
        <v>88</v>
      </c>
      <c r="AQ1201" s="15">
        <f t="shared" si="124"/>
        <v>20035</v>
      </c>
      <c r="AR1201" s="15" t="s">
        <v>654</v>
      </c>
      <c r="AS1201" s="15">
        <f t="shared" si="125"/>
        <v>460</v>
      </c>
    </row>
    <row r="1202" spans="35:45" ht="16.5" x14ac:dyDescent="0.2">
      <c r="AI1202" s="60">
        <v>1189</v>
      </c>
      <c r="AJ1202" s="15">
        <f t="shared" si="120"/>
        <v>1606032</v>
      </c>
      <c r="AK1202" s="15" t="str">
        <f t="shared" si="121"/>
        <v>高级神器3配件6-禁纹Lvs29</v>
      </c>
      <c r="AL1202" s="60" t="s">
        <v>645</v>
      </c>
      <c r="AM1202" s="15">
        <f t="shared" si="122"/>
        <v>29</v>
      </c>
      <c r="AN1202" s="15" t="str">
        <f t="shared" si="123"/>
        <v>高级神器3配件6</v>
      </c>
      <c r="AO1202" s="15">
        <f>INDEX(芦花古楼!$BX$19:$BX$58,神器!AM1202)</f>
        <v>25</v>
      </c>
      <c r="AP1202" s="15" t="s">
        <v>88</v>
      </c>
      <c r="AQ1202" s="15">
        <f t="shared" si="124"/>
        <v>20780</v>
      </c>
      <c r="AR1202" s="15" t="s">
        <v>654</v>
      </c>
      <c r="AS1202" s="15">
        <f t="shared" si="125"/>
        <v>485</v>
      </c>
    </row>
    <row r="1203" spans="35:45" ht="16.5" x14ac:dyDescent="0.2">
      <c r="AI1203" s="60">
        <v>1190</v>
      </c>
      <c r="AJ1203" s="15">
        <f t="shared" si="120"/>
        <v>1606032</v>
      </c>
      <c r="AK1203" s="15" t="str">
        <f t="shared" si="121"/>
        <v>高级神器3配件6-禁纹Lvs30</v>
      </c>
      <c r="AL1203" s="60" t="s">
        <v>645</v>
      </c>
      <c r="AM1203" s="15">
        <f t="shared" si="122"/>
        <v>30</v>
      </c>
      <c r="AN1203" s="15" t="str">
        <f t="shared" si="123"/>
        <v>高级神器3配件6</v>
      </c>
      <c r="AO1203" s="15">
        <f>INDEX(芦花古楼!$BX$19:$BX$58,神器!AM1203)</f>
        <v>25</v>
      </c>
      <c r="AP1203" s="15" t="s">
        <v>88</v>
      </c>
      <c r="AQ1203" s="15">
        <f t="shared" si="124"/>
        <v>22265</v>
      </c>
      <c r="AR1203" s="15" t="s">
        <v>654</v>
      </c>
      <c r="AS1203" s="15">
        <f t="shared" si="125"/>
        <v>520</v>
      </c>
    </row>
    <row r="1204" spans="35:45" ht="16.5" x14ac:dyDescent="0.2">
      <c r="AI1204" s="60">
        <v>1191</v>
      </c>
      <c r="AJ1204" s="15">
        <f t="shared" si="120"/>
        <v>1606032</v>
      </c>
      <c r="AK1204" s="15" t="str">
        <f t="shared" si="121"/>
        <v>高级神器3配件6-禁纹Lvs31</v>
      </c>
      <c r="AL1204" s="60" t="s">
        <v>645</v>
      </c>
      <c r="AM1204" s="15">
        <f t="shared" si="122"/>
        <v>31</v>
      </c>
      <c r="AN1204" s="15" t="str">
        <f t="shared" si="123"/>
        <v>高级神器3配件6</v>
      </c>
      <c r="AO1204" s="15">
        <f>INDEX(芦花古楼!$BX$19:$BX$58,神器!AM1204)</f>
        <v>30</v>
      </c>
      <c r="AP1204" s="15" t="s">
        <v>88</v>
      </c>
      <c r="AQ1204" s="15">
        <f t="shared" si="124"/>
        <v>21700</v>
      </c>
      <c r="AR1204" s="15" t="s">
        <v>654</v>
      </c>
      <c r="AS1204" s="15">
        <f t="shared" si="125"/>
        <v>550</v>
      </c>
    </row>
    <row r="1205" spans="35:45" ht="16.5" x14ac:dyDescent="0.2">
      <c r="AI1205" s="60">
        <v>1192</v>
      </c>
      <c r="AJ1205" s="15">
        <f t="shared" si="120"/>
        <v>1606032</v>
      </c>
      <c r="AK1205" s="15" t="str">
        <f t="shared" si="121"/>
        <v>高级神器3配件6-禁纹Lvs32</v>
      </c>
      <c r="AL1205" s="60" t="s">
        <v>645</v>
      </c>
      <c r="AM1205" s="15">
        <f t="shared" si="122"/>
        <v>32</v>
      </c>
      <c r="AN1205" s="15" t="str">
        <f t="shared" si="123"/>
        <v>高级神器3配件6</v>
      </c>
      <c r="AO1205" s="15">
        <f>INDEX(芦花古楼!$BX$19:$BX$58,神器!AM1205)</f>
        <v>30</v>
      </c>
      <c r="AP1205" s="15" t="s">
        <v>88</v>
      </c>
      <c r="AQ1205" s="15">
        <f t="shared" si="124"/>
        <v>32550</v>
      </c>
      <c r="AR1205" s="15" t="s">
        <v>654</v>
      </c>
      <c r="AS1205" s="15">
        <f t="shared" si="125"/>
        <v>585</v>
      </c>
    </row>
    <row r="1206" spans="35:45" ht="16.5" x14ac:dyDescent="0.2">
      <c r="AI1206" s="60">
        <v>1193</v>
      </c>
      <c r="AJ1206" s="15">
        <f t="shared" si="120"/>
        <v>1606032</v>
      </c>
      <c r="AK1206" s="15" t="str">
        <f t="shared" si="121"/>
        <v>高级神器3配件6-禁纹Lvs33</v>
      </c>
      <c r="AL1206" s="60" t="s">
        <v>645</v>
      </c>
      <c r="AM1206" s="15">
        <f t="shared" si="122"/>
        <v>33</v>
      </c>
      <c r="AN1206" s="15" t="str">
        <f t="shared" si="123"/>
        <v>高级神器3配件6</v>
      </c>
      <c r="AO1206" s="15">
        <f>INDEX(芦花古楼!$BX$19:$BX$58,神器!AM1206)</f>
        <v>30</v>
      </c>
      <c r="AP1206" s="15" t="s">
        <v>88</v>
      </c>
      <c r="AQ1206" s="15">
        <f t="shared" si="124"/>
        <v>43400</v>
      </c>
      <c r="AR1206" s="15" t="s">
        <v>654</v>
      </c>
      <c r="AS1206" s="15">
        <f t="shared" si="125"/>
        <v>620</v>
      </c>
    </row>
    <row r="1207" spans="35:45" ht="16.5" x14ac:dyDescent="0.2">
      <c r="AI1207" s="60">
        <v>1194</v>
      </c>
      <c r="AJ1207" s="15">
        <f t="shared" si="120"/>
        <v>1606032</v>
      </c>
      <c r="AK1207" s="15" t="str">
        <f t="shared" si="121"/>
        <v>高级神器3配件6-禁纹Lvs34</v>
      </c>
      <c r="AL1207" s="60" t="s">
        <v>645</v>
      </c>
      <c r="AM1207" s="15">
        <f t="shared" si="122"/>
        <v>34</v>
      </c>
      <c r="AN1207" s="15" t="str">
        <f t="shared" si="123"/>
        <v>高级神器3配件6</v>
      </c>
      <c r="AO1207" s="15">
        <f>INDEX(芦花古楼!$BX$19:$BX$58,神器!AM1207)</f>
        <v>30</v>
      </c>
      <c r="AP1207" s="15" t="s">
        <v>88</v>
      </c>
      <c r="AQ1207" s="15">
        <f t="shared" si="124"/>
        <v>54250</v>
      </c>
      <c r="AR1207" s="15" t="s">
        <v>654</v>
      </c>
      <c r="AS1207" s="15">
        <f t="shared" si="125"/>
        <v>660</v>
      </c>
    </row>
    <row r="1208" spans="35:45" ht="16.5" x14ac:dyDescent="0.2">
      <c r="AI1208" s="60">
        <v>1195</v>
      </c>
      <c r="AJ1208" s="15">
        <f t="shared" si="120"/>
        <v>1606032</v>
      </c>
      <c r="AK1208" s="15" t="str">
        <f t="shared" si="121"/>
        <v>高级神器3配件6-禁纹Lvs35</v>
      </c>
      <c r="AL1208" s="60" t="s">
        <v>645</v>
      </c>
      <c r="AM1208" s="15">
        <f t="shared" si="122"/>
        <v>35</v>
      </c>
      <c r="AN1208" s="15" t="str">
        <f t="shared" si="123"/>
        <v>高级神器3配件6</v>
      </c>
      <c r="AO1208" s="15">
        <f>INDEX(芦花古楼!$BX$19:$BX$58,神器!AM1208)</f>
        <v>30</v>
      </c>
      <c r="AP1208" s="15" t="s">
        <v>88</v>
      </c>
      <c r="AQ1208" s="15">
        <f t="shared" si="124"/>
        <v>65100</v>
      </c>
      <c r="AR1208" s="15" t="s">
        <v>654</v>
      </c>
      <c r="AS1208" s="15">
        <f t="shared" si="125"/>
        <v>700</v>
      </c>
    </row>
    <row r="1209" spans="35:45" ht="16.5" x14ac:dyDescent="0.2">
      <c r="AI1209" s="60">
        <v>1196</v>
      </c>
      <c r="AJ1209" s="15">
        <f t="shared" si="120"/>
        <v>1606032</v>
      </c>
      <c r="AK1209" s="15" t="str">
        <f t="shared" si="121"/>
        <v>高级神器3配件6-禁纹Lvs36</v>
      </c>
      <c r="AL1209" s="60" t="s">
        <v>645</v>
      </c>
      <c r="AM1209" s="15">
        <f t="shared" si="122"/>
        <v>36</v>
      </c>
      <c r="AN1209" s="15" t="str">
        <f t="shared" si="123"/>
        <v>高级神器3配件6</v>
      </c>
      <c r="AO1209" s="15">
        <f>INDEX(芦花古楼!$BX$19:$BX$58,神器!AM1209)</f>
        <v>40</v>
      </c>
      <c r="AP1209" s="15" t="s">
        <v>88</v>
      </c>
      <c r="AQ1209" s="15">
        <f t="shared" si="124"/>
        <v>75950</v>
      </c>
      <c r="AR1209" s="15" t="s">
        <v>654</v>
      </c>
      <c r="AS1209" s="15">
        <f t="shared" si="125"/>
        <v>740</v>
      </c>
    </row>
    <row r="1210" spans="35:45" ht="16.5" x14ac:dyDescent="0.2">
      <c r="AI1210" s="60">
        <v>1197</v>
      </c>
      <c r="AJ1210" s="15">
        <f t="shared" si="120"/>
        <v>1606032</v>
      </c>
      <c r="AK1210" s="15" t="str">
        <f t="shared" si="121"/>
        <v>高级神器3配件6-禁纹Lvs37</v>
      </c>
      <c r="AL1210" s="60" t="s">
        <v>645</v>
      </c>
      <c r="AM1210" s="15">
        <f t="shared" si="122"/>
        <v>37</v>
      </c>
      <c r="AN1210" s="15" t="str">
        <f t="shared" si="123"/>
        <v>高级神器3配件6</v>
      </c>
      <c r="AO1210" s="15">
        <f>INDEX(芦花古楼!$BX$19:$BX$58,神器!AM1210)</f>
        <v>40</v>
      </c>
      <c r="AP1210" s="15" t="s">
        <v>88</v>
      </c>
      <c r="AQ1210" s="15">
        <f t="shared" si="124"/>
        <v>86805</v>
      </c>
      <c r="AR1210" s="15" t="s">
        <v>654</v>
      </c>
      <c r="AS1210" s="15">
        <f t="shared" si="125"/>
        <v>785</v>
      </c>
    </row>
    <row r="1211" spans="35:45" ht="16.5" x14ac:dyDescent="0.2">
      <c r="AI1211" s="60">
        <v>1198</v>
      </c>
      <c r="AJ1211" s="15">
        <f t="shared" si="120"/>
        <v>1606032</v>
      </c>
      <c r="AK1211" s="15" t="str">
        <f t="shared" si="121"/>
        <v>高级神器3配件6-禁纹Lvs38</v>
      </c>
      <c r="AL1211" s="60" t="s">
        <v>645</v>
      </c>
      <c r="AM1211" s="15">
        <f t="shared" si="122"/>
        <v>38</v>
      </c>
      <c r="AN1211" s="15" t="str">
        <f t="shared" si="123"/>
        <v>高级神器3配件6</v>
      </c>
      <c r="AO1211" s="15">
        <f>INDEX(芦花古楼!$BX$19:$BX$58,神器!AM1211)</f>
        <v>40</v>
      </c>
      <c r="AP1211" s="15" t="s">
        <v>88</v>
      </c>
      <c r="AQ1211" s="15">
        <f t="shared" si="124"/>
        <v>97655</v>
      </c>
      <c r="AR1211" s="15" t="s">
        <v>654</v>
      </c>
      <c r="AS1211" s="15">
        <f t="shared" si="125"/>
        <v>830</v>
      </c>
    </row>
    <row r="1212" spans="35:45" ht="16.5" x14ac:dyDescent="0.2">
      <c r="AI1212" s="60">
        <v>1199</v>
      </c>
      <c r="AJ1212" s="15">
        <f t="shared" si="120"/>
        <v>1606032</v>
      </c>
      <c r="AK1212" s="15" t="str">
        <f t="shared" si="121"/>
        <v>高级神器3配件6-禁纹Lvs39</v>
      </c>
      <c r="AL1212" s="60" t="s">
        <v>645</v>
      </c>
      <c r="AM1212" s="15">
        <f t="shared" si="122"/>
        <v>39</v>
      </c>
      <c r="AN1212" s="15" t="str">
        <f t="shared" si="123"/>
        <v>高级神器3配件6</v>
      </c>
      <c r="AO1212" s="15">
        <f>INDEX(芦花古楼!$BX$19:$BX$58,神器!AM1212)</f>
        <v>40</v>
      </c>
      <c r="AP1212" s="15" t="s">
        <v>88</v>
      </c>
      <c r="AQ1212" s="15">
        <f t="shared" si="124"/>
        <v>108505</v>
      </c>
      <c r="AR1212" s="15" t="s">
        <v>654</v>
      </c>
      <c r="AS1212" s="15">
        <f t="shared" si="125"/>
        <v>880</v>
      </c>
    </row>
    <row r="1213" spans="35:45" ht="16.5" x14ac:dyDescent="0.2">
      <c r="AI1213" s="60">
        <v>1200</v>
      </c>
      <c r="AJ1213" s="15">
        <f t="shared" si="120"/>
        <v>1606032</v>
      </c>
      <c r="AK1213" s="15" t="str">
        <f t="shared" si="121"/>
        <v>高级神器3配件6-禁纹Lvs40</v>
      </c>
      <c r="AL1213" s="60" t="s">
        <v>645</v>
      </c>
      <c r="AM1213" s="15">
        <f t="shared" si="122"/>
        <v>40</v>
      </c>
      <c r="AN1213" s="15" t="str">
        <f t="shared" si="123"/>
        <v>高级神器3配件6</v>
      </c>
      <c r="AO1213" s="15">
        <f>INDEX(芦花古楼!$BX$19:$BX$58,神器!AM1213)</f>
        <v>40</v>
      </c>
      <c r="AP1213" s="15" t="s">
        <v>88</v>
      </c>
      <c r="AQ1213" s="15">
        <f t="shared" si="124"/>
        <v>130205</v>
      </c>
      <c r="AR1213" s="15" t="s">
        <v>654</v>
      </c>
      <c r="AS1213" s="15">
        <f t="shared" si="125"/>
        <v>930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55"/>
  <sheetViews>
    <sheetView topLeftCell="A31" workbookViewId="0">
      <selection activeCell="D59" sqref="D59"/>
    </sheetView>
  </sheetViews>
  <sheetFormatPr defaultRowHeight="14.25" x14ac:dyDescent="0.2"/>
  <cols>
    <col min="1" max="1" width="16" customWidth="1"/>
    <col min="4" max="4" width="9.75" customWidth="1"/>
  </cols>
  <sheetData>
    <row r="2" spans="1:4" ht="17.25" x14ac:dyDescent="0.2">
      <c r="A2" s="12" t="s">
        <v>16</v>
      </c>
      <c r="B2" s="12" t="s">
        <v>20</v>
      </c>
      <c r="C2" s="12" t="s">
        <v>21</v>
      </c>
      <c r="D2" s="12" t="s">
        <v>466</v>
      </c>
    </row>
    <row r="3" spans="1:4" ht="16.5" x14ac:dyDescent="0.2">
      <c r="A3" s="13" t="s">
        <v>22</v>
      </c>
      <c r="B3" s="13">
        <v>1000</v>
      </c>
      <c r="C3" s="13"/>
      <c r="D3" s="45">
        <v>0.1</v>
      </c>
    </row>
    <row r="4" spans="1:4" ht="16.5" x14ac:dyDescent="0.2">
      <c r="A4" s="35" t="s">
        <v>344</v>
      </c>
      <c r="B4" s="35"/>
      <c r="C4" s="35"/>
      <c r="D4" s="45"/>
    </row>
    <row r="5" spans="1:4" ht="16.5" x14ac:dyDescent="0.2">
      <c r="A5" s="35" t="s">
        <v>345</v>
      </c>
      <c r="B5" s="35"/>
      <c r="C5" s="35"/>
      <c r="D5" s="45"/>
    </row>
    <row r="6" spans="1:4" ht="16.5" x14ac:dyDescent="0.2">
      <c r="A6" s="35" t="s">
        <v>346</v>
      </c>
      <c r="B6" s="35"/>
      <c r="C6" s="35"/>
      <c r="D6" s="45"/>
    </row>
    <row r="7" spans="1:4" ht="16.5" x14ac:dyDescent="0.2">
      <c r="A7" s="35" t="s">
        <v>347</v>
      </c>
      <c r="B7" s="35"/>
      <c r="C7" s="35"/>
      <c r="D7" s="45"/>
    </row>
    <row r="8" spans="1:4" ht="16.5" x14ac:dyDescent="0.2">
      <c r="A8" s="35" t="s">
        <v>343</v>
      </c>
      <c r="B8" s="35"/>
      <c r="C8" s="35"/>
      <c r="D8" s="45"/>
    </row>
    <row r="9" spans="1:4" ht="16.5" x14ac:dyDescent="0.2">
      <c r="A9" s="13" t="s">
        <v>17</v>
      </c>
      <c r="B9" s="13">
        <v>500</v>
      </c>
      <c r="C9" s="13"/>
      <c r="D9" s="45"/>
    </row>
    <row r="10" spans="1:4" ht="16.5" x14ac:dyDescent="0.2">
      <c r="A10" s="13" t="s">
        <v>18</v>
      </c>
      <c r="B10" s="13">
        <v>1200</v>
      </c>
      <c r="C10" s="13"/>
      <c r="D10" s="45"/>
    </row>
    <row r="11" spans="1:4" ht="16.5" x14ac:dyDescent="0.2">
      <c r="A11" s="13" t="s">
        <v>19</v>
      </c>
      <c r="B11" s="13">
        <v>3500</v>
      </c>
      <c r="C11" s="13"/>
      <c r="D11" s="45"/>
    </row>
    <row r="12" spans="1:4" ht="16.5" x14ac:dyDescent="0.2">
      <c r="A12" s="13" t="s">
        <v>23</v>
      </c>
      <c r="B12" s="13"/>
      <c r="C12" s="13">
        <v>10</v>
      </c>
      <c r="D12" s="45"/>
    </row>
    <row r="13" spans="1:4" ht="16.5" x14ac:dyDescent="0.2">
      <c r="A13" s="13" t="s">
        <v>24</v>
      </c>
      <c r="B13" s="13"/>
      <c r="C13" s="13">
        <v>1</v>
      </c>
      <c r="D13" s="45"/>
    </row>
    <row r="14" spans="1:4" ht="16.5" x14ac:dyDescent="0.2">
      <c r="A14" s="13" t="s">
        <v>365</v>
      </c>
      <c r="B14" s="13"/>
      <c r="C14" s="13">
        <v>15</v>
      </c>
      <c r="D14" s="45"/>
    </row>
    <row r="15" spans="1:4" ht="16.5" x14ac:dyDescent="0.2">
      <c r="A15" s="39" t="s">
        <v>366</v>
      </c>
      <c r="B15" s="13"/>
      <c r="C15" s="39">
        <v>15</v>
      </c>
      <c r="D15" s="45"/>
    </row>
    <row r="16" spans="1:4" ht="16.5" x14ac:dyDescent="0.2">
      <c r="A16" s="39" t="s">
        <v>367</v>
      </c>
      <c r="B16" s="13"/>
      <c r="C16" s="13">
        <v>20</v>
      </c>
      <c r="D16" s="45"/>
    </row>
    <row r="17" spans="1:4" ht="16.5" x14ac:dyDescent="0.2">
      <c r="A17" s="39" t="s">
        <v>368</v>
      </c>
      <c r="B17" s="39"/>
      <c r="C17" s="39">
        <v>20</v>
      </c>
      <c r="D17" s="45"/>
    </row>
    <row r="18" spans="1:4" ht="16.5" x14ac:dyDescent="0.2">
      <c r="A18" s="39" t="s">
        <v>369</v>
      </c>
      <c r="B18" s="39"/>
      <c r="C18" s="39">
        <v>35</v>
      </c>
      <c r="D18" s="45"/>
    </row>
    <row r="19" spans="1:4" ht="16.5" x14ac:dyDescent="0.2">
      <c r="A19" s="39" t="s">
        <v>370</v>
      </c>
      <c r="B19" s="39"/>
      <c r="C19" s="39">
        <v>35</v>
      </c>
      <c r="D19" s="45"/>
    </row>
    <row r="20" spans="1:4" ht="16.5" x14ac:dyDescent="0.2">
      <c r="A20" s="39" t="s">
        <v>371</v>
      </c>
      <c r="B20" s="39"/>
      <c r="C20" s="39">
        <v>35</v>
      </c>
      <c r="D20" s="45"/>
    </row>
    <row r="21" spans="1:4" ht="16.5" x14ac:dyDescent="0.2">
      <c r="A21" s="39" t="s">
        <v>372</v>
      </c>
      <c r="B21" s="39"/>
      <c r="C21" s="39">
        <v>35</v>
      </c>
      <c r="D21" s="45"/>
    </row>
    <row r="22" spans="1:4" ht="16.5" x14ac:dyDescent="0.2">
      <c r="A22" s="39" t="s">
        <v>373</v>
      </c>
      <c r="B22" s="39"/>
      <c r="C22" s="39">
        <v>50</v>
      </c>
      <c r="D22" s="45"/>
    </row>
    <row r="23" spans="1:4" ht="16.5" x14ac:dyDescent="0.2">
      <c r="A23" s="39" t="s">
        <v>374</v>
      </c>
      <c r="B23" s="39"/>
      <c r="C23" s="39">
        <v>50</v>
      </c>
      <c r="D23" s="45"/>
    </row>
    <row r="24" spans="1:4" ht="16.5" x14ac:dyDescent="0.2">
      <c r="A24" s="39" t="s">
        <v>375</v>
      </c>
      <c r="B24" s="39"/>
      <c r="C24" s="39">
        <v>50</v>
      </c>
      <c r="D24" s="45"/>
    </row>
    <row r="25" spans="1:4" ht="16.5" x14ac:dyDescent="0.2">
      <c r="A25" s="39" t="s">
        <v>376</v>
      </c>
      <c r="B25" s="39"/>
      <c r="C25" s="39">
        <v>50</v>
      </c>
      <c r="D25" s="45"/>
    </row>
    <row r="26" spans="1:4" ht="16.5" x14ac:dyDescent="0.2">
      <c r="A26" s="39" t="s">
        <v>377</v>
      </c>
      <c r="B26" s="39"/>
      <c r="C26" s="39">
        <v>75</v>
      </c>
      <c r="D26" s="45"/>
    </row>
    <row r="27" spans="1:4" ht="16.5" x14ac:dyDescent="0.2">
      <c r="A27" s="39" t="s">
        <v>378</v>
      </c>
      <c r="B27" s="39"/>
      <c r="C27" s="39">
        <v>75</v>
      </c>
      <c r="D27" s="45"/>
    </row>
    <row r="28" spans="1:4" ht="16.5" x14ac:dyDescent="0.2">
      <c r="A28" s="39" t="s">
        <v>379</v>
      </c>
      <c r="B28" s="39"/>
      <c r="C28" s="39">
        <v>75</v>
      </c>
      <c r="D28" s="45"/>
    </row>
    <row r="29" spans="1:4" ht="16.5" x14ac:dyDescent="0.2">
      <c r="A29" s="39" t="s">
        <v>380</v>
      </c>
      <c r="B29" s="39"/>
      <c r="C29" s="39">
        <v>75</v>
      </c>
      <c r="D29" s="45"/>
    </row>
    <row r="30" spans="1:4" ht="16.5" x14ac:dyDescent="0.2">
      <c r="A30" s="39" t="s">
        <v>381</v>
      </c>
      <c r="B30" s="39"/>
      <c r="C30" s="39">
        <v>200</v>
      </c>
      <c r="D30" s="45"/>
    </row>
    <row r="31" spans="1:4" ht="16.5" x14ac:dyDescent="0.2">
      <c r="A31" s="39" t="s">
        <v>382</v>
      </c>
      <c r="B31" s="39"/>
      <c r="C31" s="39">
        <v>200</v>
      </c>
      <c r="D31" s="45"/>
    </row>
    <row r="32" spans="1:4" ht="16.5" x14ac:dyDescent="0.2">
      <c r="A32" s="39" t="s">
        <v>383</v>
      </c>
      <c r="B32" s="39"/>
      <c r="C32" s="39">
        <v>75</v>
      </c>
      <c r="D32" s="45"/>
    </row>
    <row r="33" spans="1:4" ht="16.5" x14ac:dyDescent="0.2">
      <c r="A33" s="39" t="s">
        <v>384</v>
      </c>
      <c r="B33" s="39"/>
      <c r="C33" s="39">
        <v>75</v>
      </c>
      <c r="D33" s="45"/>
    </row>
    <row r="34" spans="1:4" ht="16.5" x14ac:dyDescent="0.2">
      <c r="A34" s="39" t="s">
        <v>385</v>
      </c>
      <c r="B34" s="39"/>
      <c r="C34" s="39">
        <v>75</v>
      </c>
      <c r="D34" s="45"/>
    </row>
    <row r="35" spans="1:4" ht="16.5" x14ac:dyDescent="0.2">
      <c r="A35" s="39" t="s">
        <v>386</v>
      </c>
      <c r="B35" s="39"/>
      <c r="C35" s="39">
        <v>75</v>
      </c>
      <c r="D35" s="45"/>
    </row>
    <row r="36" spans="1:4" ht="16.5" x14ac:dyDescent="0.2">
      <c r="A36" s="39" t="s">
        <v>387</v>
      </c>
      <c r="B36" s="39"/>
      <c r="C36" s="39">
        <v>200</v>
      </c>
      <c r="D36" s="45"/>
    </row>
    <row r="37" spans="1:4" ht="16.5" x14ac:dyDescent="0.2">
      <c r="A37" s="39" t="s">
        <v>388</v>
      </c>
      <c r="B37" s="39"/>
      <c r="C37" s="39">
        <v>200</v>
      </c>
      <c r="D37" s="45"/>
    </row>
    <row r="38" spans="1:4" ht="16.5" x14ac:dyDescent="0.2">
      <c r="A38" s="39" t="s">
        <v>389</v>
      </c>
      <c r="B38" s="39"/>
      <c r="C38" s="39">
        <v>75</v>
      </c>
      <c r="D38" s="45"/>
    </row>
    <row r="39" spans="1:4" ht="16.5" x14ac:dyDescent="0.2">
      <c r="A39" s="39" t="s">
        <v>390</v>
      </c>
      <c r="B39" s="39"/>
      <c r="C39" s="39">
        <v>75</v>
      </c>
      <c r="D39" s="45"/>
    </row>
    <row r="40" spans="1:4" ht="16.5" x14ac:dyDescent="0.2">
      <c r="A40" s="39" t="s">
        <v>391</v>
      </c>
      <c r="B40" s="39"/>
      <c r="C40" s="39">
        <v>75</v>
      </c>
      <c r="D40" s="45"/>
    </row>
    <row r="41" spans="1:4" ht="16.5" x14ac:dyDescent="0.2">
      <c r="A41" s="39" t="s">
        <v>392</v>
      </c>
      <c r="B41" s="39"/>
      <c r="C41" s="39">
        <v>75</v>
      </c>
      <c r="D41" s="45"/>
    </row>
    <row r="42" spans="1:4" ht="16.5" x14ac:dyDescent="0.2">
      <c r="A42" s="39" t="s">
        <v>393</v>
      </c>
      <c r="B42" s="39"/>
      <c r="C42" s="39">
        <v>200</v>
      </c>
      <c r="D42" s="45"/>
    </row>
    <row r="43" spans="1:4" ht="16.5" x14ac:dyDescent="0.2">
      <c r="A43" s="39" t="s">
        <v>394</v>
      </c>
      <c r="B43" s="39"/>
      <c r="C43" s="39">
        <v>200</v>
      </c>
      <c r="D43" s="45"/>
    </row>
    <row r="44" spans="1:4" ht="16.5" x14ac:dyDescent="0.2">
      <c r="A44" s="17" t="s">
        <v>27</v>
      </c>
      <c r="B44" s="17"/>
      <c r="C44" s="17">
        <v>7</v>
      </c>
      <c r="D44" s="45"/>
    </row>
    <row r="45" spans="1:4" ht="16.5" x14ac:dyDescent="0.2">
      <c r="A45" s="17" t="s">
        <v>28</v>
      </c>
      <c r="B45" s="17"/>
      <c r="C45" s="17">
        <v>35</v>
      </c>
      <c r="D45" s="45"/>
    </row>
    <row r="46" spans="1:4" ht="16.5" x14ac:dyDescent="0.2">
      <c r="A46" s="17" t="s">
        <v>29</v>
      </c>
      <c r="B46" s="17"/>
      <c r="C46" s="17">
        <v>100</v>
      </c>
      <c r="D46" s="45"/>
    </row>
    <row r="47" spans="1:4" ht="16.5" x14ac:dyDescent="0.2">
      <c r="A47" s="13" t="s">
        <v>30</v>
      </c>
      <c r="B47" s="13"/>
      <c r="C47" s="13">
        <v>10</v>
      </c>
      <c r="D47" s="45"/>
    </row>
    <row r="48" spans="1:4" ht="16.5" x14ac:dyDescent="0.2">
      <c r="A48" s="13" t="s">
        <v>31</v>
      </c>
      <c r="B48" s="13"/>
      <c r="C48" s="13">
        <v>50</v>
      </c>
      <c r="D48" s="45"/>
    </row>
    <row r="49" spans="1:4" ht="16.5" x14ac:dyDescent="0.2">
      <c r="A49" s="13" t="s">
        <v>32</v>
      </c>
      <c r="B49" s="13"/>
      <c r="C49" s="13">
        <v>200</v>
      </c>
      <c r="D49" s="45"/>
    </row>
    <row r="50" spans="1:4" ht="16.5" x14ac:dyDescent="0.2">
      <c r="A50" s="13" t="s">
        <v>25</v>
      </c>
      <c r="B50" s="13"/>
      <c r="C50" s="13">
        <v>350</v>
      </c>
      <c r="D50" s="45"/>
    </row>
    <row r="51" spans="1:4" ht="16.5" x14ac:dyDescent="0.2">
      <c r="A51" s="13" t="s">
        <v>26</v>
      </c>
      <c r="B51" s="13"/>
      <c r="C51" s="13">
        <v>75</v>
      </c>
      <c r="D51" s="45"/>
    </row>
    <row r="52" spans="1:4" ht="16.5" x14ac:dyDescent="0.2">
      <c r="A52" s="13" t="s">
        <v>395</v>
      </c>
      <c r="B52" s="13">
        <v>2500</v>
      </c>
      <c r="C52" s="13">
        <v>2.5</v>
      </c>
      <c r="D52" s="45"/>
    </row>
    <row r="53" spans="1:4" ht="16.5" x14ac:dyDescent="0.2">
      <c r="A53" s="13" t="s">
        <v>396</v>
      </c>
      <c r="B53" s="13">
        <v>5000</v>
      </c>
      <c r="C53" s="13">
        <v>5</v>
      </c>
      <c r="D53" s="45"/>
    </row>
    <row r="54" spans="1:4" ht="16.5" x14ac:dyDescent="0.2">
      <c r="A54" s="13" t="s">
        <v>397</v>
      </c>
      <c r="B54" s="13">
        <v>20000</v>
      </c>
      <c r="C54" s="13">
        <v>20</v>
      </c>
      <c r="D54" s="45"/>
    </row>
    <row r="55" spans="1:4" ht="16.5" x14ac:dyDescent="0.2">
      <c r="A55" s="26" t="s">
        <v>206</v>
      </c>
      <c r="B55" s="26"/>
      <c r="C55" s="26">
        <v>1</v>
      </c>
      <c r="D55" s="45"/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W21"/>
  <sheetViews>
    <sheetView workbookViewId="0">
      <selection activeCell="Q31" sqref="Q31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10.75" customWidth="1"/>
    <col min="14" max="14" width="7.75" customWidth="1"/>
    <col min="15" max="15" width="9" customWidth="1"/>
    <col min="16" max="16" width="8.25" customWidth="1"/>
    <col min="17" max="17" width="43.5" customWidth="1"/>
  </cols>
  <sheetData>
    <row r="3" spans="1:23" ht="17.25" x14ac:dyDescent="0.2">
      <c r="A3" s="12" t="s">
        <v>135</v>
      </c>
      <c r="B3" s="12" t="s">
        <v>136</v>
      </c>
      <c r="C3" s="12" t="s">
        <v>139</v>
      </c>
      <c r="D3" s="12" t="s">
        <v>140</v>
      </c>
      <c r="F3" s="30" t="s">
        <v>137</v>
      </c>
      <c r="G3" s="26">
        <v>100</v>
      </c>
      <c r="I3" s="12" t="s">
        <v>161</v>
      </c>
      <c r="J3" s="12" t="s">
        <v>128</v>
      </c>
      <c r="K3" s="12" t="s">
        <v>425</v>
      </c>
      <c r="L3" s="12" t="s">
        <v>130</v>
      </c>
      <c r="M3" s="12" t="s">
        <v>147</v>
      </c>
      <c r="N3" s="12" t="s">
        <v>148</v>
      </c>
      <c r="O3" s="12" t="s">
        <v>149</v>
      </c>
      <c r="P3" s="12" t="s">
        <v>150</v>
      </c>
      <c r="Q3" s="12" t="s">
        <v>142</v>
      </c>
      <c r="R3" s="12" t="s">
        <v>191</v>
      </c>
      <c r="T3" s="59" t="s">
        <v>655</v>
      </c>
      <c r="U3" s="59" t="s">
        <v>656</v>
      </c>
      <c r="V3" s="59" t="s">
        <v>657</v>
      </c>
      <c r="W3" s="59" t="s">
        <v>658</v>
      </c>
    </row>
    <row r="4" spans="1:23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138</v>
      </c>
      <c r="G4" s="26">
        <v>110</v>
      </c>
      <c r="I4" s="26">
        <v>1</v>
      </c>
      <c r="J4" s="26" t="s">
        <v>129</v>
      </c>
      <c r="K4" s="45">
        <v>1</v>
      </c>
      <c r="L4" s="26">
        <v>2</v>
      </c>
      <c r="M4" s="26">
        <v>1</v>
      </c>
      <c r="N4" s="15">
        <f>ROUND((SUM($L$4:$L4)-SUM($M$4:$M4))/B$4,2)</f>
        <v>0.03</v>
      </c>
      <c r="O4" s="15">
        <f>ROUND((SUM($L$4:$L4)-SUM($M$4:$M4))/C$4,2)</f>
        <v>0.03</v>
      </c>
      <c r="P4" s="15">
        <f>ROUND((SUM($L$4:$L4)-SUM($M$4:$M4))/D$4,2)</f>
        <v>0.02</v>
      </c>
      <c r="Q4" s="26" t="s">
        <v>143</v>
      </c>
      <c r="R4" s="15">
        <f>O4</f>
        <v>0.03</v>
      </c>
      <c r="T4" s="63">
        <v>2</v>
      </c>
      <c r="U4" s="63">
        <v>0</v>
      </c>
      <c r="V4" s="63">
        <v>0</v>
      </c>
      <c r="W4" s="63">
        <v>0</v>
      </c>
    </row>
    <row r="5" spans="1:23" ht="16.5" x14ac:dyDescent="0.2">
      <c r="I5" s="26">
        <v>2</v>
      </c>
      <c r="J5" s="26" t="s">
        <v>131</v>
      </c>
      <c r="K5" s="45">
        <v>10</v>
      </c>
      <c r="L5" s="26">
        <v>4</v>
      </c>
      <c r="M5" s="26">
        <v>1</v>
      </c>
      <c r="N5" s="15">
        <f>ROUND((SUM($L$4:$L5)-SUM($M$4:$M5))/B$4,2)</f>
        <v>0.13</v>
      </c>
      <c r="O5" s="15">
        <f>ROUND((SUM($L$4:$L5)-SUM($M$4:$M5))/C$4,2)</f>
        <v>0.1</v>
      </c>
      <c r="P5" s="15">
        <f>ROUND((SUM($L$4:$L5)-SUM($M$4:$M5))/D$4,2)</f>
        <v>0.08</v>
      </c>
      <c r="Q5" s="26" t="s">
        <v>144</v>
      </c>
      <c r="R5" s="15">
        <f>O5-O4</f>
        <v>7.0000000000000007E-2</v>
      </c>
      <c r="T5" s="63">
        <v>4</v>
      </c>
      <c r="U5" s="63">
        <v>0</v>
      </c>
      <c r="V5" s="63">
        <v>0</v>
      </c>
      <c r="W5" s="63">
        <v>0</v>
      </c>
    </row>
    <row r="6" spans="1:23" ht="17.25" x14ac:dyDescent="0.2">
      <c r="A6" s="12" t="s">
        <v>141</v>
      </c>
      <c r="I6" s="26">
        <v>3</v>
      </c>
      <c r="J6" s="26" t="s">
        <v>132</v>
      </c>
      <c r="K6" s="45">
        <v>20</v>
      </c>
      <c r="L6" s="26">
        <v>12</v>
      </c>
      <c r="M6" s="26"/>
      <c r="N6" s="15">
        <f>ROUND((SUM($L$4:$L6)-SUM($M$4:$M6))/B$4,2)</f>
        <v>0.53</v>
      </c>
      <c r="O6" s="15">
        <f>ROUND((SUM($L$4:$L6)-SUM($M$4:$M6))/C$4,2)</f>
        <v>0.4</v>
      </c>
      <c r="P6" s="15">
        <f>ROUND((SUM($L$4:$L6)-SUM($M$4:$M6))/D$4,2)</f>
        <v>0.32</v>
      </c>
      <c r="Q6" s="26" t="s">
        <v>145</v>
      </c>
      <c r="R6" s="15">
        <f t="shared" ref="R6:R18" si="0">O6-O5</f>
        <v>0.30000000000000004</v>
      </c>
      <c r="T6" s="63">
        <v>7</v>
      </c>
      <c r="U6" s="63">
        <v>0</v>
      </c>
      <c r="V6" s="63">
        <v>0</v>
      </c>
      <c r="W6" s="63">
        <v>0</v>
      </c>
    </row>
    <row r="7" spans="1:23" ht="18" customHeight="1" x14ac:dyDescent="0.2">
      <c r="A7" s="26">
        <v>20</v>
      </c>
      <c r="I7" s="26">
        <v>4</v>
      </c>
      <c r="J7" s="26" t="s">
        <v>133</v>
      </c>
      <c r="K7" s="45">
        <v>30</v>
      </c>
      <c r="L7" s="26">
        <v>24</v>
      </c>
      <c r="M7" s="26"/>
      <c r="N7" s="15">
        <f>ROUND((SUM($L$4:$L7)-SUM($M$4:$M7))/B$4,2)</f>
        <v>1.33</v>
      </c>
      <c r="O7" s="15">
        <f>ROUND((SUM($L$4:$L7)-SUM($M$4:$M7))/C$4,2)</f>
        <v>1</v>
      </c>
      <c r="P7" s="15">
        <f>ROUND((SUM($L$4:$L7)-SUM($M$4:$M7))/D$4,2)</f>
        <v>0.8</v>
      </c>
      <c r="Q7" s="26" t="s">
        <v>146</v>
      </c>
      <c r="R7" s="15">
        <f t="shared" si="0"/>
        <v>0.6</v>
      </c>
      <c r="T7" s="63">
        <v>10</v>
      </c>
      <c r="U7" s="63">
        <v>4</v>
      </c>
      <c r="V7" s="63">
        <v>0</v>
      </c>
      <c r="W7" s="63">
        <v>0</v>
      </c>
    </row>
    <row r="8" spans="1:23" ht="16.5" x14ac:dyDescent="0.2">
      <c r="A8" s="26">
        <v>30</v>
      </c>
      <c r="I8" s="26">
        <v>5</v>
      </c>
      <c r="J8" s="26" t="s">
        <v>134</v>
      </c>
      <c r="K8" s="45">
        <v>40</v>
      </c>
      <c r="L8" s="26">
        <v>40</v>
      </c>
      <c r="M8" s="26"/>
      <c r="N8" s="15">
        <f>ROUND((SUM($L$4:$L8)-SUM($M$4:$M8))/B$4,2)</f>
        <v>2.67</v>
      </c>
      <c r="O8" s="15">
        <f>ROUND((SUM($L$4:$L8)-SUM($M$4:$M8))/C$4,2)</f>
        <v>2</v>
      </c>
      <c r="P8" s="15">
        <f>ROUND((SUM($L$4:$L8)-SUM($M$4:$M8))/D$4,2)</f>
        <v>1.6</v>
      </c>
      <c r="Q8" s="26"/>
      <c r="R8" s="15">
        <f t="shared" si="0"/>
        <v>1</v>
      </c>
      <c r="T8" s="63">
        <v>20</v>
      </c>
      <c r="U8" s="63">
        <v>10</v>
      </c>
      <c r="V8" s="63">
        <v>5</v>
      </c>
      <c r="W8" s="63">
        <v>5</v>
      </c>
    </row>
    <row r="9" spans="1:23" ht="16.5" x14ac:dyDescent="0.2">
      <c r="A9" s="26">
        <v>30</v>
      </c>
      <c r="I9" s="26">
        <v>6</v>
      </c>
      <c r="J9" s="26" t="s">
        <v>151</v>
      </c>
      <c r="K9" s="45">
        <v>50</v>
      </c>
      <c r="L9" s="26">
        <v>60</v>
      </c>
      <c r="M9" s="26"/>
      <c r="N9" s="15">
        <f>ROUND((SUM($L$4:$L9)-SUM($M$4:$M9))/B$4,2)</f>
        <v>4.67</v>
      </c>
      <c r="O9" s="15">
        <f>ROUND((SUM($L$4:$L9)-SUM($M$4:$M9))/C$4,2)</f>
        <v>3.5</v>
      </c>
      <c r="P9" s="15">
        <f>ROUND((SUM($L$4:$L9)-SUM($M$4:$M9))/D$4,2)</f>
        <v>2.8</v>
      </c>
      <c r="Q9" s="26"/>
      <c r="R9" s="15">
        <f t="shared" si="0"/>
        <v>1.5</v>
      </c>
      <c r="T9" s="63">
        <v>35</v>
      </c>
      <c r="U9" s="63">
        <v>20</v>
      </c>
      <c r="V9" s="63">
        <v>10</v>
      </c>
      <c r="W9" s="63">
        <v>10</v>
      </c>
    </row>
    <row r="10" spans="1:23" ht="16.5" x14ac:dyDescent="0.2">
      <c r="A10" s="26">
        <v>40</v>
      </c>
      <c r="I10" s="26">
        <v>7</v>
      </c>
      <c r="J10" s="26" t="s">
        <v>152</v>
      </c>
      <c r="K10" s="45">
        <v>60</v>
      </c>
      <c r="L10" s="26">
        <v>80</v>
      </c>
      <c r="M10" s="26"/>
      <c r="N10" s="15">
        <f>ROUND((SUM($L$4:$L10)-SUM($M$4:$M10))/B$4,2)</f>
        <v>7.33</v>
      </c>
      <c r="O10" s="15">
        <f>ROUND((SUM($L$4:$L10)-SUM($M$4:$M10))/C$4,2)</f>
        <v>5.5</v>
      </c>
      <c r="P10" s="15">
        <f>ROUND((SUM($L$4:$L10)-SUM($M$4:$M10))/D$4,2)</f>
        <v>4.4000000000000004</v>
      </c>
      <c r="Q10" s="26"/>
      <c r="R10" s="15">
        <f t="shared" si="0"/>
        <v>2</v>
      </c>
      <c r="T10" s="63">
        <v>50</v>
      </c>
      <c r="U10" s="63">
        <v>30</v>
      </c>
      <c r="V10" s="63">
        <v>15</v>
      </c>
      <c r="W10" s="63">
        <v>15</v>
      </c>
    </row>
    <row r="11" spans="1:23" ht="16.5" x14ac:dyDescent="0.2">
      <c r="A11" s="26">
        <v>40</v>
      </c>
      <c r="I11" s="26">
        <v>8</v>
      </c>
      <c r="J11" s="26" t="s">
        <v>153</v>
      </c>
      <c r="K11" s="45">
        <v>70</v>
      </c>
      <c r="L11" s="26">
        <v>100</v>
      </c>
      <c r="M11" s="26"/>
      <c r="N11" s="15">
        <f>ROUND((SUM($L$4:$L11)-SUM($M$4:$M11))/B$4,2)</f>
        <v>10.67</v>
      </c>
      <c r="O11" s="15">
        <f>ROUND((SUM($L$4:$L11)-SUM($M$4:$M11))/C$4,2)</f>
        <v>8</v>
      </c>
      <c r="P11" s="15">
        <f>ROUND((SUM($L$4:$L11)-SUM($M$4:$M11))/D$4,2)</f>
        <v>6.4</v>
      </c>
      <c r="Q11" s="26"/>
      <c r="R11" s="15">
        <f t="shared" si="0"/>
        <v>2.5</v>
      </c>
      <c r="T11" s="63">
        <v>65</v>
      </c>
      <c r="U11" s="63">
        <v>40</v>
      </c>
      <c r="V11" s="63">
        <v>20</v>
      </c>
      <c r="W11" s="63">
        <v>20</v>
      </c>
    </row>
    <row r="12" spans="1:23" ht="16.5" x14ac:dyDescent="0.2">
      <c r="A12" s="26">
        <v>50</v>
      </c>
      <c r="B12" s="15">
        <f>SUM(A7:A12)</f>
        <v>210</v>
      </c>
      <c r="I12" s="26">
        <v>9</v>
      </c>
      <c r="J12" s="26" t="s">
        <v>154</v>
      </c>
      <c r="K12" s="45">
        <v>80</v>
      </c>
      <c r="L12" s="26">
        <v>150</v>
      </c>
      <c r="M12" s="26"/>
      <c r="N12" s="15">
        <f>ROUND((SUM($L$4:$L12)-SUM($M$4:$M12))/B$4,2)</f>
        <v>15.67</v>
      </c>
      <c r="O12" s="15">
        <f>ROUND((SUM($L$4:$L12)-SUM($M$4:$M12))/C$4,2)</f>
        <v>11.75</v>
      </c>
      <c r="P12" s="15">
        <f>ROUND((SUM($L$4:$L12)-SUM($M$4:$M12))/D$4,2)</f>
        <v>9.4</v>
      </c>
      <c r="Q12" s="26"/>
      <c r="R12" s="15">
        <f t="shared" si="0"/>
        <v>3.75</v>
      </c>
      <c r="T12" s="63">
        <v>80</v>
      </c>
      <c r="U12" s="63">
        <v>55</v>
      </c>
      <c r="V12" s="63">
        <v>30</v>
      </c>
      <c r="W12" s="63">
        <v>30</v>
      </c>
    </row>
    <row r="13" spans="1:23" ht="16.5" x14ac:dyDescent="0.2">
      <c r="A13" s="26">
        <v>60</v>
      </c>
      <c r="I13" s="26">
        <v>10</v>
      </c>
      <c r="J13" s="26" t="s">
        <v>155</v>
      </c>
      <c r="K13" s="45">
        <v>90</v>
      </c>
      <c r="L13" s="26">
        <v>250</v>
      </c>
      <c r="M13" s="26"/>
      <c r="N13" s="15">
        <f>ROUND((SUM($L$4:$L13)-SUM($M$4:$M13))/B$4,2)</f>
        <v>24</v>
      </c>
      <c r="O13" s="15">
        <f>ROUND((SUM($L$4:$L13)-SUM($M$4:$M13))/C$4,2)</f>
        <v>18</v>
      </c>
      <c r="P13" s="15">
        <f>ROUND((SUM($L$4:$L13)-SUM($M$4:$M13))/D$4,2)</f>
        <v>14.4</v>
      </c>
      <c r="Q13" s="26"/>
      <c r="R13" s="15">
        <f t="shared" si="0"/>
        <v>6.25</v>
      </c>
      <c r="T13" s="63">
        <v>100</v>
      </c>
      <c r="U13" s="63">
        <v>70</v>
      </c>
      <c r="V13" s="63">
        <v>45</v>
      </c>
      <c r="W13" s="63">
        <v>45</v>
      </c>
    </row>
    <row r="14" spans="1:23" ht="16.5" x14ac:dyDescent="0.2">
      <c r="A14" s="26">
        <v>80</v>
      </c>
      <c r="I14" s="26">
        <v>11</v>
      </c>
      <c r="J14" s="26" t="s">
        <v>156</v>
      </c>
      <c r="K14" s="45">
        <v>100</v>
      </c>
      <c r="L14" s="26">
        <v>400</v>
      </c>
      <c r="M14" s="26"/>
      <c r="N14" s="15">
        <f>ROUND((SUM($L$4:$L14)-SUM($M$4:$M14))/B$4,2)</f>
        <v>37.33</v>
      </c>
      <c r="O14" s="15">
        <f>ROUND((SUM($L$4:$L14)-SUM($M$4:$M14))/C$4,2)</f>
        <v>28</v>
      </c>
      <c r="P14" s="15">
        <f>ROUND((SUM($L$4:$L14)-SUM($M$4:$M14))/D$4,2)</f>
        <v>22.4</v>
      </c>
      <c r="Q14" s="26"/>
      <c r="R14" s="15">
        <f t="shared" si="0"/>
        <v>10</v>
      </c>
      <c r="T14" s="63">
        <v>0</v>
      </c>
      <c r="U14" s="63">
        <v>85</v>
      </c>
      <c r="V14" s="63">
        <v>60</v>
      </c>
      <c r="W14" s="63">
        <v>60</v>
      </c>
    </row>
    <row r="15" spans="1:23" ht="16.5" x14ac:dyDescent="0.2">
      <c r="A15" s="26">
        <v>90</v>
      </c>
      <c r="I15" s="26">
        <v>12</v>
      </c>
      <c r="J15" s="26" t="s">
        <v>157</v>
      </c>
      <c r="K15" s="45">
        <v>110</v>
      </c>
      <c r="L15" s="26">
        <v>550</v>
      </c>
      <c r="M15" s="26"/>
      <c r="N15" s="15">
        <f>ROUND((SUM($L$4:$L15)-SUM($M$4:$M15))/B$4,2)</f>
        <v>55.67</v>
      </c>
      <c r="O15" s="15">
        <f>ROUND((SUM($L$4:$L15)-SUM($M$4:$M15))/C$4,2)</f>
        <v>41.75</v>
      </c>
      <c r="P15" s="15">
        <f>ROUND((SUM($L$4:$L15)-SUM($M$4:$M15))/D$4,2)</f>
        <v>33.4</v>
      </c>
      <c r="Q15" s="26"/>
      <c r="R15" s="15">
        <f t="shared" si="0"/>
        <v>13.75</v>
      </c>
      <c r="T15" s="63">
        <v>0</v>
      </c>
      <c r="U15" s="63">
        <v>100</v>
      </c>
      <c r="V15" s="63">
        <v>80</v>
      </c>
      <c r="W15" s="63">
        <v>80</v>
      </c>
    </row>
    <row r="16" spans="1:23" ht="16.5" x14ac:dyDescent="0.2">
      <c r="A16" s="26">
        <v>100</v>
      </c>
      <c r="I16" s="26">
        <v>13</v>
      </c>
      <c r="J16" s="26" t="s">
        <v>158</v>
      </c>
      <c r="K16" s="45">
        <v>120</v>
      </c>
      <c r="L16" s="26">
        <v>700</v>
      </c>
      <c r="M16" s="26"/>
      <c r="N16" s="15">
        <f>ROUND((SUM($L$4:$L16)-SUM($M$4:$M16))/B$4,2)</f>
        <v>79</v>
      </c>
      <c r="O16" s="15">
        <f>ROUND((SUM($L$4:$L16)-SUM($M$4:$M16))/C$4,2)</f>
        <v>59.25</v>
      </c>
      <c r="P16" s="15">
        <f>ROUND((SUM($L$4:$L16)-SUM($M$4:$M16))/D$4,2)</f>
        <v>47.4</v>
      </c>
      <c r="Q16" s="26"/>
      <c r="R16" s="15">
        <f t="shared" si="0"/>
        <v>17.5</v>
      </c>
      <c r="T16" s="63">
        <v>0</v>
      </c>
      <c r="U16" s="63">
        <v>0</v>
      </c>
      <c r="V16" s="63">
        <v>100</v>
      </c>
      <c r="W16" s="63">
        <v>100</v>
      </c>
    </row>
    <row r="17" spans="1:23" ht="16.5" x14ac:dyDescent="0.2">
      <c r="A17" s="26">
        <v>120</v>
      </c>
      <c r="B17" s="15">
        <f>SUM(A7:A17)</f>
        <v>660</v>
      </c>
      <c r="I17" s="26">
        <v>14</v>
      </c>
      <c r="J17" s="26" t="s">
        <v>159</v>
      </c>
      <c r="K17" s="45">
        <v>130</v>
      </c>
      <c r="L17" s="26">
        <v>1000</v>
      </c>
      <c r="M17" s="26"/>
      <c r="N17" s="15">
        <f>ROUND((SUM($L$4:$L17)-SUM($M$4:$M17))/B$4,2)</f>
        <v>112.33</v>
      </c>
      <c r="O17" s="15">
        <f>ROUND((SUM($L$4:$L17)-SUM($M$4:$M17))/C$4,2)</f>
        <v>84.25</v>
      </c>
      <c r="P17" s="15">
        <f>ROUND((SUM($L$4:$L17)-SUM($M$4:$M17))/D$4,2)</f>
        <v>67.400000000000006</v>
      </c>
      <c r="Q17" s="26"/>
      <c r="R17" s="15">
        <f t="shared" si="0"/>
        <v>25</v>
      </c>
      <c r="T17" s="63">
        <v>0</v>
      </c>
      <c r="U17" s="63">
        <v>0</v>
      </c>
      <c r="V17" s="63">
        <v>0</v>
      </c>
      <c r="W17" s="63">
        <v>0</v>
      </c>
    </row>
    <row r="18" spans="1:23" ht="16.5" x14ac:dyDescent="0.2">
      <c r="A18" s="16"/>
      <c r="I18" s="26">
        <v>15</v>
      </c>
      <c r="J18" s="26" t="s">
        <v>160</v>
      </c>
      <c r="K18" s="45">
        <v>140</v>
      </c>
      <c r="L18" s="26">
        <v>1500</v>
      </c>
      <c r="M18" s="26"/>
      <c r="N18" s="15">
        <f>ROUND((SUM($L$4:$L18)-SUM($M$4:$M18))/B$4,2)</f>
        <v>162.33000000000001</v>
      </c>
      <c r="O18" s="15">
        <f>ROUND((SUM($L$4:$L18)-SUM($M$4:$M18))/C$4,2)</f>
        <v>121.75</v>
      </c>
      <c r="P18" s="15">
        <f>ROUND((SUM($L$4:$L18)-SUM($M$4:$M18))/D$4,2)</f>
        <v>97.4</v>
      </c>
      <c r="Q18" s="26"/>
      <c r="R18" s="15">
        <f t="shared" si="0"/>
        <v>37.5</v>
      </c>
      <c r="T18" s="63">
        <v>0</v>
      </c>
      <c r="U18" s="63">
        <v>0</v>
      </c>
      <c r="V18" s="63">
        <v>0</v>
      </c>
      <c r="W18" s="63">
        <v>0</v>
      </c>
    </row>
    <row r="19" spans="1:23" x14ac:dyDescent="0.2">
      <c r="A19" s="16"/>
    </row>
    <row r="20" spans="1:23" x14ac:dyDescent="0.2">
      <c r="A20" s="16"/>
    </row>
    <row r="21" spans="1:23" x14ac:dyDescent="0.2">
      <c r="A21" s="1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C215"/>
  <sheetViews>
    <sheetView workbookViewId="0">
      <selection activeCell="L23" sqref="L23"/>
    </sheetView>
  </sheetViews>
  <sheetFormatPr defaultRowHeight="14.25" x14ac:dyDescent="0.2"/>
  <cols>
    <col min="2" max="2" width="8.875" customWidth="1"/>
    <col min="3" max="3" width="9.625" customWidth="1"/>
    <col min="4" max="4" width="12.25" customWidth="1"/>
    <col min="5" max="5" width="11.375" customWidth="1"/>
    <col min="6" max="6" width="13" customWidth="1"/>
    <col min="7" max="7" width="13.5" customWidth="1"/>
    <col min="8" max="8" width="15.875" customWidth="1"/>
    <col min="9" max="9" width="15" customWidth="1"/>
    <col min="10" max="10" width="14.25" customWidth="1"/>
    <col min="11" max="11" width="14.5" customWidth="1"/>
    <col min="12" max="12" width="12.875" customWidth="1"/>
    <col min="13" max="13" width="10.25" customWidth="1"/>
    <col min="14" max="14" width="9.75" customWidth="1"/>
    <col min="15" max="15" width="15.625" customWidth="1"/>
    <col min="16" max="16" width="15.125" customWidth="1"/>
    <col min="17" max="20" width="15.625" customWidth="1"/>
    <col min="21" max="21" width="11.75" customWidth="1"/>
    <col min="22" max="22" width="13.625" customWidth="1"/>
    <col min="23" max="23" width="14" customWidth="1"/>
    <col min="37" max="39" width="11.125" customWidth="1"/>
    <col min="43" max="43" width="9.625" customWidth="1"/>
    <col min="44" max="44" width="10.5" customWidth="1"/>
    <col min="45" max="47" width="10.625" customWidth="1"/>
  </cols>
  <sheetData>
    <row r="3" spans="1:55" ht="20.25" x14ac:dyDescent="0.2">
      <c r="A3" s="85" t="s">
        <v>165</v>
      </c>
      <c r="B3" s="85"/>
      <c r="C3" s="85"/>
      <c r="D3" s="85"/>
      <c r="E3" s="85"/>
      <c r="F3" s="85"/>
      <c r="G3" s="85"/>
      <c r="H3" s="85"/>
      <c r="I3" s="85"/>
      <c r="K3" s="84" t="s">
        <v>174</v>
      </c>
      <c r="L3" s="84"/>
      <c r="M3" s="84"/>
      <c r="N3" s="84"/>
      <c r="O3" s="84"/>
      <c r="P3" s="84"/>
      <c r="Q3" s="84"/>
      <c r="R3" s="84"/>
      <c r="S3" s="84"/>
      <c r="T3" s="84"/>
      <c r="V3" s="84" t="s">
        <v>180</v>
      </c>
      <c r="W3" s="84"/>
      <c r="X3" s="84"/>
      <c r="Y3" s="84"/>
      <c r="Z3" s="84"/>
      <c r="AA3" s="84"/>
      <c r="AB3" s="84"/>
      <c r="AC3" s="84"/>
      <c r="AD3" s="84"/>
      <c r="AE3" s="84"/>
      <c r="AH3" s="85" t="s">
        <v>162</v>
      </c>
      <c r="AI3" s="85"/>
      <c r="AJ3" s="85"/>
      <c r="AK3" s="85"/>
      <c r="AL3" s="85"/>
      <c r="AM3" s="85"/>
      <c r="AP3" s="85" t="s">
        <v>40</v>
      </c>
      <c r="AQ3" s="85"/>
      <c r="AR3" s="85"/>
      <c r="AS3" s="85"/>
      <c r="AT3" s="85"/>
      <c r="AU3" s="85"/>
      <c r="AX3" s="84" t="s">
        <v>41</v>
      </c>
      <c r="AY3" s="84"/>
      <c r="AZ3" s="84"/>
      <c r="BA3" s="84"/>
      <c r="BB3" s="84"/>
      <c r="BC3" s="84"/>
    </row>
    <row r="4" spans="1:55" ht="17.25" x14ac:dyDescent="0.2">
      <c r="A4" s="12" t="s">
        <v>34</v>
      </c>
      <c r="B4" s="12" t="s">
        <v>166</v>
      </c>
      <c r="C4" s="12" t="s">
        <v>36</v>
      </c>
      <c r="D4" s="12" t="s">
        <v>167</v>
      </c>
      <c r="E4" s="12" t="s">
        <v>169</v>
      </c>
      <c r="F4" s="12" t="s">
        <v>170</v>
      </c>
      <c r="G4" s="12" t="s">
        <v>168</v>
      </c>
      <c r="H4" s="12" t="s">
        <v>171</v>
      </c>
      <c r="I4" s="12" t="s">
        <v>173</v>
      </c>
      <c r="K4" s="12" t="s">
        <v>34</v>
      </c>
      <c r="L4" s="12" t="s">
        <v>179</v>
      </c>
      <c r="M4" s="12" t="s">
        <v>175</v>
      </c>
      <c r="N4" s="12" t="s">
        <v>176</v>
      </c>
      <c r="O4" s="12" t="s">
        <v>166</v>
      </c>
      <c r="P4" s="12" t="s">
        <v>177</v>
      </c>
      <c r="Q4" s="12" t="s">
        <v>178</v>
      </c>
      <c r="R4" s="12" t="s">
        <v>172</v>
      </c>
      <c r="S4" s="12" t="s">
        <v>398</v>
      </c>
      <c r="T4" s="12" t="s">
        <v>399</v>
      </c>
      <c r="V4" s="12" t="s">
        <v>34</v>
      </c>
      <c r="W4" s="12" t="s">
        <v>179</v>
      </c>
      <c r="X4" s="12" t="s">
        <v>175</v>
      </c>
      <c r="Y4" s="12" t="s">
        <v>176</v>
      </c>
      <c r="Z4" s="12" t="s">
        <v>166</v>
      </c>
      <c r="AA4" s="12" t="s">
        <v>177</v>
      </c>
      <c r="AB4" s="12" t="s">
        <v>178</v>
      </c>
      <c r="AC4" s="12" t="s">
        <v>172</v>
      </c>
      <c r="AD4" s="12" t="s">
        <v>398</v>
      </c>
      <c r="AE4" s="12" t="s">
        <v>399</v>
      </c>
      <c r="AH4" s="12" t="s">
        <v>33</v>
      </c>
      <c r="AI4" s="12" t="s">
        <v>34</v>
      </c>
      <c r="AJ4" s="12" t="s">
        <v>35</v>
      </c>
      <c r="AK4" s="12" t="s">
        <v>36</v>
      </c>
      <c r="AL4" s="12" t="s">
        <v>177</v>
      </c>
      <c r="AM4" s="12" t="s">
        <v>172</v>
      </c>
      <c r="AP4" s="12" t="s">
        <v>33</v>
      </c>
      <c r="AQ4" s="12" t="s">
        <v>34</v>
      </c>
      <c r="AR4" s="12" t="s">
        <v>35</v>
      </c>
      <c r="AS4" s="12" t="s">
        <v>39</v>
      </c>
      <c r="AT4" s="12" t="s">
        <v>163</v>
      </c>
      <c r="AU4" s="12" t="s">
        <v>164</v>
      </c>
      <c r="AX4" s="12" t="s">
        <v>33</v>
      </c>
      <c r="AY4" s="12" t="s">
        <v>34</v>
      </c>
      <c r="AZ4" s="12" t="s">
        <v>35</v>
      </c>
      <c r="BA4" s="12" t="s">
        <v>39</v>
      </c>
      <c r="BB4" s="12" t="s">
        <v>163</v>
      </c>
      <c r="BC4" s="12" t="s">
        <v>164</v>
      </c>
    </row>
    <row r="5" spans="1:55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9">
        <v>0</v>
      </c>
      <c r="T5" s="39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9"/>
      <c r="AE5" s="39"/>
      <c r="AH5" s="26">
        <v>1</v>
      </c>
      <c r="AI5" s="26">
        <v>1</v>
      </c>
      <c r="AJ5" s="26">
        <v>1</v>
      </c>
      <c r="AK5" s="26">
        <f t="shared" ref="AK5:AK68" si="0">INDEX($C$6:$C$20,AI5)</f>
        <v>5</v>
      </c>
      <c r="AL5" s="26">
        <f t="shared" ref="AL5:AL68" si="1">INT(INDEX($E$5:$E$20,AI5)+AJ5*INDEX($F$6:$F$20,AI5))</f>
        <v>5</v>
      </c>
      <c r="AM5" s="26">
        <f>INT(INDEX($H$5:$H$20,AI5)+AJ5*INDEX($I$6:$I$20,AI5))</f>
        <v>13</v>
      </c>
      <c r="AP5" s="18">
        <v>1</v>
      </c>
      <c r="AQ5" s="18">
        <v>1</v>
      </c>
      <c r="AR5" s="18">
        <v>1</v>
      </c>
      <c r="AS5" s="15">
        <f>INDEX($N$6:$N$20,AQ5)</f>
        <v>100</v>
      </c>
      <c r="AT5" s="15">
        <f>INDEX($P$6:$P$20,AQ5)</f>
        <v>300</v>
      </c>
      <c r="AU5" s="15">
        <f>INDEX($R$6:$R$20,AQ5)</f>
        <v>1500</v>
      </c>
      <c r="AX5" s="18">
        <v>1</v>
      </c>
      <c r="AY5" s="18">
        <v>1</v>
      </c>
      <c r="AZ5" s="18">
        <v>1</v>
      </c>
      <c r="BA5" s="15">
        <f>INDEX($Y$6:$Y$20,AY5)</f>
        <v>200</v>
      </c>
      <c r="BB5" s="15">
        <f>INDEX($AA$6:$AA$20,AY5)</f>
        <v>600</v>
      </c>
      <c r="BC5" s="15">
        <f>INDEX($AC$6:$AC$20,AY5)</f>
        <v>2250</v>
      </c>
    </row>
    <row r="6" spans="1:55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 t="shared" ref="F6:F20" si="2">(E6-E5)/$B6</f>
        <v>1.5</v>
      </c>
      <c r="G6" s="26">
        <v>5</v>
      </c>
      <c r="H6" s="26">
        <f t="shared" ref="H6:H20" si="3">C6*G6</f>
        <v>25</v>
      </c>
      <c r="I6" s="26">
        <f>(H6-H5)/$B6</f>
        <v>3.75</v>
      </c>
      <c r="K6" s="26">
        <v>1</v>
      </c>
      <c r="L6" s="26">
        <v>8</v>
      </c>
      <c r="M6" s="26">
        <v>20</v>
      </c>
      <c r="N6" s="26">
        <f>INDEX($C$6:$C$20,K6)*M6</f>
        <v>100</v>
      </c>
      <c r="O6" s="26">
        <v>30</v>
      </c>
      <c r="P6" s="26">
        <f>INDEX($E$6:$E$20,K6)*O6</f>
        <v>300</v>
      </c>
      <c r="Q6" s="26">
        <v>60</v>
      </c>
      <c r="R6" s="26">
        <f>INDEX($H$6:$H$20,K6)*Q6</f>
        <v>1500</v>
      </c>
      <c r="S6" s="39">
        <v>60</v>
      </c>
      <c r="T6" s="39">
        <f>INDEX($H$6:$H$20,K6)*S6</f>
        <v>1500</v>
      </c>
      <c r="V6" s="26">
        <v>1</v>
      </c>
      <c r="W6" s="26">
        <v>8</v>
      </c>
      <c r="X6" s="26">
        <v>40</v>
      </c>
      <c r="Y6" s="26">
        <f>INDEX($C$6:$C$20,V6)*X6</f>
        <v>200</v>
      </c>
      <c r="Z6" s="26">
        <v>60</v>
      </c>
      <c r="AA6" s="26">
        <f>INDEX($E$6:$E$20,V6)*Z6</f>
        <v>600</v>
      </c>
      <c r="AB6" s="26">
        <v>90</v>
      </c>
      <c r="AC6" s="26">
        <f>INDEX($H$6:$H$20,V6)*AB6</f>
        <v>2250</v>
      </c>
      <c r="AD6" s="39">
        <v>120</v>
      </c>
      <c r="AE6" s="39">
        <f>INDEX($H$6:$H$20,V6)*AD6</f>
        <v>3000</v>
      </c>
      <c r="AH6" s="26">
        <v>2</v>
      </c>
      <c r="AI6" s="26">
        <v>1</v>
      </c>
      <c r="AJ6" s="26">
        <v>2</v>
      </c>
      <c r="AK6" s="26">
        <f t="shared" si="0"/>
        <v>5</v>
      </c>
      <c r="AL6" s="26">
        <f t="shared" si="1"/>
        <v>7</v>
      </c>
      <c r="AM6" s="26">
        <f t="shared" ref="AM6:AM69" si="4">INT(INDEX($H$5:$H$20,AI6)+AJ6*INDEX($I$6:$I$20,AI6))</f>
        <v>17</v>
      </c>
      <c r="AP6" s="18">
        <v>2</v>
      </c>
      <c r="AQ6" s="18">
        <v>1</v>
      </c>
      <c r="AR6" s="18">
        <v>2</v>
      </c>
      <c r="AS6" s="15">
        <f t="shared" ref="AS6:AS69" si="5">INDEX($N$6:$N$20,AQ6)</f>
        <v>100</v>
      </c>
      <c r="AT6" s="15">
        <f t="shared" ref="AT6:AT69" si="6">INDEX($P$6:$P$20,AQ6)</f>
        <v>300</v>
      </c>
      <c r="AU6" s="15">
        <f t="shared" ref="AU6:AU69" si="7">INDEX($R$6:$R$20,AQ6)</f>
        <v>1500</v>
      </c>
      <c r="AX6" s="18">
        <v>2</v>
      </c>
      <c r="AY6" s="18">
        <v>1</v>
      </c>
      <c r="AZ6" s="18">
        <v>2</v>
      </c>
      <c r="BA6" s="15">
        <f t="shared" ref="BA6:BA69" si="8">INDEX($Y$6:$Y$20,AY6)</f>
        <v>200</v>
      </c>
      <c r="BB6" s="15">
        <f t="shared" ref="BB6:BB69" si="9">INDEX($AA$6:$AA$20,AY6)</f>
        <v>600</v>
      </c>
      <c r="BC6" s="15">
        <f t="shared" ref="BC6:BC69" si="10">INDEX($AC$6:$AC$20,AY6)</f>
        <v>2250</v>
      </c>
    </row>
    <row r="7" spans="1:55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si="2"/>
        <v>0.625</v>
      </c>
      <c r="G7" s="26">
        <v>6</v>
      </c>
      <c r="H7" s="26">
        <f t="shared" si="3"/>
        <v>42</v>
      </c>
      <c r="I7" s="26">
        <f t="shared" ref="I7:I20" si="11">(H7-H6)/$B7</f>
        <v>2.125</v>
      </c>
      <c r="K7" s="26">
        <v>2</v>
      </c>
      <c r="L7" s="26">
        <v>9</v>
      </c>
      <c r="M7" s="26">
        <v>20</v>
      </c>
      <c r="N7" s="26">
        <f t="shared" ref="N7:N20" si="12">INDEX($C$6:$C$20,K7)*M7</f>
        <v>140</v>
      </c>
      <c r="O7" s="26">
        <v>30</v>
      </c>
      <c r="P7" s="26">
        <f t="shared" ref="P7:P20" si="13">INDEX($E$6:$E$20,K7)*O7</f>
        <v>450</v>
      </c>
      <c r="Q7" s="39">
        <v>60</v>
      </c>
      <c r="R7" s="26">
        <f t="shared" ref="R7:R20" si="14">INDEX($H$6:$H$20,K7)*Q7</f>
        <v>2520</v>
      </c>
      <c r="S7" s="39">
        <v>90</v>
      </c>
      <c r="T7" s="39">
        <f t="shared" ref="T7:T20" si="15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6">INDEX($C$6:$C$20,V7)*X7</f>
        <v>280</v>
      </c>
      <c r="Z7" s="26">
        <v>60</v>
      </c>
      <c r="AA7" s="26">
        <f t="shared" ref="AA7:AA20" si="17">INDEX($E$6:$E$20,V7)*Z7</f>
        <v>900</v>
      </c>
      <c r="AB7" s="39">
        <v>90</v>
      </c>
      <c r="AC7" s="26">
        <f t="shared" ref="AC7:AC20" si="18">INDEX($H$6:$H$20,V7)*AB7</f>
        <v>3780</v>
      </c>
      <c r="AD7" s="39">
        <v>180</v>
      </c>
      <c r="AE7" s="39">
        <f t="shared" ref="AE7:AE20" si="19">INDEX($H$6:$H$20,V7)*AD7</f>
        <v>7560</v>
      </c>
      <c r="AH7" s="26">
        <v>3</v>
      </c>
      <c r="AI7" s="26">
        <v>1</v>
      </c>
      <c r="AJ7" s="26">
        <v>3</v>
      </c>
      <c r="AK7" s="26">
        <f t="shared" si="0"/>
        <v>5</v>
      </c>
      <c r="AL7" s="26">
        <f t="shared" si="1"/>
        <v>8</v>
      </c>
      <c r="AM7" s="26">
        <f t="shared" si="4"/>
        <v>21</v>
      </c>
      <c r="AP7" s="18">
        <v>3</v>
      </c>
      <c r="AQ7" s="18">
        <v>1</v>
      </c>
      <c r="AR7" s="18">
        <v>3</v>
      </c>
      <c r="AS7" s="15">
        <f t="shared" si="5"/>
        <v>100</v>
      </c>
      <c r="AT7" s="15">
        <f t="shared" si="6"/>
        <v>300</v>
      </c>
      <c r="AU7" s="15">
        <f t="shared" si="7"/>
        <v>1500</v>
      </c>
      <c r="AX7" s="18">
        <v>3</v>
      </c>
      <c r="AY7" s="18">
        <v>1</v>
      </c>
      <c r="AZ7" s="18">
        <v>3</v>
      </c>
      <c r="BA7" s="15">
        <f t="shared" si="8"/>
        <v>200</v>
      </c>
      <c r="BB7" s="15">
        <f t="shared" si="9"/>
        <v>600</v>
      </c>
      <c r="BC7" s="15">
        <f t="shared" si="10"/>
        <v>2250</v>
      </c>
    </row>
    <row r="8" spans="1:55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2"/>
        <v>0.55555555555555558</v>
      </c>
      <c r="G8" s="26">
        <v>7</v>
      </c>
      <c r="H8" s="26">
        <f t="shared" si="3"/>
        <v>70</v>
      </c>
      <c r="I8" s="26">
        <f t="shared" si="11"/>
        <v>3.1111111111111112</v>
      </c>
      <c r="K8" s="26">
        <v>3</v>
      </c>
      <c r="L8" s="39">
        <v>9</v>
      </c>
      <c r="M8" s="26">
        <v>20</v>
      </c>
      <c r="N8" s="26">
        <f t="shared" si="12"/>
        <v>200</v>
      </c>
      <c r="O8" s="26">
        <v>30</v>
      </c>
      <c r="P8" s="26">
        <f t="shared" si="13"/>
        <v>600</v>
      </c>
      <c r="Q8" s="39">
        <v>60</v>
      </c>
      <c r="R8" s="26">
        <f t="shared" si="14"/>
        <v>4200</v>
      </c>
      <c r="S8" s="39">
        <v>120</v>
      </c>
      <c r="T8" s="39">
        <f t="shared" si="15"/>
        <v>8400</v>
      </c>
      <c r="V8" s="26">
        <v>3</v>
      </c>
      <c r="W8" s="26">
        <v>8</v>
      </c>
      <c r="X8" s="26">
        <v>40</v>
      </c>
      <c r="Y8" s="26">
        <f t="shared" si="16"/>
        <v>400</v>
      </c>
      <c r="Z8" s="26">
        <v>60</v>
      </c>
      <c r="AA8" s="26">
        <f t="shared" si="17"/>
        <v>1200</v>
      </c>
      <c r="AB8" s="39">
        <v>90</v>
      </c>
      <c r="AC8" s="26">
        <f t="shared" si="18"/>
        <v>6300</v>
      </c>
      <c r="AD8" s="39">
        <v>240</v>
      </c>
      <c r="AE8" s="39">
        <f t="shared" si="19"/>
        <v>16800</v>
      </c>
      <c r="AH8" s="26">
        <v>4</v>
      </c>
      <c r="AI8" s="26">
        <v>1</v>
      </c>
      <c r="AJ8" s="26">
        <v>4</v>
      </c>
      <c r="AK8" s="26">
        <f t="shared" si="0"/>
        <v>5</v>
      </c>
      <c r="AL8" s="26">
        <f t="shared" si="1"/>
        <v>10</v>
      </c>
      <c r="AM8" s="26">
        <f t="shared" si="4"/>
        <v>25</v>
      </c>
      <c r="AP8" s="18">
        <v>4</v>
      </c>
      <c r="AQ8" s="18">
        <v>1</v>
      </c>
      <c r="AR8" s="18">
        <v>4</v>
      </c>
      <c r="AS8" s="15">
        <f t="shared" si="5"/>
        <v>100</v>
      </c>
      <c r="AT8" s="15">
        <f t="shared" si="6"/>
        <v>300</v>
      </c>
      <c r="AU8" s="15">
        <f t="shared" si="7"/>
        <v>1500</v>
      </c>
      <c r="AX8" s="18">
        <v>4</v>
      </c>
      <c r="AY8" s="18">
        <v>1</v>
      </c>
      <c r="AZ8" s="18">
        <v>4</v>
      </c>
      <c r="BA8" s="15">
        <f t="shared" si="8"/>
        <v>200</v>
      </c>
      <c r="BB8" s="15">
        <f t="shared" si="9"/>
        <v>600</v>
      </c>
      <c r="BC8" s="15">
        <f t="shared" si="10"/>
        <v>2250</v>
      </c>
    </row>
    <row r="9" spans="1:55" ht="16.5" x14ac:dyDescent="0.2">
      <c r="A9" s="26">
        <v>4</v>
      </c>
      <c r="B9" s="26">
        <v>9</v>
      </c>
      <c r="C9" s="26">
        <v>13</v>
      </c>
      <c r="D9" s="26">
        <v>10</v>
      </c>
      <c r="E9" s="39">
        <v>25</v>
      </c>
      <c r="F9" s="26">
        <f t="shared" si="2"/>
        <v>0.55555555555555558</v>
      </c>
      <c r="G9" s="26">
        <v>8</v>
      </c>
      <c r="H9" s="26">
        <f t="shared" si="3"/>
        <v>104</v>
      </c>
      <c r="I9" s="26">
        <f t="shared" si="11"/>
        <v>3.7777777777777777</v>
      </c>
      <c r="K9" s="26">
        <v>4</v>
      </c>
      <c r="L9" s="39">
        <v>9</v>
      </c>
      <c r="M9" s="26">
        <v>20</v>
      </c>
      <c r="N9" s="26">
        <f t="shared" si="12"/>
        <v>260</v>
      </c>
      <c r="O9" s="26">
        <v>30</v>
      </c>
      <c r="P9" s="26">
        <f t="shared" si="13"/>
        <v>750</v>
      </c>
      <c r="Q9" s="39">
        <v>60</v>
      </c>
      <c r="R9" s="26">
        <f t="shared" si="14"/>
        <v>6240</v>
      </c>
      <c r="S9" s="39">
        <v>120</v>
      </c>
      <c r="T9" s="39">
        <f t="shared" si="15"/>
        <v>12480</v>
      </c>
      <c r="V9" s="26">
        <v>4</v>
      </c>
      <c r="W9" s="26">
        <v>7</v>
      </c>
      <c r="X9" s="26">
        <v>40</v>
      </c>
      <c r="Y9" s="26">
        <f t="shared" si="16"/>
        <v>520</v>
      </c>
      <c r="Z9" s="26">
        <v>60</v>
      </c>
      <c r="AA9" s="26">
        <f t="shared" si="17"/>
        <v>1500</v>
      </c>
      <c r="AB9" s="39">
        <v>90</v>
      </c>
      <c r="AC9" s="26">
        <f t="shared" si="18"/>
        <v>9360</v>
      </c>
      <c r="AD9" s="39">
        <v>240</v>
      </c>
      <c r="AE9" s="39">
        <f t="shared" si="19"/>
        <v>24960</v>
      </c>
      <c r="AH9" s="26">
        <v>5</v>
      </c>
      <c r="AI9" s="26">
        <v>2</v>
      </c>
      <c r="AJ9" s="26">
        <v>1</v>
      </c>
      <c r="AK9" s="26">
        <f t="shared" si="0"/>
        <v>7</v>
      </c>
      <c r="AL9" s="26">
        <f t="shared" si="1"/>
        <v>10</v>
      </c>
      <c r="AM9" s="26">
        <f t="shared" si="4"/>
        <v>27</v>
      </c>
      <c r="AP9" s="18">
        <v>5</v>
      </c>
      <c r="AQ9" s="18">
        <v>1</v>
      </c>
      <c r="AR9" s="18">
        <v>5</v>
      </c>
      <c r="AS9" s="15">
        <f t="shared" si="5"/>
        <v>100</v>
      </c>
      <c r="AT9" s="15">
        <f t="shared" si="6"/>
        <v>300</v>
      </c>
      <c r="AU9" s="15">
        <f t="shared" si="7"/>
        <v>1500</v>
      </c>
      <c r="AX9" s="18">
        <v>5</v>
      </c>
      <c r="AY9" s="18">
        <v>1</v>
      </c>
      <c r="AZ9" s="18">
        <v>5</v>
      </c>
      <c r="BA9" s="15">
        <f t="shared" si="8"/>
        <v>200</v>
      </c>
      <c r="BB9" s="15">
        <f t="shared" si="9"/>
        <v>600</v>
      </c>
      <c r="BC9" s="15">
        <f t="shared" si="10"/>
        <v>2250</v>
      </c>
    </row>
    <row r="10" spans="1:55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2"/>
        <v>0.46666666666666667</v>
      </c>
      <c r="G10" s="26">
        <v>9</v>
      </c>
      <c r="H10" s="26">
        <f t="shared" si="3"/>
        <v>144</v>
      </c>
      <c r="I10" s="26">
        <f t="shared" si="11"/>
        <v>2.6666666666666665</v>
      </c>
      <c r="K10" s="26">
        <v>5</v>
      </c>
      <c r="L10" s="26">
        <v>15</v>
      </c>
      <c r="M10" s="26">
        <v>20</v>
      </c>
      <c r="N10" s="26">
        <f t="shared" si="12"/>
        <v>320</v>
      </c>
      <c r="O10" s="26">
        <v>30</v>
      </c>
      <c r="P10" s="26">
        <f t="shared" si="13"/>
        <v>960</v>
      </c>
      <c r="Q10" s="39">
        <v>60</v>
      </c>
      <c r="R10" s="26">
        <f t="shared" si="14"/>
        <v>8640</v>
      </c>
      <c r="S10" s="39">
        <v>150</v>
      </c>
      <c r="T10" s="39">
        <f t="shared" si="15"/>
        <v>21600</v>
      </c>
      <c r="V10" s="26">
        <v>5</v>
      </c>
      <c r="W10" s="26">
        <v>15</v>
      </c>
      <c r="X10" s="26">
        <v>40</v>
      </c>
      <c r="Y10" s="26">
        <f t="shared" si="16"/>
        <v>640</v>
      </c>
      <c r="Z10" s="26">
        <v>60</v>
      </c>
      <c r="AA10" s="26">
        <f t="shared" si="17"/>
        <v>1920</v>
      </c>
      <c r="AB10" s="39">
        <v>90</v>
      </c>
      <c r="AC10" s="26">
        <f t="shared" si="18"/>
        <v>12960</v>
      </c>
      <c r="AD10" s="39">
        <v>300</v>
      </c>
      <c r="AE10" s="39">
        <f t="shared" si="19"/>
        <v>43200</v>
      </c>
      <c r="AH10" s="26">
        <v>6</v>
      </c>
      <c r="AI10" s="26">
        <v>2</v>
      </c>
      <c r="AJ10" s="26">
        <v>2</v>
      </c>
      <c r="AK10" s="26">
        <f t="shared" si="0"/>
        <v>7</v>
      </c>
      <c r="AL10" s="26">
        <f t="shared" si="1"/>
        <v>11</v>
      </c>
      <c r="AM10" s="26">
        <f t="shared" si="4"/>
        <v>29</v>
      </c>
      <c r="AP10" s="18">
        <v>6</v>
      </c>
      <c r="AQ10" s="18">
        <v>1</v>
      </c>
      <c r="AR10" s="18">
        <v>6</v>
      </c>
      <c r="AS10" s="15">
        <f t="shared" si="5"/>
        <v>100</v>
      </c>
      <c r="AT10" s="15">
        <f t="shared" si="6"/>
        <v>300</v>
      </c>
      <c r="AU10" s="15">
        <f t="shared" si="7"/>
        <v>1500</v>
      </c>
      <c r="AX10" s="18">
        <v>6</v>
      </c>
      <c r="AY10" s="18">
        <v>1</v>
      </c>
      <c r="AZ10" s="18">
        <v>6</v>
      </c>
      <c r="BA10" s="15">
        <f t="shared" si="8"/>
        <v>200</v>
      </c>
      <c r="BB10" s="15">
        <f t="shared" si="9"/>
        <v>600</v>
      </c>
      <c r="BC10" s="15">
        <f t="shared" si="10"/>
        <v>2250</v>
      </c>
    </row>
    <row r="11" spans="1:55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2"/>
        <v>0.53333333333333333</v>
      </c>
      <c r="G11" s="26">
        <v>10</v>
      </c>
      <c r="H11" s="26">
        <f t="shared" si="3"/>
        <v>200</v>
      </c>
      <c r="I11" s="26">
        <f t="shared" si="11"/>
        <v>3.7333333333333334</v>
      </c>
      <c r="K11" s="26">
        <v>6</v>
      </c>
      <c r="L11" s="26">
        <v>15</v>
      </c>
      <c r="M11" s="26">
        <v>20</v>
      </c>
      <c r="N11" s="26">
        <f t="shared" si="12"/>
        <v>400</v>
      </c>
      <c r="O11" s="26">
        <v>30</v>
      </c>
      <c r="P11" s="26">
        <f t="shared" si="13"/>
        <v>1200</v>
      </c>
      <c r="Q11" s="39">
        <v>60</v>
      </c>
      <c r="R11" s="26">
        <f t="shared" si="14"/>
        <v>12000</v>
      </c>
      <c r="S11" s="39">
        <v>150</v>
      </c>
      <c r="T11" s="39">
        <f t="shared" si="15"/>
        <v>30000</v>
      </c>
      <c r="V11" s="26">
        <v>6</v>
      </c>
      <c r="W11" s="26">
        <v>15</v>
      </c>
      <c r="X11" s="26">
        <v>40</v>
      </c>
      <c r="Y11" s="26">
        <f t="shared" si="16"/>
        <v>800</v>
      </c>
      <c r="Z11" s="26">
        <v>60</v>
      </c>
      <c r="AA11" s="26">
        <f t="shared" si="17"/>
        <v>2400</v>
      </c>
      <c r="AB11" s="39">
        <v>90</v>
      </c>
      <c r="AC11" s="26">
        <f t="shared" si="18"/>
        <v>18000</v>
      </c>
      <c r="AD11" s="39">
        <v>300</v>
      </c>
      <c r="AE11" s="39">
        <f t="shared" si="19"/>
        <v>60000</v>
      </c>
      <c r="AH11" s="26">
        <v>7</v>
      </c>
      <c r="AI11" s="26">
        <v>2</v>
      </c>
      <c r="AJ11" s="26">
        <v>3</v>
      </c>
      <c r="AK11" s="26">
        <f t="shared" si="0"/>
        <v>7</v>
      </c>
      <c r="AL11" s="26">
        <f t="shared" si="1"/>
        <v>11</v>
      </c>
      <c r="AM11" s="26">
        <f t="shared" si="4"/>
        <v>31</v>
      </c>
      <c r="AP11" s="18">
        <v>7</v>
      </c>
      <c r="AQ11" s="18">
        <v>1</v>
      </c>
      <c r="AR11" s="18">
        <v>7</v>
      </c>
      <c r="AS11" s="15">
        <f t="shared" si="5"/>
        <v>100</v>
      </c>
      <c r="AT11" s="15">
        <f t="shared" si="6"/>
        <v>300</v>
      </c>
      <c r="AU11" s="15">
        <f t="shared" si="7"/>
        <v>1500</v>
      </c>
      <c r="AX11" s="18">
        <v>7</v>
      </c>
      <c r="AY11" s="18">
        <v>2</v>
      </c>
      <c r="AZ11" s="18">
        <v>1</v>
      </c>
      <c r="BA11" s="15">
        <f t="shared" si="8"/>
        <v>280</v>
      </c>
      <c r="BB11" s="15">
        <f t="shared" si="9"/>
        <v>900</v>
      </c>
      <c r="BC11" s="15">
        <f t="shared" si="10"/>
        <v>3780</v>
      </c>
    </row>
    <row r="12" spans="1:55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2"/>
        <v>0.66666666666666663</v>
      </c>
      <c r="G12" s="26">
        <v>11</v>
      </c>
      <c r="H12" s="26">
        <f t="shared" si="3"/>
        <v>275</v>
      </c>
      <c r="I12" s="26">
        <f t="shared" si="11"/>
        <v>5</v>
      </c>
      <c r="K12" s="26">
        <v>7</v>
      </c>
      <c r="L12" s="26">
        <v>15</v>
      </c>
      <c r="M12" s="26">
        <v>20</v>
      </c>
      <c r="N12" s="26">
        <f t="shared" si="12"/>
        <v>500</v>
      </c>
      <c r="O12" s="26">
        <v>30</v>
      </c>
      <c r="P12" s="26">
        <f t="shared" si="13"/>
        <v>1500</v>
      </c>
      <c r="Q12" s="39">
        <v>60</v>
      </c>
      <c r="R12" s="26">
        <f t="shared" si="14"/>
        <v>16500</v>
      </c>
      <c r="S12" s="39">
        <v>150</v>
      </c>
      <c r="T12" s="39">
        <f t="shared" si="15"/>
        <v>41250</v>
      </c>
      <c r="V12" s="26">
        <v>7</v>
      </c>
      <c r="W12" s="26">
        <v>15</v>
      </c>
      <c r="X12" s="26">
        <v>40</v>
      </c>
      <c r="Y12" s="26">
        <f t="shared" si="16"/>
        <v>1000</v>
      </c>
      <c r="Z12" s="26">
        <v>60</v>
      </c>
      <c r="AA12" s="26">
        <f t="shared" si="17"/>
        <v>3000</v>
      </c>
      <c r="AB12" s="39">
        <v>90</v>
      </c>
      <c r="AC12" s="26">
        <f t="shared" si="18"/>
        <v>24750</v>
      </c>
      <c r="AD12" s="39">
        <v>300</v>
      </c>
      <c r="AE12" s="39">
        <f t="shared" si="19"/>
        <v>82500</v>
      </c>
      <c r="AH12" s="26">
        <v>8</v>
      </c>
      <c r="AI12" s="26">
        <v>2</v>
      </c>
      <c r="AJ12" s="26">
        <v>4</v>
      </c>
      <c r="AK12" s="26">
        <f t="shared" si="0"/>
        <v>7</v>
      </c>
      <c r="AL12" s="26">
        <f t="shared" si="1"/>
        <v>12</v>
      </c>
      <c r="AM12" s="26">
        <f t="shared" si="4"/>
        <v>33</v>
      </c>
      <c r="AP12" s="18">
        <v>8</v>
      </c>
      <c r="AQ12" s="18">
        <v>2</v>
      </c>
      <c r="AR12" s="18">
        <v>1</v>
      </c>
      <c r="AS12" s="15">
        <f t="shared" si="5"/>
        <v>140</v>
      </c>
      <c r="AT12" s="15">
        <f t="shared" si="6"/>
        <v>450</v>
      </c>
      <c r="AU12" s="15">
        <f t="shared" si="7"/>
        <v>2520</v>
      </c>
      <c r="AX12" s="18">
        <v>8</v>
      </c>
      <c r="AY12" s="18">
        <v>2</v>
      </c>
      <c r="AZ12" s="18">
        <v>2</v>
      </c>
      <c r="BA12" s="15">
        <f t="shared" si="8"/>
        <v>280</v>
      </c>
      <c r="BB12" s="15">
        <f t="shared" si="9"/>
        <v>900</v>
      </c>
      <c r="BC12" s="15">
        <f t="shared" si="10"/>
        <v>3780</v>
      </c>
    </row>
    <row r="13" spans="1:55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2"/>
        <v>0.66666666666666663</v>
      </c>
      <c r="G13" s="26">
        <v>12</v>
      </c>
      <c r="H13" s="26">
        <f t="shared" si="3"/>
        <v>360</v>
      </c>
      <c r="I13" s="26">
        <f t="shared" si="11"/>
        <v>5.666666666666667</v>
      </c>
      <c r="K13" s="26">
        <v>8</v>
      </c>
      <c r="L13" s="26">
        <v>15</v>
      </c>
      <c r="M13" s="26">
        <v>20</v>
      </c>
      <c r="N13" s="26">
        <f t="shared" si="12"/>
        <v>600</v>
      </c>
      <c r="O13" s="26">
        <v>30</v>
      </c>
      <c r="P13" s="26">
        <f t="shared" si="13"/>
        <v>1800</v>
      </c>
      <c r="Q13" s="39">
        <v>60</v>
      </c>
      <c r="R13" s="26">
        <f t="shared" si="14"/>
        <v>21600</v>
      </c>
      <c r="S13" s="39">
        <v>150</v>
      </c>
      <c r="T13" s="39">
        <f t="shared" si="15"/>
        <v>54000</v>
      </c>
      <c r="V13" s="26">
        <v>8</v>
      </c>
      <c r="W13" s="26">
        <v>15</v>
      </c>
      <c r="X13" s="26">
        <v>40</v>
      </c>
      <c r="Y13" s="26">
        <f t="shared" si="16"/>
        <v>1200</v>
      </c>
      <c r="Z13" s="26">
        <v>60</v>
      </c>
      <c r="AA13" s="26">
        <f t="shared" si="17"/>
        <v>3600</v>
      </c>
      <c r="AB13" s="39">
        <v>90</v>
      </c>
      <c r="AC13" s="26">
        <f t="shared" si="18"/>
        <v>32400</v>
      </c>
      <c r="AD13" s="39">
        <v>300</v>
      </c>
      <c r="AE13" s="39">
        <f t="shared" si="19"/>
        <v>108000</v>
      </c>
      <c r="AH13" s="26">
        <v>9</v>
      </c>
      <c r="AI13" s="26">
        <v>2</v>
      </c>
      <c r="AJ13" s="26">
        <v>5</v>
      </c>
      <c r="AK13" s="26">
        <f t="shared" si="0"/>
        <v>7</v>
      </c>
      <c r="AL13" s="26">
        <f t="shared" si="1"/>
        <v>13</v>
      </c>
      <c r="AM13" s="26">
        <f t="shared" si="4"/>
        <v>35</v>
      </c>
      <c r="AP13" s="18">
        <v>9</v>
      </c>
      <c r="AQ13" s="18">
        <v>2</v>
      </c>
      <c r="AR13" s="18">
        <v>2</v>
      </c>
      <c r="AS13" s="15">
        <f t="shared" si="5"/>
        <v>140</v>
      </c>
      <c r="AT13" s="15">
        <f t="shared" si="6"/>
        <v>450</v>
      </c>
      <c r="AU13" s="15">
        <f t="shared" si="7"/>
        <v>2520</v>
      </c>
      <c r="AX13" s="18">
        <v>9</v>
      </c>
      <c r="AY13" s="18">
        <v>2</v>
      </c>
      <c r="AZ13" s="18">
        <v>3</v>
      </c>
      <c r="BA13" s="15">
        <f t="shared" si="8"/>
        <v>280</v>
      </c>
      <c r="BB13" s="15">
        <f t="shared" si="9"/>
        <v>900</v>
      </c>
      <c r="BC13" s="15">
        <f t="shared" si="10"/>
        <v>3780</v>
      </c>
    </row>
    <row r="14" spans="1:55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2"/>
        <v>0.8</v>
      </c>
      <c r="G14" s="26">
        <v>13</v>
      </c>
      <c r="H14" s="26">
        <f t="shared" si="3"/>
        <v>468</v>
      </c>
      <c r="I14" s="26">
        <f t="shared" si="11"/>
        <v>7.2</v>
      </c>
      <c r="K14" s="26">
        <v>9</v>
      </c>
      <c r="L14" s="26">
        <v>15</v>
      </c>
      <c r="M14" s="26">
        <v>20</v>
      </c>
      <c r="N14" s="26">
        <f t="shared" si="12"/>
        <v>720</v>
      </c>
      <c r="O14" s="26">
        <v>30</v>
      </c>
      <c r="P14" s="26">
        <f t="shared" si="13"/>
        <v>2160</v>
      </c>
      <c r="Q14" s="39">
        <v>60</v>
      </c>
      <c r="R14" s="26">
        <f t="shared" si="14"/>
        <v>28080</v>
      </c>
      <c r="S14" s="39">
        <v>150</v>
      </c>
      <c r="T14" s="39">
        <f t="shared" si="15"/>
        <v>70200</v>
      </c>
      <c r="V14" s="26">
        <v>9</v>
      </c>
      <c r="W14" s="26">
        <v>15</v>
      </c>
      <c r="X14" s="26">
        <v>40</v>
      </c>
      <c r="Y14" s="26">
        <f t="shared" si="16"/>
        <v>1440</v>
      </c>
      <c r="Z14" s="26">
        <v>60</v>
      </c>
      <c r="AA14" s="26">
        <f t="shared" si="17"/>
        <v>4320</v>
      </c>
      <c r="AB14" s="39">
        <v>90</v>
      </c>
      <c r="AC14" s="26">
        <f t="shared" si="18"/>
        <v>42120</v>
      </c>
      <c r="AD14" s="39">
        <v>300</v>
      </c>
      <c r="AE14" s="39">
        <f>INDEX($H$6:$H$20,V14)*AD14</f>
        <v>140400</v>
      </c>
      <c r="AH14" s="26">
        <v>10</v>
      </c>
      <c r="AI14" s="26">
        <v>2</v>
      </c>
      <c r="AJ14" s="26">
        <v>6</v>
      </c>
      <c r="AK14" s="26">
        <f t="shared" si="0"/>
        <v>7</v>
      </c>
      <c r="AL14" s="26">
        <f t="shared" si="1"/>
        <v>13</v>
      </c>
      <c r="AM14" s="26">
        <f t="shared" si="4"/>
        <v>37</v>
      </c>
      <c r="AP14" s="18">
        <v>10</v>
      </c>
      <c r="AQ14" s="18">
        <v>2</v>
      </c>
      <c r="AR14" s="18">
        <v>3</v>
      </c>
      <c r="AS14" s="15">
        <f t="shared" si="5"/>
        <v>140</v>
      </c>
      <c r="AT14" s="15">
        <f t="shared" si="6"/>
        <v>450</v>
      </c>
      <c r="AU14" s="15">
        <f t="shared" si="7"/>
        <v>2520</v>
      </c>
      <c r="AX14" s="18">
        <v>10</v>
      </c>
      <c r="AY14" s="18">
        <v>2</v>
      </c>
      <c r="AZ14" s="18">
        <v>4</v>
      </c>
      <c r="BA14" s="15">
        <f t="shared" si="8"/>
        <v>280</v>
      </c>
      <c r="BB14" s="15">
        <f t="shared" si="9"/>
        <v>900</v>
      </c>
      <c r="BC14" s="15">
        <f t="shared" si="10"/>
        <v>3780</v>
      </c>
    </row>
    <row r="15" spans="1:55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2"/>
        <v>1.2</v>
      </c>
      <c r="G15" s="26">
        <v>14</v>
      </c>
      <c r="H15" s="26">
        <f t="shared" si="3"/>
        <v>616</v>
      </c>
      <c r="I15" s="26">
        <f t="shared" si="11"/>
        <v>9.8666666666666671</v>
      </c>
      <c r="K15" s="26">
        <v>10</v>
      </c>
      <c r="L15" s="26">
        <v>15</v>
      </c>
      <c r="M15" s="26">
        <v>20</v>
      </c>
      <c r="N15" s="26">
        <f t="shared" si="12"/>
        <v>880</v>
      </c>
      <c r="O15" s="26">
        <v>30</v>
      </c>
      <c r="P15" s="26">
        <f t="shared" si="13"/>
        <v>2700</v>
      </c>
      <c r="Q15" s="39">
        <v>60</v>
      </c>
      <c r="R15" s="26">
        <f t="shared" si="14"/>
        <v>36960</v>
      </c>
      <c r="S15" s="39">
        <v>150</v>
      </c>
      <c r="T15" s="39">
        <f t="shared" si="15"/>
        <v>92400</v>
      </c>
      <c r="V15" s="26">
        <v>10</v>
      </c>
      <c r="W15" s="26">
        <v>15</v>
      </c>
      <c r="X15" s="26">
        <v>40</v>
      </c>
      <c r="Y15" s="26">
        <f t="shared" si="16"/>
        <v>1760</v>
      </c>
      <c r="Z15" s="26">
        <v>60</v>
      </c>
      <c r="AA15" s="26">
        <f t="shared" si="17"/>
        <v>5400</v>
      </c>
      <c r="AB15" s="39">
        <v>90</v>
      </c>
      <c r="AC15" s="26">
        <f t="shared" si="18"/>
        <v>55440</v>
      </c>
      <c r="AD15" s="39">
        <v>300</v>
      </c>
      <c r="AE15" s="39">
        <f t="shared" si="19"/>
        <v>184800</v>
      </c>
      <c r="AH15" s="26">
        <v>11</v>
      </c>
      <c r="AI15" s="26">
        <v>2</v>
      </c>
      <c r="AJ15" s="26">
        <v>7</v>
      </c>
      <c r="AK15" s="26">
        <f t="shared" si="0"/>
        <v>7</v>
      </c>
      <c r="AL15" s="26">
        <f t="shared" si="1"/>
        <v>14</v>
      </c>
      <c r="AM15" s="26">
        <f t="shared" si="4"/>
        <v>39</v>
      </c>
      <c r="AP15" s="18">
        <v>11</v>
      </c>
      <c r="AQ15" s="18">
        <v>2</v>
      </c>
      <c r="AR15" s="18">
        <v>4</v>
      </c>
      <c r="AS15" s="15">
        <f t="shared" si="5"/>
        <v>140</v>
      </c>
      <c r="AT15" s="15">
        <f t="shared" si="6"/>
        <v>450</v>
      </c>
      <c r="AU15" s="15">
        <f t="shared" si="7"/>
        <v>2520</v>
      </c>
      <c r="AX15" s="18">
        <v>11</v>
      </c>
      <c r="AY15" s="18">
        <v>2</v>
      </c>
      <c r="AZ15" s="18">
        <v>5</v>
      </c>
      <c r="BA15" s="15">
        <f t="shared" si="8"/>
        <v>280</v>
      </c>
      <c r="BB15" s="15">
        <f t="shared" si="9"/>
        <v>900</v>
      </c>
      <c r="BC15" s="15">
        <f t="shared" si="10"/>
        <v>3780</v>
      </c>
    </row>
    <row r="16" spans="1:55" ht="16.5" x14ac:dyDescent="0.2">
      <c r="A16" s="26">
        <v>11</v>
      </c>
      <c r="B16" s="26">
        <v>15</v>
      </c>
      <c r="C16" s="26">
        <v>53</v>
      </c>
      <c r="D16" s="26">
        <v>10</v>
      </c>
      <c r="E16" s="39">
        <v>110</v>
      </c>
      <c r="F16" s="26">
        <f t="shared" si="2"/>
        <v>1.3333333333333333</v>
      </c>
      <c r="G16" s="26">
        <v>15</v>
      </c>
      <c r="H16" s="26">
        <f t="shared" si="3"/>
        <v>795</v>
      </c>
      <c r="I16" s="26">
        <f t="shared" si="11"/>
        <v>11.933333333333334</v>
      </c>
      <c r="K16" s="26">
        <v>11</v>
      </c>
      <c r="L16" s="26">
        <v>15</v>
      </c>
      <c r="M16" s="26">
        <v>20</v>
      </c>
      <c r="N16" s="26">
        <f t="shared" si="12"/>
        <v>1060</v>
      </c>
      <c r="O16" s="26">
        <v>30</v>
      </c>
      <c r="P16" s="26">
        <f t="shared" si="13"/>
        <v>3300</v>
      </c>
      <c r="Q16" s="39">
        <v>60</v>
      </c>
      <c r="R16" s="26">
        <f t="shared" si="14"/>
        <v>47700</v>
      </c>
      <c r="S16" s="39">
        <v>150</v>
      </c>
      <c r="T16" s="39">
        <f t="shared" si="15"/>
        <v>119250</v>
      </c>
      <c r="V16" s="26">
        <v>11</v>
      </c>
      <c r="W16" s="26">
        <v>15</v>
      </c>
      <c r="X16" s="26">
        <v>40</v>
      </c>
      <c r="Y16" s="26">
        <f t="shared" si="16"/>
        <v>2120</v>
      </c>
      <c r="Z16" s="26">
        <v>60</v>
      </c>
      <c r="AA16" s="26">
        <f t="shared" si="17"/>
        <v>6600</v>
      </c>
      <c r="AB16" s="39">
        <v>90</v>
      </c>
      <c r="AC16" s="26">
        <f t="shared" si="18"/>
        <v>71550</v>
      </c>
      <c r="AD16" s="39">
        <v>300</v>
      </c>
      <c r="AE16" s="39">
        <f t="shared" si="19"/>
        <v>238500</v>
      </c>
      <c r="AH16" s="26">
        <v>12</v>
      </c>
      <c r="AI16" s="26">
        <v>2</v>
      </c>
      <c r="AJ16" s="26">
        <v>8</v>
      </c>
      <c r="AK16" s="26">
        <f t="shared" si="0"/>
        <v>7</v>
      </c>
      <c r="AL16" s="26">
        <f t="shared" si="1"/>
        <v>15</v>
      </c>
      <c r="AM16" s="26">
        <f t="shared" si="4"/>
        <v>42</v>
      </c>
      <c r="AP16" s="18">
        <v>12</v>
      </c>
      <c r="AQ16" s="18">
        <v>2</v>
      </c>
      <c r="AR16" s="18">
        <v>5</v>
      </c>
      <c r="AS16" s="15">
        <f t="shared" si="5"/>
        <v>140</v>
      </c>
      <c r="AT16" s="15">
        <f t="shared" si="6"/>
        <v>450</v>
      </c>
      <c r="AU16" s="15">
        <f t="shared" si="7"/>
        <v>2520</v>
      </c>
      <c r="AX16" s="18">
        <v>12</v>
      </c>
      <c r="AY16" s="18">
        <v>2</v>
      </c>
      <c r="AZ16" s="18">
        <v>6</v>
      </c>
      <c r="BA16" s="15">
        <f t="shared" si="8"/>
        <v>280</v>
      </c>
      <c r="BB16" s="15">
        <f t="shared" si="9"/>
        <v>900</v>
      </c>
      <c r="BC16" s="15">
        <f t="shared" si="10"/>
        <v>3780</v>
      </c>
    </row>
    <row r="17" spans="1:55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2"/>
        <v>1.3333333333333333</v>
      </c>
      <c r="G17" s="26">
        <v>16</v>
      </c>
      <c r="H17" s="26">
        <f t="shared" si="3"/>
        <v>1040</v>
      </c>
      <c r="I17" s="26">
        <f t="shared" si="11"/>
        <v>16.333333333333332</v>
      </c>
      <c r="K17" s="26">
        <v>12</v>
      </c>
      <c r="L17" s="26">
        <v>15</v>
      </c>
      <c r="M17" s="26">
        <v>20</v>
      </c>
      <c r="N17" s="26">
        <f t="shared" si="12"/>
        <v>1300</v>
      </c>
      <c r="O17" s="26">
        <v>30</v>
      </c>
      <c r="P17" s="26">
        <f t="shared" si="13"/>
        <v>3900</v>
      </c>
      <c r="Q17" s="39">
        <v>60</v>
      </c>
      <c r="R17" s="26">
        <f t="shared" si="14"/>
        <v>62400</v>
      </c>
      <c r="S17" s="39">
        <v>150</v>
      </c>
      <c r="T17" s="39">
        <f t="shared" si="15"/>
        <v>156000</v>
      </c>
      <c r="V17" s="26">
        <v>12</v>
      </c>
      <c r="W17" s="26">
        <v>15</v>
      </c>
      <c r="X17" s="26">
        <v>40</v>
      </c>
      <c r="Y17" s="26">
        <f t="shared" si="16"/>
        <v>2600</v>
      </c>
      <c r="Z17" s="26">
        <v>60</v>
      </c>
      <c r="AA17" s="26">
        <f t="shared" si="17"/>
        <v>7800</v>
      </c>
      <c r="AB17" s="39">
        <v>90</v>
      </c>
      <c r="AC17" s="26">
        <f t="shared" si="18"/>
        <v>93600</v>
      </c>
      <c r="AD17" s="39">
        <v>300</v>
      </c>
      <c r="AE17" s="39">
        <f t="shared" si="19"/>
        <v>312000</v>
      </c>
      <c r="AH17" s="26">
        <v>13</v>
      </c>
      <c r="AI17" s="26">
        <v>3</v>
      </c>
      <c r="AJ17" s="26">
        <v>1</v>
      </c>
      <c r="AK17" s="26">
        <f t="shared" si="0"/>
        <v>10</v>
      </c>
      <c r="AL17" s="26">
        <f t="shared" si="1"/>
        <v>15</v>
      </c>
      <c r="AM17" s="26">
        <f t="shared" si="4"/>
        <v>45</v>
      </c>
      <c r="AP17" s="18">
        <v>13</v>
      </c>
      <c r="AQ17" s="18">
        <v>2</v>
      </c>
      <c r="AR17" s="18">
        <v>6</v>
      </c>
      <c r="AS17" s="15">
        <f t="shared" si="5"/>
        <v>140</v>
      </c>
      <c r="AT17" s="15">
        <f t="shared" si="6"/>
        <v>450</v>
      </c>
      <c r="AU17" s="15">
        <f t="shared" si="7"/>
        <v>2520</v>
      </c>
      <c r="AX17" s="18">
        <v>13</v>
      </c>
      <c r="AY17" s="18">
        <v>2</v>
      </c>
      <c r="AZ17" s="18">
        <v>7</v>
      </c>
      <c r="BA17" s="15">
        <f t="shared" si="8"/>
        <v>280</v>
      </c>
      <c r="BB17" s="15">
        <f t="shared" si="9"/>
        <v>900</v>
      </c>
      <c r="BC17" s="15">
        <f t="shared" si="10"/>
        <v>3780</v>
      </c>
    </row>
    <row r="18" spans="1:55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2"/>
        <v>1.3333333333333333</v>
      </c>
      <c r="G18" s="26">
        <v>17</v>
      </c>
      <c r="H18" s="26">
        <f t="shared" si="3"/>
        <v>1360</v>
      </c>
      <c r="I18" s="26">
        <f t="shared" si="11"/>
        <v>21.333333333333332</v>
      </c>
      <c r="K18" s="26">
        <v>13</v>
      </c>
      <c r="L18" s="26">
        <v>15</v>
      </c>
      <c r="M18" s="26">
        <v>20</v>
      </c>
      <c r="N18" s="26">
        <f t="shared" si="12"/>
        <v>1600</v>
      </c>
      <c r="O18" s="26">
        <v>30</v>
      </c>
      <c r="P18" s="26">
        <f t="shared" si="13"/>
        <v>4500</v>
      </c>
      <c r="Q18" s="39">
        <v>60</v>
      </c>
      <c r="R18" s="26">
        <f t="shared" si="14"/>
        <v>81600</v>
      </c>
      <c r="S18" s="39">
        <v>150</v>
      </c>
      <c r="T18" s="39">
        <f t="shared" si="15"/>
        <v>204000</v>
      </c>
      <c r="V18" s="26">
        <v>13</v>
      </c>
      <c r="W18" s="26">
        <v>15</v>
      </c>
      <c r="X18" s="26">
        <v>40</v>
      </c>
      <c r="Y18" s="26">
        <f t="shared" si="16"/>
        <v>3200</v>
      </c>
      <c r="Z18" s="26">
        <v>60</v>
      </c>
      <c r="AA18" s="26">
        <f t="shared" si="17"/>
        <v>9000</v>
      </c>
      <c r="AB18" s="39">
        <v>90</v>
      </c>
      <c r="AC18" s="26">
        <f t="shared" si="18"/>
        <v>122400</v>
      </c>
      <c r="AD18" s="39">
        <v>300</v>
      </c>
      <c r="AE18" s="39">
        <f t="shared" si="19"/>
        <v>408000</v>
      </c>
      <c r="AH18" s="26">
        <v>14</v>
      </c>
      <c r="AI18" s="26">
        <v>3</v>
      </c>
      <c r="AJ18" s="26">
        <v>2</v>
      </c>
      <c r="AK18" s="26">
        <f t="shared" si="0"/>
        <v>10</v>
      </c>
      <c r="AL18" s="26">
        <f t="shared" si="1"/>
        <v>16</v>
      </c>
      <c r="AM18" s="26">
        <f t="shared" si="4"/>
        <v>48</v>
      </c>
      <c r="AP18" s="18">
        <v>14</v>
      </c>
      <c r="AQ18" s="18">
        <v>2</v>
      </c>
      <c r="AR18" s="18">
        <v>7</v>
      </c>
      <c r="AS18" s="15">
        <f t="shared" si="5"/>
        <v>140</v>
      </c>
      <c r="AT18" s="15">
        <f t="shared" si="6"/>
        <v>450</v>
      </c>
      <c r="AU18" s="15">
        <f t="shared" si="7"/>
        <v>2520</v>
      </c>
      <c r="AX18" s="18">
        <v>14</v>
      </c>
      <c r="AY18" s="18">
        <v>2</v>
      </c>
      <c r="AZ18" s="18">
        <v>8</v>
      </c>
      <c r="BA18" s="15">
        <f t="shared" si="8"/>
        <v>280</v>
      </c>
      <c r="BB18" s="15">
        <f t="shared" si="9"/>
        <v>900</v>
      </c>
      <c r="BC18" s="15">
        <f t="shared" si="10"/>
        <v>3780</v>
      </c>
    </row>
    <row r="19" spans="1:55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2"/>
        <v>1.6666666666666667</v>
      </c>
      <c r="G19" s="26">
        <v>18</v>
      </c>
      <c r="H19" s="26">
        <f t="shared" si="3"/>
        <v>1800</v>
      </c>
      <c r="I19" s="26">
        <f t="shared" si="11"/>
        <v>29.333333333333332</v>
      </c>
      <c r="K19" s="26">
        <v>14</v>
      </c>
      <c r="L19" s="26">
        <v>15</v>
      </c>
      <c r="M19" s="26">
        <v>20</v>
      </c>
      <c r="N19" s="26">
        <f t="shared" si="12"/>
        <v>2000</v>
      </c>
      <c r="O19" s="26">
        <v>30</v>
      </c>
      <c r="P19" s="26">
        <f t="shared" si="13"/>
        <v>5250</v>
      </c>
      <c r="Q19" s="39">
        <v>60</v>
      </c>
      <c r="R19" s="26">
        <f t="shared" si="14"/>
        <v>108000</v>
      </c>
      <c r="S19" s="39">
        <v>150</v>
      </c>
      <c r="T19" s="39">
        <f t="shared" si="15"/>
        <v>270000</v>
      </c>
      <c r="V19" s="26">
        <v>14</v>
      </c>
      <c r="W19" s="26">
        <v>15</v>
      </c>
      <c r="X19" s="26">
        <v>40</v>
      </c>
      <c r="Y19" s="26">
        <f t="shared" si="16"/>
        <v>4000</v>
      </c>
      <c r="Z19" s="26">
        <v>60</v>
      </c>
      <c r="AA19" s="26">
        <f t="shared" si="17"/>
        <v>10500</v>
      </c>
      <c r="AB19" s="39">
        <v>90</v>
      </c>
      <c r="AC19" s="26">
        <f t="shared" si="18"/>
        <v>162000</v>
      </c>
      <c r="AD19" s="39">
        <v>300</v>
      </c>
      <c r="AE19" s="39">
        <f t="shared" si="19"/>
        <v>540000</v>
      </c>
      <c r="AH19" s="26">
        <v>15</v>
      </c>
      <c r="AI19" s="26">
        <v>3</v>
      </c>
      <c r="AJ19" s="26">
        <v>3</v>
      </c>
      <c r="AK19" s="26">
        <f t="shared" si="0"/>
        <v>10</v>
      </c>
      <c r="AL19" s="26">
        <f t="shared" si="1"/>
        <v>16</v>
      </c>
      <c r="AM19" s="26">
        <f t="shared" si="4"/>
        <v>51</v>
      </c>
      <c r="AP19" s="18">
        <v>15</v>
      </c>
      <c r="AQ19" s="18">
        <v>2</v>
      </c>
      <c r="AR19" s="18">
        <v>8</v>
      </c>
      <c r="AS19" s="15">
        <f t="shared" si="5"/>
        <v>140</v>
      </c>
      <c r="AT19" s="15">
        <f t="shared" si="6"/>
        <v>450</v>
      </c>
      <c r="AU19" s="15">
        <f t="shared" si="7"/>
        <v>2520</v>
      </c>
      <c r="AX19" s="18">
        <v>15</v>
      </c>
      <c r="AY19" s="18">
        <v>2</v>
      </c>
      <c r="AZ19" s="18">
        <v>9</v>
      </c>
      <c r="BA19" s="15">
        <f t="shared" si="8"/>
        <v>280</v>
      </c>
      <c r="BB19" s="15">
        <f t="shared" si="9"/>
        <v>900</v>
      </c>
      <c r="BC19" s="15">
        <f t="shared" si="10"/>
        <v>3780</v>
      </c>
    </row>
    <row r="20" spans="1:55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2"/>
        <v>1.6666666666666667</v>
      </c>
      <c r="G20" s="26">
        <v>20</v>
      </c>
      <c r="H20" s="26">
        <f t="shared" si="3"/>
        <v>2500</v>
      </c>
      <c r="I20" s="26">
        <f t="shared" si="11"/>
        <v>46.666666666666664</v>
      </c>
      <c r="K20" s="26">
        <v>15</v>
      </c>
      <c r="L20" s="26">
        <v>15</v>
      </c>
      <c r="M20" s="26">
        <v>20</v>
      </c>
      <c r="N20" s="26">
        <f t="shared" si="12"/>
        <v>2500</v>
      </c>
      <c r="O20" s="26">
        <v>30</v>
      </c>
      <c r="P20" s="26">
        <f t="shared" si="13"/>
        <v>6000</v>
      </c>
      <c r="Q20" s="39">
        <v>60</v>
      </c>
      <c r="R20" s="26">
        <f t="shared" si="14"/>
        <v>150000</v>
      </c>
      <c r="S20" s="39">
        <v>150</v>
      </c>
      <c r="T20" s="39">
        <f t="shared" si="15"/>
        <v>375000</v>
      </c>
      <c r="V20" s="26">
        <v>15</v>
      </c>
      <c r="W20" s="26">
        <v>15</v>
      </c>
      <c r="X20" s="26">
        <v>40</v>
      </c>
      <c r="Y20" s="26">
        <f t="shared" si="16"/>
        <v>5000</v>
      </c>
      <c r="Z20" s="26">
        <v>60</v>
      </c>
      <c r="AA20" s="26">
        <f t="shared" si="17"/>
        <v>12000</v>
      </c>
      <c r="AB20" s="39">
        <v>90</v>
      </c>
      <c r="AC20" s="26">
        <f t="shared" si="18"/>
        <v>225000</v>
      </c>
      <c r="AD20" s="39">
        <v>300</v>
      </c>
      <c r="AE20" s="39">
        <f t="shared" si="19"/>
        <v>750000</v>
      </c>
      <c r="AH20" s="26">
        <v>16</v>
      </c>
      <c r="AI20" s="26">
        <v>3</v>
      </c>
      <c r="AJ20" s="26">
        <v>4</v>
      </c>
      <c r="AK20" s="26">
        <f t="shared" si="0"/>
        <v>10</v>
      </c>
      <c r="AL20" s="26">
        <f t="shared" si="1"/>
        <v>17</v>
      </c>
      <c r="AM20" s="26">
        <f t="shared" si="4"/>
        <v>54</v>
      </c>
      <c r="AP20" s="18">
        <v>16</v>
      </c>
      <c r="AQ20" s="18">
        <v>2</v>
      </c>
      <c r="AR20" s="18">
        <v>9</v>
      </c>
      <c r="AS20" s="15">
        <f t="shared" si="5"/>
        <v>140</v>
      </c>
      <c r="AT20" s="15">
        <f t="shared" si="6"/>
        <v>450</v>
      </c>
      <c r="AU20" s="15">
        <f t="shared" si="7"/>
        <v>2520</v>
      </c>
      <c r="AX20" s="18">
        <v>16</v>
      </c>
      <c r="AY20" s="18">
        <v>3</v>
      </c>
      <c r="AZ20" s="18">
        <v>1</v>
      </c>
      <c r="BA20" s="15">
        <f t="shared" si="8"/>
        <v>400</v>
      </c>
      <c r="BB20" s="15">
        <f t="shared" si="9"/>
        <v>1200</v>
      </c>
      <c r="BC20" s="15">
        <f t="shared" si="10"/>
        <v>6300</v>
      </c>
    </row>
    <row r="21" spans="1:55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H21" s="26">
        <v>17</v>
      </c>
      <c r="AI21" s="26">
        <v>3</v>
      </c>
      <c r="AJ21" s="26">
        <v>5</v>
      </c>
      <c r="AK21" s="26">
        <f t="shared" si="0"/>
        <v>10</v>
      </c>
      <c r="AL21" s="26">
        <f t="shared" si="1"/>
        <v>17</v>
      </c>
      <c r="AM21" s="26">
        <f t="shared" si="4"/>
        <v>57</v>
      </c>
      <c r="AP21" s="18">
        <v>17</v>
      </c>
      <c r="AQ21" s="18">
        <v>3</v>
      </c>
      <c r="AR21" s="18">
        <v>1</v>
      </c>
      <c r="AS21" s="15">
        <f t="shared" si="5"/>
        <v>200</v>
      </c>
      <c r="AT21" s="15">
        <f t="shared" si="6"/>
        <v>600</v>
      </c>
      <c r="AU21" s="15">
        <f t="shared" si="7"/>
        <v>4200</v>
      </c>
      <c r="AX21" s="18">
        <v>17</v>
      </c>
      <c r="AY21" s="18">
        <v>3</v>
      </c>
      <c r="AZ21" s="18">
        <v>2</v>
      </c>
      <c r="BA21" s="15">
        <f t="shared" si="8"/>
        <v>400</v>
      </c>
      <c r="BB21" s="15">
        <f t="shared" si="9"/>
        <v>1200</v>
      </c>
      <c r="BC21" s="15">
        <f t="shared" si="10"/>
        <v>6300</v>
      </c>
    </row>
    <row r="22" spans="1:55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M22" s="58">
        <v>1.5</v>
      </c>
      <c r="N22" s="58">
        <v>1.5</v>
      </c>
      <c r="AH22" s="26">
        <v>18</v>
      </c>
      <c r="AI22" s="26">
        <v>3</v>
      </c>
      <c r="AJ22" s="26">
        <v>6</v>
      </c>
      <c r="AK22" s="26">
        <f t="shared" si="0"/>
        <v>10</v>
      </c>
      <c r="AL22" s="26">
        <f t="shared" si="1"/>
        <v>18</v>
      </c>
      <c r="AM22" s="26">
        <f t="shared" si="4"/>
        <v>60</v>
      </c>
      <c r="AP22" s="18">
        <v>18</v>
      </c>
      <c r="AQ22" s="18">
        <v>3</v>
      </c>
      <c r="AR22" s="18">
        <v>2</v>
      </c>
      <c r="AS22" s="15">
        <f t="shared" si="5"/>
        <v>200</v>
      </c>
      <c r="AT22" s="15">
        <f t="shared" si="6"/>
        <v>600</v>
      </c>
      <c r="AU22" s="15">
        <f t="shared" si="7"/>
        <v>4200</v>
      </c>
      <c r="AX22" s="18">
        <v>18</v>
      </c>
      <c r="AY22" s="18">
        <v>3</v>
      </c>
      <c r="AZ22" s="18">
        <v>3</v>
      </c>
      <c r="BA22" s="15">
        <f t="shared" si="8"/>
        <v>400</v>
      </c>
      <c r="BB22" s="15">
        <f t="shared" si="9"/>
        <v>1200</v>
      </c>
      <c r="BC22" s="15">
        <f t="shared" si="10"/>
        <v>6300</v>
      </c>
    </row>
    <row r="23" spans="1:55" ht="20.25" x14ac:dyDescent="0.2">
      <c r="A23" s="84" t="s">
        <v>559</v>
      </c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57"/>
      <c r="M23" s="84" t="s">
        <v>560</v>
      </c>
      <c r="N23" s="84"/>
      <c r="O23" s="84"/>
      <c r="P23" s="84"/>
      <c r="Q23" s="84"/>
      <c r="R23" s="84"/>
      <c r="S23" s="84"/>
      <c r="T23" s="84"/>
      <c r="U23" s="84"/>
      <c r="AH23" s="26">
        <v>19</v>
      </c>
      <c r="AI23" s="26">
        <v>3</v>
      </c>
      <c r="AJ23" s="26">
        <v>7</v>
      </c>
      <c r="AK23" s="26">
        <f t="shared" si="0"/>
        <v>10</v>
      </c>
      <c r="AL23" s="26">
        <f t="shared" si="1"/>
        <v>18</v>
      </c>
      <c r="AM23" s="26">
        <f t="shared" si="4"/>
        <v>63</v>
      </c>
      <c r="AP23" s="18">
        <v>19</v>
      </c>
      <c r="AQ23" s="18">
        <v>3</v>
      </c>
      <c r="AR23" s="18">
        <v>3</v>
      </c>
      <c r="AS23" s="15">
        <f t="shared" si="5"/>
        <v>200</v>
      </c>
      <c r="AT23" s="15">
        <f t="shared" si="6"/>
        <v>600</v>
      </c>
      <c r="AU23" s="15">
        <f t="shared" si="7"/>
        <v>4200</v>
      </c>
      <c r="AX23" s="18">
        <v>19</v>
      </c>
      <c r="AY23" s="18">
        <v>3</v>
      </c>
      <c r="AZ23" s="18">
        <v>4</v>
      </c>
      <c r="BA23" s="15">
        <f t="shared" si="8"/>
        <v>400</v>
      </c>
      <c r="BB23" s="15">
        <f t="shared" si="9"/>
        <v>1200</v>
      </c>
      <c r="BC23" s="15">
        <f t="shared" si="10"/>
        <v>6300</v>
      </c>
    </row>
    <row r="24" spans="1:55" ht="17.25" x14ac:dyDescent="0.2">
      <c r="A24" s="12" t="s">
        <v>541</v>
      </c>
      <c r="B24" s="12" t="s">
        <v>542</v>
      </c>
      <c r="C24" s="12" t="s">
        <v>543</v>
      </c>
      <c r="D24" s="36" t="s">
        <v>550</v>
      </c>
      <c r="E24" s="36" t="s">
        <v>551</v>
      </c>
      <c r="F24" s="12" t="s">
        <v>544</v>
      </c>
      <c r="G24" s="12" t="s">
        <v>545</v>
      </c>
      <c r="H24" s="12" t="s">
        <v>546</v>
      </c>
      <c r="I24" s="12" t="s">
        <v>547</v>
      </c>
      <c r="J24" s="12" t="s">
        <v>548</v>
      </c>
      <c r="K24" s="12" t="s">
        <v>549</v>
      </c>
      <c r="L24" s="57"/>
      <c r="M24" s="59" t="s">
        <v>561</v>
      </c>
      <c r="N24" s="12" t="s">
        <v>550</v>
      </c>
      <c r="O24" s="12" t="s">
        <v>551</v>
      </c>
      <c r="P24" s="12" t="s">
        <v>544</v>
      </c>
      <c r="Q24" s="12" t="s">
        <v>545</v>
      </c>
      <c r="R24" s="12" t="s">
        <v>546</v>
      </c>
      <c r="S24" s="12" t="s">
        <v>547</v>
      </c>
      <c r="T24" s="12" t="s">
        <v>548</v>
      </c>
      <c r="U24" s="12" t="s">
        <v>549</v>
      </c>
      <c r="AH24" s="26">
        <v>20</v>
      </c>
      <c r="AI24" s="26">
        <v>3</v>
      </c>
      <c r="AJ24" s="26">
        <v>8</v>
      </c>
      <c r="AK24" s="26">
        <f t="shared" si="0"/>
        <v>10</v>
      </c>
      <c r="AL24" s="26">
        <f t="shared" si="1"/>
        <v>19</v>
      </c>
      <c r="AM24" s="26">
        <f t="shared" si="4"/>
        <v>66</v>
      </c>
      <c r="AP24" s="18">
        <v>20</v>
      </c>
      <c r="AQ24" s="18">
        <v>3</v>
      </c>
      <c r="AR24" s="18">
        <v>4</v>
      </c>
      <c r="AS24" s="15">
        <f t="shared" si="5"/>
        <v>200</v>
      </c>
      <c r="AT24" s="15">
        <f t="shared" si="6"/>
        <v>600</v>
      </c>
      <c r="AU24" s="15">
        <f t="shared" si="7"/>
        <v>4200</v>
      </c>
      <c r="AX24" s="18">
        <v>20</v>
      </c>
      <c r="AY24" s="18">
        <v>3</v>
      </c>
      <c r="AZ24" s="18">
        <v>5</v>
      </c>
      <c r="BA24" s="15">
        <f t="shared" si="8"/>
        <v>400</v>
      </c>
      <c r="BB24" s="15">
        <f t="shared" si="9"/>
        <v>1200</v>
      </c>
      <c r="BC24" s="15">
        <f t="shared" si="10"/>
        <v>6300</v>
      </c>
    </row>
    <row r="25" spans="1:55" ht="16.5" x14ac:dyDescent="0.2">
      <c r="A25" s="56">
        <v>1</v>
      </c>
      <c r="B25" s="56">
        <f>INDEX($A$6:$A$20,INT((A25-1)/3)+1)</f>
        <v>1</v>
      </c>
      <c r="C25" s="56">
        <f>MOD(A25-1,3)+1</f>
        <v>1</v>
      </c>
      <c r="D25" s="56">
        <v>60</v>
      </c>
      <c r="E25" s="56">
        <v>90</v>
      </c>
      <c r="F25" s="56" t="s">
        <v>552</v>
      </c>
      <c r="G25" s="56">
        <f t="shared" ref="G25:G69" si="20">INDEX($E$5:$E$20,B25)*D25</f>
        <v>240</v>
      </c>
      <c r="H25" s="56" t="s">
        <v>553</v>
      </c>
      <c r="I25" s="56">
        <f>INT(INDEX(挂机升级突破!$F$8:$F$22,章节关卡!$B25)*章节关卡!E25/6)</f>
        <v>3</v>
      </c>
      <c r="J25" s="56" t="s">
        <v>558</v>
      </c>
      <c r="K25" s="56">
        <v>20</v>
      </c>
      <c r="L25" s="16"/>
      <c r="M25" s="56">
        <f t="shared" ref="M25:M66" si="21">B25+1</f>
        <v>2</v>
      </c>
      <c r="N25" s="56">
        <f t="shared" ref="N25:N66" si="22">D25*M$22</f>
        <v>90</v>
      </c>
      <c r="O25" s="56">
        <f t="shared" ref="O25:O66" si="23">E25*N$22</f>
        <v>135</v>
      </c>
      <c r="P25" s="56" t="s">
        <v>552</v>
      </c>
      <c r="Q25" s="56">
        <f t="shared" ref="Q25:Q69" si="24">INDEX($E$5:$E$20,B25)*N25</f>
        <v>360</v>
      </c>
      <c r="R25" s="56" t="s">
        <v>553</v>
      </c>
      <c r="S25" s="56">
        <f>INT(INDEX(挂机升级突破!$F$8:$F$22,章节关卡!$B25)*章节关卡!O25/6)</f>
        <v>5</v>
      </c>
      <c r="T25" s="56" t="s">
        <v>562</v>
      </c>
      <c r="U25" s="56">
        <v>50</v>
      </c>
      <c r="V25" s="16"/>
      <c r="W25" s="16"/>
      <c r="AH25" s="26">
        <v>21</v>
      </c>
      <c r="AI25" s="26">
        <v>3</v>
      </c>
      <c r="AJ25" s="26">
        <v>9</v>
      </c>
      <c r="AK25" s="26">
        <f t="shared" si="0"/>
        <v>10</v>
      </c>
      <c r="AL25" s="26">
        <f t="shared" si="1"/>
        <v>20</v>
      </c>
      <c r="AM25" s="26">
        <f t="shared" si="4"/>
        <v>70</v>
      </c>
      <c r="AP25" s="18">
        <v>21</v>
      </c>
      <c r="AQ25" s="18">
        <v>3</v>
      </c>
      <c r="AR25" s="18">
        <v>5</v>
      </c>
      <c r="AS25" s="15">
        <f t="shared" si="5"/>
        <v>200</v>
      </c>
      <c r="AT25" s="15">
        <f t="shared" si="6"/>
        <v>600</v>
      </c>
      <c r="AU25" s="15">
        <f t="shared" si="7"/>
        <v>4200</v>
      </c>
      <c r="AX25" s="18">
        <v>21</v>
      </c>
      <c r="AY25" s="18">
        <v>3</v>
      </c>
      <c r="AZ25" s="18">
        <v>6</v>
      </c>
      <c r="BA25" s="15">
        <f t="shared" si="8"/>
        <v>400</v>
      </c>
      <c r="BB25" s="15">
        <f t="shared" si="9"/>
        <v>1200</v>
      </c>
      <c r="BC25" s="15">
        <f t="shared" si="10"/>
        <v>6300</v>
      </c>
    </row>
    <row r="26" spans="1:55" ht="16.5" x14ac:dyDescent="0.2">
      <c r="A26" s="56">
        <v>2</v>
      </c>
      <c r="B26" s="56">
        <f t="shared" ref="B26:B69" si="25">INDEX($A$6:$A$20,INT((A26-1)/3)+1)</f>
        <v>1</v>
      </c>
      <c r="C26" s="56">
        <f t="shared" ref="C26:C69" si="26">MOD(A26-1,3)+1</f>
        <v>2</v>
      </c>
      <c r="D26" s="56">
        <v>120</v>
      </c>
      <c r="E26" s="56">
        <v>180</v>
      </c>
      <c r="F26" s="56" t="s">
        <v>552</v>
      </c>
      <c r="G26" s="56">
        <f t="shared" si="20"/>
        <v>480</v>
      </c>
      <c r="H26" s="56" t="s">
        <v>553</v>
      </c>
      <c r="I26" s="56">
        <f>INT(INDEX(挂机升级突破!$F$8:$F$22,章节关卡!$B26)*章节关卡!E26/6)</f>
        <v>7</v>
      </c>
      <c r="J26" s="56" t="s">
        <v>558</v>
      </c>
      <c r="K26" s="56">
        <v>30</v>
      </c>
      <c r="L26" s="16"/>
      <c r="M26" s="56">
        <f t="shared" si="21"/>
        <v>2</v>
      </c>
      <c r="N26" s="56">
        <f t="shared" si="22"/>
        <v>180</v>
      </c>
      <c r="O26" s="56">
        <f t="shared" si="23"/>
        <v>270</v>
      </c>
      <c r="P26" s="56" t="s">
        <v>552</v>
      </c>
      <c r="Q26" s="56">
        <f t="shared" si="24"/>
        <v>720</v>
      </c>
      <c r="R26" s="56" t="s">
        <v>553</v>
      </c>
      <c r="S26" s="56">
        <f>INT(INDEX(挂机升级突破!$F$8:$F$22,章节关卡!$B26)*章节关卡!O26/6)</f>
        <v>11</v>
      </c>
      <c r="T26" s="56" t="s">
        <v>563</v>
      </c>
      <c r="U26" s="56">
        <v>1</v>
      </c>
      <c r="V26" s="16"/>
      <c r="W26" s="16"/>
      <c r="AH26" s="26">
        <v>22</v>
      </c>
      <c r="AI26" s="26">
        <v>3</v>
      </c>
      <c r="AJ26" s="26">
        <v>10</v>
      </c>
      <c r="AK26" s="26">
        <f t="shared" si="0"/>
        <v>10</v>
      </c>
      <c r="AL26" s="26">
        <f t="shared" si="1"/>
        <v>20</v>
      </c>
      <c r="AM26" s="26">
        <f t="shared" si="4"/>
        <v>73</v>
      </c>
      <c r="AP26" s="18">
        <v>22</v>
      </c>
      <c r="AQ26" s="18">
        <v>3</v>
      </c>
      <c r="AR26" s="18">
        <v>6</v>
      </c>
      <c r="AS26" s="15">
        <f t="shared" si="5"/>
        <v>200</v>
      </c>
      <c r="AT26" s="15">
        <f t="shared" si="6"/>
        <v>600</v>
      </c>
      <c r="AU26" s="15">
        <f t="shared" si="7"/>
        <v>4200</v>
      </c>
      <c r="AX26" s="18">
        <v>22</v>
      </c>
      <c r="AY26" s="18">
        <v>3</v>
      </c>
      <c r="AZ26" s="18">
        <v>7</v>
      </c>
      <c r="BA26" s="15">
        <f t="shared" si="8"/>
        <v>400</v>
      </c>
      <c r="BB26" s="15">
        <f t="shared" si="9"/>
        <v>1200</v>
      </c>
      <c r="BC26" s="15">
        <f t="shared" si="10"/>
        <v>6300</v>
      </c>
    </row>
    <row r="27" spans="1:55" ht="16.5" x14ac:dyDescent="0.2">
      <c r="A27" s="56">
        <v>3</v>
      </c>
      <c r="B27" s="56">
        <f t="shared" si="25"/>
        <v>1</v>
      </c>
      <c r="C27" s="56">
        <f t="shared" si="26"/>
        <v>3</v>
      </c>
      <c r="D27" s="56">
        <v>180</v>
      </c>
      <c r="E27" s="56">
        <v>270</v>
      </c>
      <c r="F27" s="56" t="s">
        <v>552</v>
      </c>
      <c r="G27" s="56">
        <f t="shared" si="20"/>
        <v>720</v>
      </c>
      <c r="H27" s="56" t="s">
        <v>553</v>
      </c>
      <c r="I27" s="56">
        <f>INT(INDEX(挂机升级突破!$F$8:$F$22,章节关卡!$B27)*章节关卡!E27/6)</f>
        <v>11</v>
      </c>
      <c r="J27" s="56" t="s">
        <v>563</v>
      </c>
      <c r="K27" s="56">
        <v>1</v>
      </c>
      <c r="L27" s="16"/>
      <c r="M27" s="56">
        <f t="shared" si="21"/>
        <v>2</v>
      </c>
      <c r="N27" s="56">
        <f t="shared" si="22"/>
        <v>270</v>
      </c>
      <c r="O27" s="56">
        <f t="shared" si="23"/>
        <v>405</v>
      </c>
      <c r="P27" s="56" t="s">
        <v>552</v>
      </c>
      <c r="Q27" s="56">
        <f t="shared" si="24"/>
        <v>1080</v>
      </c>
      <c r="R27" s="56" t="s">
        <v>553</v>
      </c>
      <c r="S27" s="56">
        <f>INT(INDEX(挂机升级突破!$F$8:$F$22,章节关卡!$B27)*章节关卡!O27/6)</f>
        <v>16</v>
      </c>
      <c r="T27" s="56" t="s">
        <v>563</v>
      </c>
      <c r="U27" s="56">
        <v>1</v>
      </c>
      <c r="V27" s="16"/>
      <c r="W27" s="16"/>
      <c r="AH27" s="26">
        <v>23</v>
      </c>
      <c r="AI27" s="26">
        <v>3</v>
      </c>
      <c r="AJ27" s="26">
        <v>11</v>
      </c>
      <c r="AK27" s="26">
        <f t="shared" si="0"/>
        <v>10</v>
      </c>
      <c r="AL27" s="26">
        <f t="shared" si="1"/>
        <v>21</v>
      </c>
      <c r="AM27" s="26">
        <f t="shared" si="4"/>
        <v>76</v>
      </c>
      <c r="AP27" s="18">
        <v>23</v>
      </c>
      <c r="AQ27" s="18">
        <v>3</v>
      </c>
      <c r="AR27" s="18">
        <v>7</v>
      </c>
      <c r="AS27" s="15">
        <f t="shared" si="5"/>
        <v>200</v>
      </c>
      <c r="AT27" s="15">
        <f t="shared" si="6"/>
        <v>600</v>
      </c>
      <c r="AU27" s="15">
        <f t="shared" si="7"/>
        <v>4200</v>
      </c>
      <c r="AX27" s="18">
        <v>23</v>
      </c>
      <c r="AY27" s="18">
        <v>4</v>
      </c>
      <c r="AZ27" s="18">
        <v>1</v>
      </c>
      <c r="BA27" s="15">
        <f t="shared" si="8"/>
        <v>520</v>
      </c>
      <c r="BB27" s="15">
        <f t="shared" si="9"/>
        <v>1500</v>
      </c>
      <c r="BC27" s="15">
        <f t="shared" si="10"/>
        <v>9360</v>
      </c>
    </row>
    <row r="28" spans="1:55" ht="16.5" x14ac:dyDescent="0.2">
      <c r="A28" s="56">
        <v>4</v>
      </c>
      <c r="B28" s="56">
        <f t="shared" si="25"/>
        <v>2</v>
      </c>
      <c r="C28" s="56">
        <f t="shared" si="26"/>
        <v>1</v>
      </c>
      <c r="D28" s="56">
        <v>60</v>
      </c>
      <c r="E28" s="56">
        <v>90</v>
      </c>
      <c r="F28" s="56" t="s">
        <v>552</v>
      </c>
      <c r="G28" s="56">
        <f t="shared" si="20"/>
        <v>600</v>
      </c>
      <c r="H28" s="56" t="s">
        <v>553</v>
      </c>
      <c r="I28" s="56">
        <f>INT(INDEX(挂机升级突破!$F$8:$F$22,章节关卡!$B28)*章节关卡!E28/6)</f>
        <v>7</v>
      </c>
      <c r="J28" s="56" t="s">
        <v>558</v>
      </c>
      <c r="K28" s="56">
        <v>20</v>
      </c>
      <c r="L28" s="16"/>
      <c r="M28" s="56">
        <f t="shared" si="21"/>
        <v>3</v>
      </c>
      <c r="N28" s="56">
        <f t="shared" si="22"/>
        <v>90</v>
      </c>
      <c r="O28" s="56">
        <f t="shared" si="23"/>
        <v>135</v>
      </c>
      <c r="P28" s="56" t="s">
        <v>552</v>
      </c>
      <c r="Q28" s="56">
        <f t="shared" si="24"/>
        <v>900</v>
      </c>
      <c r="R28" s="56" t="s">
        <v>553</v>
      </c>
      <c r="S28" s="56">
        <f>INT(INDEX(挂机升级突破!$F$8:$F$22,章节关卡!$B28)*章节关卡!O28/6)</f>
        <v>11</v>
      </c>
      <c r="T28" s="56" t="s">
        <v>562</v>
      </c>
      <c r="U28" s="56">
        <v>50</v>
      </c>
      <c r="AH28" s="26">
        <v>24</v>
      </c>
      <c r="AI28" s="26">
        <v>3</v>
      </c>
      <c r="AJ28" s="26">
        <v>12</v>
      </c>
      <c r="AK28" s="26">
        <f t="shared" si="0"/>
        <v>10</v>
      </c>
      <c r="AL28" s="26">
        <f t="shared" si="1"/>
        <v>21</v>
      </c>
      <c r="AM28" s="26">
        <f t="shared" si="4"/>
        <v>79</v>
      </c>
      <c r="AP28" s="18">
        <v>24</v>
      </c>
      <c r="AQ28" s="18">
        <v>4</v>
      </c>
      <c r="AR28" s="18">
        <v>1</v>
      </c>
      <c r="AS28" s="15">
        <f t="shared" si="5"/>
        <v>260</v>
      </c>
      <c r="AT28" s="15">
        <f t="shared" si="6"/>
        <v>750</v>
      </c>
      <c r="AU28" s="15">
        <f t="shared" si="7"/>
        <v>6240</v>
      </c>
      <c r="AX28" s="18">
        <v>24</v>
      </c>
      <c r="AY28" s="26">
        <v>4</v>
      </c>
      <c r="AZ28" s="18">
        <v>2</v>
      </c>
      <c r="BA28" s="15">
        <f t="shared" si="8"/>
        <v>520</v>
      </c>
      <c r="BB28" s="15">
        <f t="shared" si="9"/>
        <v>1500</v>
      </c>
      <c r="BC28" s="15">
        <f t="shared" si="10"/>
        <v>9360</v>
      </c>
    </row>
    <row r="29" spans="1:55" ht="16.5" x14ac:dyDescent="0.2">
      <c r="A29" s="56">
        <v>5</v>
      </c>
      <c r="B29" s="56">
        <f t="shared" si="25"/>
        <v>2</v>
      </c>
      <c r="C29" s="56">
        <f t="shared" si="26"/>
        <v>2</v>
      </c>
      <c r="D29" s="56">
        <v>120</v>
      </c>
      <c r="E29" s="56">
        <v>180</v>
      </c>
      <c r="F29" s="56" t="s">
        <v>552</v>
      </c>
      <c r="G29" s="56">
        <f t="shared" si="20"/>
        <v>1200</v>
      </c>
      <c r="H29" s="56" t="s">
        <v>553</v>
      </c>
      <c r="I29" s="56">
        <f>INT(INDEX(挂机升级突破!$F$8:$F$22,章节关卡!$B29)*章节关卡!E29/6)</f>
        <v>15</v>
      </c>
      <c r="J29" s="56" t="s">
        <v>558</v>
      </c>
      <c r="K29" s="56">
        <v>30</v>
      </c>
      <c r="L29" s="16"/>
      <c r="M29" s="56">
        <f t="shared" si="21"/>
        <v>3</v>
      </c>
      <c r="N29" s="56">
        <f t="shared" si="22"/>
        <v>180</v>
      </c>
      <c r="O29" s="56">
        <f t="shared" si="23"/>
        <v>270</v>
      </c>
      <c r="P29" s="56" t="s">
        <v>552</v>
      </c>
      <c r="Q29" s="56">
        <f t="shared" si="24"/>
        <v>1800</v>
      </c>
      <c r="R29" s="56" t="s">
        <v>553</v>
      </c>
      <c r="S29" s="56">
        <f>INT(INDEX(挂机升级突破!$F$8:$F$22,章节关卡!$B29)*章节关卡!O29/6)</f>
        <v>22</v>
      </c>
      <c r="T29" s="56" t="s">
        <v>563</v>
      </c>
      <c r="U29" s="56">
        <v>1</v>
      </c>
      <c r="AH29" s="26">
        <v>25</v>
      </c>
      <c r="AI29" s="26">
        <v>3</v>
      </c>
      <c r="AJ29" s="26">
        <v>13</v>
      </c>
      <c r="AK29" s="26">
        <f t="shared" si="0"/>
        <v>10</v>
      </c>
      <c r="AL29" s="26">
        <f t="shared" si="1"/>
        <v>22</v>
      </c>
      <c r="AM29" s="26">
        <f t="shared" si="4"/>
        <v>82</v>
      </c>
      <c r="AP29" s="18">
        <v>25</v>
      </c>
      <c r="AQ29" s="26">
        <v>4</v>
      </c>
      <c r="AR29" s="18">
        <v>2</v>
      </c>
      <c r="AS29" s="15">
        <f t="shared" si="5"/>
        <v>260</v>
      </c>
      <c r="AT29" s="15">
        <f t="shared" si="6"/>
        <v>750</v>
      </c>
      <c r="AU29" s="15">
        <f t="shared" si="7"/>
        <v>6240</v>
      </c>
      <c r="AX29" s="18">
        <v>25</v>
      </c>
      <c r="AY29" s="26">
        <v>4</v>
      </c>
      <c r="AZ29" s="26">
        <v>3</v>
      </c>
      <c r="BA29" s="15">
        <f t="shared" si="8"/>
        <v>520</v>
      </c>
      <c r="BB29" s="15">
        <f t="shared" si="9"/>
        <v>1500</v>
      </c>
      <c r="BC29" s="15">
        <f t="shared" si="10"/>
        <v>9360</v>
      </c>
    </row>
    <row r="30" spans="1:55" ht="16.5" x14ac:dyDescent="0.2">
      <c r="A30" s="56">
        <v>6</v>
      </c>
      <c r="B30" s="56">
        <f t="shared" si="25"/>
        <v>2</v>
      </c>
      <c r="C30" s="56">
        <f t="shared" si="26"/>
        <v>3</v>
      </c>
      <c r="D30" s="56">
        <v>180</v>
      </c>
      <c r="E30" s="56">
        <v>270</v>
      </c>
      <c r="F30" s="56" t="s">
        <v>552</v>
      </c>
      <c r="G30" s="56">
        <f t="shared" si="20"/>
        <v>1800</v>
      </c>
      <c r="H30" s="56" t="s">
        <v>553</v>
      </c>
      <c r="I30" s="56">
        <f>INT(INDEX(挂机升级突破!$F$8:$F$22,章节关卡!$B30)*章节关卡!E30/6)</f>
        <v>22</v>
      </c>
      <c r="J30" s="56" t="s">
        <v>563</v>
      </c>
      <c r="K30" s="56">
        <v>1</v>
      </c>
      <c r="L30" s="16"/>
      <c r="M30" s="56">
        <f t="shared" si="21"/>
        <v>3</v>
      </c>
      <c r="N30" s="56">
        <f t="shared" si="22"/>
        <v>270</v>
      </c>
      <c r="O30" s="56">
        <f t="shared" si="23"/>
        <v>405</v>
      </c>
      <c r="P30" s="56" t="s">
        <v>552</v>
      </c>
      <c r="Q30" s="56">
        <f t="shared" si="24"/>
        <v>2700</v>
      </c>
      <c r="R30" s="56" t="s">
        <v>553</v>
      </c>
      <c r="S30" s="56">
        <f>INT(INDEX(挂机升级突破!$F$8:$F$22,章节关卡!$B30)*章节关卡!O30/6)</f>
        <v>33</v>
      </c>
      <c r="T30" s="56" t="s">
        <v>563</v>
      </c>
      <c r="U30" s="56">
        <v>1</v>
      </c>
      <c r="AH30" s="26">
        <v>26</v>
      </c>
      <c r="AI30" s="26">
        <v>3</v>
      </c>
      <c r="AJ30" s="26">
        <v>14</v>
      </c>
      <c r="AK30" s="26">
        <f t="shared" si="0"/>
        <v>10</v>
      </c>
      <c r="AL30" s="26">
        <f t="shared" si="1"/>
        <v>22</v>
      </c>
      <c r="AM30" s="26">
        <f t="shared" si="4"/>
        <v>85</v>
      </c>
      <c r="AP30" s="18">
        <v>26</v>
      </c>
      <c r="AQ30" s="26">
        <v>4</v>
      </c>
      <c r="AR30" s="26">
        <v>3</v>
      </c>
      <c r="AS30" s="15">
        <f t="shared" si="5"/>
        <v>260</v>
      </c>
      <c r="AT30" s="15">
        <f t="shared" si="6"/>
        <v>750</v>
      </c>
      <c r="AU30" s="15">
        <f t="shared" si="7"/>
        <v>6240</v>
      </c>
      <c r="AX30" s="18">
        <v>26</v>
      </c>
      <c r="AY30" s="26">
        <v>4</v>
      </c>
      <c r="AZ30" s="26">
        <v>4</v>
      </c>
      <c r="BA30" s="15">
        <f t="shared" si="8"/>
        <v>520</v>
      </c>
      <c r="BB30" s="15">
        <f t="shared" si="9"/>
        <v>1500</v>
      </c>
      <c r="BC30" s="15">
        <f t="shared" si="10"/>
        <v>9360</v>
      </c>
    </row>
    <row r="31" spans="1:55" ht="16.5" x14ac:dyDescent="0.2">
      <c r="A31" s="56">
        <v>7</v>
      </c>
      <c r="B31" s="56">
        <f t="shared" si="25"/>
        <v>3</v>
      </c>
      <c r="C31" s="56">
        <f t="shared" si="26"/>
        <v>1</v>
      </c>
      <c r="D31" s="56">
        <v>90</v>
      </c>
      <c r="E31" s="56">
        <v>135</v>
      </c>
      <c r="F31" s="56" t="s">
        <v>552</v>
      </c>
      <c r="G31" s="56">
        <f t="shared" si="20"/>
        <v>1350</v>
      </c>
      <c r="H31" s="56" t="s">
        <v>553</v>
      </c>
      <c r="I31" s="56">
        <f>INT(INDEX(挂机升级突破!$F$8:$F$22,章节关卡!$B31)*章节关卡!E31/6)</f>
        <v>16</v>
      </c>
      <c r="J31" s="56" t="s">
        <v>558</v>
      </c>
      <c r="K31" s="56">
        <v>30</v>
      </c>
      <c r="L31" s="16"/>
      <c r="M31" s="56">
        <f t="shared" si="21"/>
        <v>4</v>
      </c>
      <c r="N31" s="56">
        <f t="shared" si="22"/>
        <v>135</v>
      </c>
      <c r="O31" s="56">
        <f t="shared" si="23"/>
        <v>202.5</v>
      </c>
      <c r="P31" s="56" t="s">
        <v>552</v>
      </c>
      <c r="Q31" s="56">
        <f t="shared" si="24"/>
        <v>2025</v>
      </c>
      <c r="R31" s="56" t="s">
        <v>553</v>
      </c>
      <c r="S31" s="56">
        <f>INT(INDEX(挂机升级突破!$F$8:$F$22,章节关卡!$B31)*章节关卡!O31/6)</f>
        <v>25</v>
      </c>
      <c r="T31" s="56" t="s">
        <v>562</v>
      </c>
      <c r="U31" s="56">
        <v>100</v>
      </c>
      <c r="AH31" s="26">
        <v>27</v>
      </c>
      <c r="AI31" s="26">
        <v>3</v>
      </c>
      <c r="AJ31" s="26">
        <v>15</v>
      </c>
      <c r="AK31" s="26">
        <f t="shared" si="0"/>
        <v>10</v>
      </c>
      <c r="AL31" s="26">
        <f t="shared" si="1"/>
        <v>23</v>
      </c>
      <c r="AM31" s="26">
        <f t="shared" si="4"/>
        <v>88</v>
      </c>
      <c r="AP31" s="18">
        <v>27</v>
      </c>
      <c r="AQ31" s="26">
        <v>4</v>
      </c>
      <c r="AR31" s="26">
        <v>4</v>
      </c>
      <c r="AS31" s="15">
        <f t="shared" si="5"/>
        <v>260</v>
      </c>
      <c r="AT31" s="15">
        <f t="shared" si="6"/>
        <v>750</v>
      </c>
      <c r="AU31" s="15">
        <f t="shared" si="7"/>
        <v>6240</v>
      </c>
      <c r="AX31" s="18">
        <v>27</v>
      </c>
      <c r="AY31" s="26">
        <v>4</v>
      </c>
      <c r="AZ31" s="26">
        <v>5</v>
      </c>
      <c r="BA31" s="15">
        <f t="shared" si="8"/>
        <v>520</v>
      </c>
      <c r="BB31" s="15">
        <f t="shared" si="9"/>
        <v>1500</v>
      </c>
      <c r="BC31" s="15">
        <f t="shared" si="10"/>
        <v>9360</v>
      </c>
    </row>
    <row r="32" spans="1:55" ht="16.5" x14ac:dyDescent="0.2">
      <c r="A32" s="56">
        <v>8</v>
      </c>
      <c r="B32" s="56">
        <f t="shared" si="25"/>
        <v>3</v>
      </c>
      <c r="C32" s="56">
        <f t="shared" si="26"/>
        <v>2</v>
      </c>
      <c r="D32" s="56">
        <v>150</v>
      </c>
      <c r="E32" s="56">
        <v>225</v>
      </c>
      <c r="F32" s="56" t="s">
        <v>552</v>
      </c>
      <c r="G32" s="56">
        <f t="shared" si="20"/>
        <v>2250</v>
      </c>
      <c r="H32" s="56" t="s">
        <v>553</v>
      </c>
      <c r="I32" s="56">
        <f>INT(INDEX(挂机升级突破!$F$8:$F$22,章节关卡!$B32)*章节关卡!E32/6)</f>
        <v>28</v>
      </c>
      <c r="J32" s="56" t="s">
        <v>558</v>
      </c>
      <c r="K32" s="56">
        <v>40</v>
      </c>
      <c r="L32" s="16"/>
      <c r="M32" s="56">
        <f t="shared" si="21"/>
        <v>4</v>
      </c>
      <c r="N32" s="56">
        <f t="shared" si="22"/>
        <v>225</v>
      </c>
      <c r="O32" s="56">
        <f t="shared" si="23"/>
        <v>337.5</v>
      </c>
      <c r="P32" s="56" t="s">
        <v>552</v>
      </c>
      <c r="Q32" s="56">
        <f t="shared" si="24"/>
        <v>3375</v>
      </c>
      <c r="R32" s="56" t="s">
        <v>553</v>
      </c>
      <c r="S32" s="56">
        <f>INT(INDEX(挂机升级突破!$F$8:$F$22,章节关卡!$B32)*章节关卡!O32/6)</f>
        <v>42</v>
      </c>
      <c r="T32" s="56" t="s">
        <v>563</v>
      </c>
      <c r="U32" s="56">
        <v>1</v>
      </c>
      <c r="AH32" s="26">
        <v>28</v>
      </c>
      <c r="AI32" s="26">
        <v>4</v>
      </c>
      <c r="AJ32" s="26">
        <v>1</v>
      </c>
      <c r="AK32" s="26">
        <f t="shared" si="0"/>
        <v>13</v>
      </c>
      <c r="AL32" s="26">
        <f t="shared" si="1"/>
        <v>20</v>
      </c>
      <c r="AM32" s="26">
        <f t="shared" si="4"/>
        <v>73</v>
      </c>
      <c r="AP32" s="18">
        <v>28</v>
      </c>
      <c r="AQ32" s="26">
        <v>4</v>
      </c>
      <c r="AR32" s="26">
        <v>5</v>
      </c>
      <c r="AS32" s="15">
        <f t="shared" si="5"/>
        <v>260</v>
      </c>
      <c r="AT32" s="15">
        <f t="shared" si="6"/>
        <v>750</v>
      </c>
      <c r="AU32" s="15">
        <f t="shared" si="7"/>
        <v>6240</v>
      </c>
      <c r="AX32" s="18">
        <v>28</v>
      </c>
      <c r="AY32" s="26">
        <v>4</v>
      </c>
      <c r="AZ32" s="26">
        <v>6</v>
      </c>
      <c r="BA32" s="15">
        <f t="shared" si="8"/>
        <v>520</v>
      </c>
      <c r="BB32" s="15">
        <f t="shared" si="9"/>
        <v>1500</v>
      </c>
      <c r="BC32" s="15">
        <f t="shared" si="10"/>
        <v>9360</v>
      </c>
    </row>
    <row r="33" spans="1:55" ht="16.5" x14ac:dyDescent="0.2">
      <c r="A33" s="56">
        <v>9</v>
      </c>
      <c r="B33" s="56">
        <f t="shared" si="25"/>
        <v>3</v>
      </c>
      <c r="C33" s="56">
        <f t="shared" si="26"/>
        <v>3</v>
      </c>
      <c r="D33" s="56">
        <v>210</v>
      </c>
      <c r="E33" s="56">
        <v>315</v>
      </c>
      <c r="F33" s="56" t="s">
        <v>552</v>
      </c>
      <c r="G33" s="56">
        <f t="shared" si="20"/>
        <v>3150</v>
      </c>
      <c r="H33" s="56" t="s">
        <v>553</v>
      </c>
      <c r="I33" s="56">
        <f>INT(INDEX(挂机升级突破!$F$8:$F$22,章节关卡!$B33)*章节关卡!E33/6)</f>
        <v>39</v>
      </c>
      <c r="J33" s="56" t="s">
        <v>563</v>
      </c>
      <c r="K33" s="56">
        <v>1</v>
      </c>
      <c r="L33" s="16"/>
      <c r="M33" s="56">
        <f t="shared" si="21"/>
        <v>4</v>
      </c>
      <c r="N33" s="56">
        <f t="shared" si="22"/>
        <v>315</v>
      </c>
      <c r="O33" s="56">
        <f t="shared" si="23"/>
        <v>472.5</v>
      </c>
      <c r="P33" s="56" t="s">
        <v>552</v>
      </c>
      <c r="Q33" s="56">
        <f t="shared" si="24"/>
        <v>4725</v>
      </c>
      <c r="R33" s="56" t="s">
        <v>553</v>
      </c>
      <c r="S33" s="56">
        <f>INT(INDEX(挂机升级突破!$F$8:$F$22,章节关卡!$B33)*章节关卡!O33/6)</f>
        <v>59</v>
      </c>
      <c r="T33" s="56" t="s">
        <v>563</v>
      </c>
      <c r="U33" s="56">
        <v>1</v>
      </c>
      <c r="AH33" s="26">
        <v>29</v>
      </c>
      <c r="AI33" s="26">
        <v>4</v>
      </c>
      <c r="AJ33" s="26">
        <v>2</v>
      </c>
      <c r="AK33" s="26">
        <f t="shared" si="0"/>
        <v>13</v>
      </c>
      <c r="AL33" s="26">
        <f t="shared" si="1"/>
        <v>21</v>
      </c>
      <c r="AM33" s="26">
        <f t="shared" si="4"/>
        <v>77</v>
      </c>
      <c r="AP33" s="18">
        <v>29</v>
      </c>
      <c r="AQ33" s="26">
        <v>4</v>
      </c>
      <c r="AR33" s="26">
        <v>6</v>
      </c>
      <c r="AS33" s="15">
        <f t="shared" si="5"/>
        <v>260</v>
      </c>
      <c r="AT33" s="15">
        <f t="shared" si="6"/>
        <v>750</v>
      </c>
      <c r="AU33" s="15">
        <f t="shared" si="7"/>
        <v>6240</v>
      </c>
      <c r="AX33" s="18">
        <v>29</v>
      </c>
      <c r="AY33" s="26">
        <v>4</v>
      </c>
      <c r="AZ33" s="26">
        <v>7</v>
      </c>
      <c r="BA33" s="15">
        <f t="shared" si="8"/>
        <v>520</v>
      </c>
      <c r="BB33" s="15">
        <f t="shared" si="9"/>
        <v>1500</v>
      </c>
      <c r="BC33" s="15">
        <f t="shared" si="10"/>
        <v>9360</v>
      </c>
    </row>
    <row r="34" spans="1:55" ht="16.5" x14ac:dyDescent="0.2">
      <c r="A34" s="56">
        <v>10</v>
      </c>
      <c r="B34" s="56">
        <f t="shared" si="25"/>
        <v>4</v>
      </c>
      <c r="C34" s="56">
        <f t="shared" si="26"/>
        <v>1</v>
      </c>
      <c r="D34" s="56">
        <v>90</v>
      </c>
      <c r="E34" s="56">
        <v>135</v>
      </c>
      <c r="F34" s="56" t="s">
        <v>552</v>
      </c>
      <c r="G34" s="56">
        <f t="shared" si="20"/>
        <v>1800</v>
      </c>
      <c r="H34" s="56" t="s">
        <v>554</v>
      </c>
      <c r="I34" s="56">
        <f>INT(INDEX(挂机升级突破!$G$8:$G$22,章节关卡!$B34)*章节关卡!E34/6)</f>
        <v>5</v>
      </c>
      <c r="J34" s="56" t="s">
        <v>558</v>
      </c>
      <c r="K34" s="56">
        <v>30</v>
      </c>
      <c r="L34" s="16"/>
      <c r="M34" s="56">
        <f t="shared" si="21"/>
        <v>5</v>
      </c>
      <c r="N34" s="56">
        <f t="shared" si="22"/>
        <v>135</v>
      </c>
      <c r="O34" s="56">
        <f t="shared" si="23"/>
        <v>202.5</v>
      </c>
      <c r="P34" s="56" t="s">
        <v>552</v>
      </c>
      <c r="Q34" s="56">
        <f t="shared" si="24"/>
        <v>2700</v>
      </c>
      <c r="R34" s="56" t="s">
        <v>554</v>
      </c>
      <c r="S34" s="56">
        <f>INT(INDEX(挂机升级突破!$G$8:$G$22,章节关卡!$B34)*章节关卡!O34/6)</f>
        <v>8</v>
      </c>
      <c r="T34" s="56" t="s">
        <v>562</v>
      </c>
      <c r="U34" s="56">
        <v>100</v>
      </c>
      <c r="AH34" s="26">
        <v>30</v>
      </c>
      <c r="AI34" s="26">
        <v>4</v>
      </c>
      <c r="AJ34" s="26">
        <v>3</v>
      </c>
      <c r="AK34" s="26">
        <f t="shared" si="0"/>
        <v>13</v>
      </c>
      <c r="AL34" s="26">
        <f t="shared" si="1"/>
        <v>21</v>
      </c>
      <c r="AM34" s="26">
        <f t="shared" si="4"/>
        <v>81</v>
      </c>
      <c r="AP34" s="18">
        <v>30</v>
      </c>
      <c r="AQ34" s="26">
        <v>4</v>
      </c>
      <c r="AR34" s="26">
        <v>7</v>
      </c>
      <c r="AS34" s="15">
        <f t="shared" si="5"/>
        <v>260</v>
      </c>
      <c r="AT34" s="15">
        <f t="shared" si="6"/>
        <v>750</v>
      </c>
      <c r="AU34" s="15">
        <f t="shared" si="7"/>
        <v>6240</v>
      </c>
      <c r="AX34" s="18">
        <v>30</v>
      </c>
      <c r="AY34" s="26">
        <v>4</v>
      </c>
      <c r="AZ34" s="26">
        <v>8</v>
      </c>
      <c r="BA34" s="15">
        <f t="shared" si="8"/>
        <v>520</v>
      </c>
      <c r="BB34" s="15">
        <f t="shared" si="9"/>
        <v>1500</v>
      </c>
      <c r="BC34" s="15">
        <f t="shared" si="10"/>
        <v>9360</v>
      </c>
    </row>
    <row r="35" spans="1:55" ht="16.5" x14ac:dyDescent="0.2">
      <c r="A35" s="56">
        <v>11</v>
      </c>
      <c r="B35" s="56">
        <f t="shared" si="25"/>
        <v>4</v>
      </c>
      <c r="C35" s="56">
        <f t="shared" si="26"/>
        <v>2</v>
      </c>
      <c r="D35" s="56">
        <v>150</v>
      </c>
      <c r="E35" s="56">
        <v>225</v>
      </c>
      <c r="F35" s="56" t="s">
        <v>552</v>
      </c>
      <c r="G35" s="56">
        <f t="shared" si="20"/>
        <v>3000</v>
      </c>
      <c r="H35" s="56" t="s">
        <v>554</v>
      </c>
      <c r="I35" s="56">
        <f>INT(INDEX(挂机升级突破!$G$8:$G$22,章节关卡!$B35)*章节关卡!E35/6)</f>
        <v>9</v>
      </c>
      <c r="J35" s="56" t="s">
        <v>558</v>
      </c>
      <c r="K35" s="56">
        <v>40</v>
      </c>
      <c r="L35" s="16"/>
      <c r="M35" s="56">
        <f t="shared" si="21"/>
        <v>5</v>
      </c>
      <c r="N35" s="56">
        <f t="shared" si="22"/>
        <v>225</v>
      </c>
      <c r="O35" s="56">
        <f t="shared" si="23"/>
        <v>337.5</v>
      </c>
      <c r="P35" s="56" t="s">
        <v>552</v>
      </c>
      <c r="Q35" s="56">
        <f t="shared" si="24"/>
        <v>4500</v>
      </c>
      <c r="R35" s="56" t="s">
        <v>554</v>
      </c>
      <c r="S35" s="56">
        <f>INT(INDEX(挂机升级突破!$G$8:$G$22,章节关卡!$B35)*章节关卡!O35/6)</f>
        <v>14</v>
      </c>
      <c r="T35" s="56" t="s">
        <v>563</v>
      </c>
      <c r="U35" s="56">
        <v>1</v>
      </c>
      <c r="AH35" s="26">
        <v>31</v>
      </c>
      <c r="AI35" s="26">
        <v>4</v>
      </c>
      <c r="AJ35" s="26">
        <v>4</v>
      </c>
      <c r="AK35" s="26">
        <f t="shared" si="0"/>
        <v>13</v>
      </c>
      <c r="AL35" s="26">
        <f t="shared" si="1"/>
        <v>22</v>
      </c>
      <c r="AM35" s="26">
        <f t="shared" si="4"/>
        <v>85</v>
      </c>
      <c r="AP35" s="18">
        <v>31</v>
      </c>
      <c r="AQ35" s="26">
        <v>4</v>
      </c>
      <c r="AR35" s="26">
        <v>8</v>
      </c>
      <c r="AS35" s="15">
        <f t="shared" si="5"/>
        <v>260</v>
      </c>
      <c r="AT35" s="15">
        <f t="shared" si="6"/>
        <v>750</v>
      </c>
      <c r="AU35" s="15">
        <f t="shared" si="7"/>
        <v>6240</v>
      </c>
      <c r="AX35" s="18">
        <v>31</v>
      </c>
      <c r="AY35" s="26">
        <v>5</v>
      </c>
      <c r="AZ35" s="18">
        <v>1</v>
      </c>
      <c r="BA35" s="15">
        <f t="shared" si="8"/>
        <v>640</v>
      </c>
      <c r="BB35" s="15">
        <f t="shared" si="9"/>
        <v>1920</v>
      </c>
      <c r="BC35" s="15">
        <f t="shared" si="10"/>
        <v>12960</v>
      </c>
    </row>
    <row r="36" spans="1:55" ht="16.5" x14ac:dyDescent="0.2">
      <c r="A36" s="56">
        <v>12</v>
      </c>
      <c r="B36" s="56">
        <f t="shared" si="25"/>
        <v>4</v>
      </c>
      <c r="C36" s="56">
        <f t="shared" si="26"/>
        <v>3</v>
      </c>
      <c r="D36" s="56">
        <v>210</v>
      </c>
      <c r="E36" s="56">
        <v>315</v>
      </c>
      <c r="F36" s="56" t="s">
        <v>552</v>
      </c>
      <c r="G36" s="56">
        <f t="shared" si="20"/>
        <v>4200</v>
      </c>
      <c r="H36" s="56" t="s">
        <v>554</v>
      </c>
      <c r="I36" s="56">
        <f>INT(INDEX(挂机升级突破!$G$8:$G$22,章节关卡!$B36)*章节关卡!E36/6)</f>
        <v>13</v>
      </c>
      <c r="J36" s="56" t="s">
        <v>563</v>
      </c>
      <c r="K36" s="56">
        <v>1</v>
      </c>
      <c r="L36" s="16"/>
      <c r="M36" s="56">
        <f t="shared" si="21"/>
        <v>5</v>
      </c>
      <c r="N36" s="56">
        <f t="shared" si="22"/>
        <v>315</v>
      </c>
      <c r="O36" s="56">
        <f t="shared" si="23"/>
        <v>472.5</v>
      </c>
      <c r="P36" s="56" t="s">
        <v>552</v>
      </c>
      <c r="Q36" s="56">
        <f t="shared" si="24"/>
        <v>6300</v>
      </c>
      <c r="R36" s="56" t="s">
        <v>554</v>
      </c>
      <c r="S36" s="56">
        <f>INT(INDEX(挂机升级突破!$G$8:$G$22,章节关卡!$B36)*章节关卡!O36/6)</f>
        <v>19</v>
      </c>
      <c r="T36" s="56" t="s">
        <v>563</v>
      </c>
      <c r="U36" s="56">
        <v>1</v>
      </c>
      <c r="AH36" s="26">
        <v>32</v>
      </c>
      <c r="AI36" s="26">
        <v>4</v>
      </c>
      <c r="AJ36" s="26">
        <v>5</v>
      </c>
      <c r="AK36" s="26">
        <f t="shared" si="0"/>
        <v>13</v>
      </c>
      <c r="AL36" s="26">
        <f t="shared" si="1"/>
        <v>22</v>
      </c>
      <c r="AM36" s="26">
        <f t="shared" si="4"/>
        <v>88</v>
      </c>
      <c r="AP36" s="18">
        <v>32</v>
      </c>
      <c r="AQ36" s="18">
        <v>5</v>
      </c>
      <c r="AR36" s="18">
        <v>1</v>
      </c>
      <c r="AS36" s="15">
        <f t="shared" si="5"/>
        <v>320</v>
      </c>
      <c r="AT36" s="15">
        <f t="shared" si="6"/>
        <v>960</v>
      </c>
      <c r="AU36" s="15">
        <f t="shared" si="7"/>
        <v>8640</v>
      </c>
      <c r="AX36" s="18">
        <v>32</v>
      </c>
      <c r="AY36" s="26">
        <v>5</v>
      </c>
      <c r="AZ36" s="18">
        <v>2</v>
      </c>
      <c r="BA36" s="15">
        <f t="shared" si="8"/>
        <v>640</v>
      </c>
      <c r="BB36" s="15">
        <f t="shared" si="9"/>
        <v>1920</v>
      </c>
      <c r="BC36" s="15">
        <f t="shared" si="10"/>
        <v>12960</v>
      </c>
    </row>
    <row r="37" spans="1:55" ht="16.5" x14ac:dyDescent="0.2">
      <c r="A37" s="56">
        <v>13</v>
      </c>
      <c r="B37" s="56">
        <f t="shared" si="25"/>
        <v>5</v>
      </c>
      <c r="C37" s="56">
        <f t="shared" si="26"/>
        <v>1</v>
      </c>
      <c r="D37" s="56">
        <v>120</v>
      </c>
      <c r="E37" s="56">
        <v>180</v>
      </c>
      <c r="F37" s="56" t="s">
        <v>552</v>
      </c>
      <c r="G37" s="56">
        <f t="shared" si="20"/>
        <v>3000</v>
      </c>
      <c r="H37" s="56" t="s">
        <v>554</v>
      </c>
      <c r="I37" s="56">
        <f>INT(INDEX(挂机升级突破!$G$8:$G$22,章节关卡!$B37)*章节关卡!E37/6)</f>
        <v>15</v>
      </c>
      <c r="J37" s="56" t="s">
        <v>558</v>
      </c>
      <c r="K37" s="56">
        <v>40</v>
      </c>
      <c r="L37" s="16"/>
      <c r="M37" s="56">
        <f t="shared" si="21"/>
        <v>6</v>
      </c>
      <c r="N37" s="56">
        <f t="shared" si="22"/>
        <v>180</v>
      </c>
      <c r="O37" s="56">
        <f t="shared" si="23"/>
        <v>270</v>
      </c>
      <c r="P37" s="56" t="s">
        <v>552</v>
      </c>
      <c r="Q37" s="56">
        <f t="shared" si="24"/>
        <v>4500</v>
      </c>
      <c r="R37" s="56" t="s">
        <v>554</v>
      </c>
      <c r="S37" s="56">
        <f>INT(INDEX(挂机升级突破!$G$8:$G$22,章节关卡!$B37)*章节关卡!O37/6)</f>
        <v>22</v>
      </c>
      <c r="T37" s="56" t="s">
        <v>562</v>
      </c>
      <c r="U37" s="56">
        <v>150</v>
      </c>
      <c r="AH37" s="26">
        <v>33</v>
      </c>
      <c r="AI37" s="26">
        <v>4</v>
      </c>
      <c r="AJ37" s="26">
        <v>6</v>
      </c>
      <c r="AK37" s="26">
        <f t="shared" si="0"/>
        <v>13</v>
      </c>
      <c r="AL37" s="26">
        <f t="shared" si="1"/>
        <v>23</v>
      </c>
      <c r="AM37" s="26">
        <f t="shared" si="4"/>
        <v>92</v>
      </c>
      <c r="AP37" s="18">
        <v>33</v>
      </c>
      <c r="AQ37" s="26">
        <v>5</v>
      </c>
      <c r="AR37" s="18">
        <v>2</v>
      </c>
      <c r="AS37" s="15">
        <f t="shared" si="5"/>
        <v>320</v>
      </c>
      <c r="AT37" s="15">
        <f t="shared" si="6"/>
        <v>960</v>
      </c>
      <c r="AU37" s="15">
        <f t="shared" si="7"/>
        <v>8640</v>
      </c>
      <c r="AX37" s="18">
        <v>33</v>
      </c>
      <c r="AY37" s="26">
        <v>5</v>
      </c>
      <c r="AZ37" s="18">
        <v>3</v>
      </c>
      <c r="BA37" s="15">
        <f t="shared" si="8"/>
        <v>640</v>
      </c>
      <c r="BB37" s="15">
        <f t="shared" si="9"/>
        <v>1920</v>
      </c>
      <c r="BC37" s="15">
        <f t="shared" si="10"/>
        <v>12960</v>
      </c>
    </row>
    <row r="38" spans="1:55" ht="16.5" x14ac:dyDescent="0.2">
      <c r="A38" s="56">
        <v>14</v>
      </c>
      <c r="B38" s="56">
        <f t="shared" si="25"/>
        <v>5</v>
      </c>
      <c r="C38" s="56">
        <f t="shared" si="26"/>
        <v>2</v>
      </c>
      <c r="D38" s="56">
        <v>240</v>
      </c>
      <c r="E38" s="56">
        <v>360</v>
      </c>
      <c r="F38" s="56" t="s">
        <v>552</v>
      </c>
      <c r="G38" s="56">
        <f t="shared" si="20"/>
        <v>6000</v>
      </c>
      <c r="H38" s="56" t="s">
        <v>554</v>
      </c>
      <c r="I38" s="56">
        <f>INT(INDEX(挂机升级突破!$G$8:$G$22,章节关卡!$B38)*章节关卡!E38/6)</f>
        <v>30</v>
      </c>
      <c r="J38" s="56" t="s">
        <v>558</v>
      </c>
      <c r="K38" s="56">
        <v>60</v>
      </c>
      <c r="L38" s="16"/>
      <c r="M38" s="56">
        <f t="shared" si="21"/>
        <v>6</v>
      </c>
      <c r="N38" s="56">
        <f t="shared" si="22"/>
        <v>360</v>
      </c>
      <c r="O38" s="56">
        <f t="shared" si="23"/>
        <v>540</v>
      </c>
      <c r="P38" s="56" t="s">
        <v>552</v>
      </c>
      <c r="Q38" s="56">
        <f t="shared" si="24"/>
        <v>9000</v>
      </c>
      <c r="R38" s="56" t="s">
        <v>554</v>
      </c>
      <c r="S38" s="56">
        <f>INT(INDEX(挂机升级突破!$G$8:$G$22,章节关卡!$B38)*章节关卡!O38/6)</f>
        <v>45</v>
      </c>
      <c r="T38" s="56" t="s">
        <v>563</v>
      </c>
      <c r="U38" s="56">
        <v>1</v>
      </c>
      <c r="AH38" s="26">
        <v>34</v>
      </c>
      <c r="AI38" s="26">
        <v>4</v>
      </c>
      <c r="AJ38" s="26">
        <v>7</v>
      </c>
      <c r="AK38" s="26">
        <f t="shared" si="0"/>
        <v>13</v>
      </c>
      <c r="AL38" s="26">
        <f t="shared" si="1"/>
        <v>23</v>
      </c>
      <c r="AM38" s="26">
        <f t="shared" si="4"/>
        <v>96</v>
      </c>
      <c r="AP38" s="18">
        <v>34</v>
      </c>
      <c r="AQ38" s="26">
        <v>5</v>
      </c>
      <c r="AR38" s="18">
        <v>3</v>
      </c>
      <c r="AS38" s="15">
        <f t="shared" si="5"/>
        <v>320</v>
      </c>
      <c r="AT38" s="15">
        <f t="shared" si="6"/>
        <v>960</v>
      </c>
      <c r="AU38" s="15">
        <f t="shared" si="7"/>
        <v>8640</v>
      </c>
      <c r="AX38" s="18">
        <v>34</v>
      </c>
      <c r="AY38" s="26">
        <v>5</v>
      </c>
      <c r="AZ38" s="18">
        <v>4</v>
      </c>
      <c r="BA38" s="15">
        <f t="shared" si="8"/>
        <v>640</v>
      </c>
      <c r="BB38" s="15">
        <f t="shared" si="9"/>
        <v>1920</v>
      </c>
      <c r="BC38" s="15">
        <f t="shared" si="10"/>
        <v>12960</v>
      </c>
    </row>
    <row r="39" spans="1:55" ht="16.5" x14ac:dyDescent="0.2">
      <c r="A39" s="56">
        <v>15</v>
      </c>
      <c r="B39" s="56">
        <f t="shared" si="25"/>
        <v>5</v>
      </c>
      <c r="C39" s="56">
        <f t="shared" si="26"/>
        <v>3</v>
      </c>
      <c r="D39" s="56">
        <v>360</v>
      </c>
      <c r="E39" s="56">
        <v>540</v>
      </c>
      <c r="F39" s="56" t="s">
        <v>552</v>
      </c>
      <c r="G39" s="56">
        <f t="shared" si="20"/>
        <v>9000</v>
      </c>
      <c r="H39" s="56" t="s">
        <v>554</v>
      </c>
      <c r="I39" s="56">
        <f>INT(INDEX(挂机升级突破!$G$8:$G$22,章节关卡!$B39)*章节关卡!E39/6)</f>
        <v>45</v>
      </c>
      <c r="J39" s="56" t="s">
        <v>563</v>
      </c>
      <c r="K39" s="56">
        <v>1</v>
      </c>
      <c r="L39" s="16"/>
      <c r="M39" s="56">
        <f t="shared" si="21"/>
        <v>6</v>
      </c>
      <c r="N39" s="56">
        <f t="shared" si="22"/>
        <v>540</v>
      </c>
      <c r="O39" s="56">
        <f t="shared" si="23"/>
        <v>810</v>
      </c>
      <c r="P39" s="56" t="s">
        <v>552</v>
      </c>
      <c r="Q39" s="56">
        <f t="shared" si="24"/>
        <v>13500</v>
      </c>
      <c r="R39" s="56" t="s">
        <v>554</v>
      </c>
      <c r="S39" s="56">
        <f>INT(INDEX(挂机升级突破!$G$8:$G$22,章节关卡!$B39)*章节关卡!O39/6)</f>
        <v>67</v>
      </c>
      <c r="T39" s="56" t="s">
        <v>563</v>
      </c>
      <c r="U39" s="56">
        <v>1</v>
      </c>
      <c r="AH39" s="26">
        <v>35</v>
      </c>
      <c r="AI39" s="26">
        <v>4</v>
      </c>
      <c r="AJ39" s="26">
        <v>8</v>
      </c>
      <c r="AK39" s="26">
        <f t="shared" si="0"/>
        <v>13</v>
      </c>
      <c r="AL39" s="26">
        <f t="shared" si="1"/>
        <v>24</v>
      </c>
      <c r="AM39" s="26">
        <f t="shared" si="4"/>
        <v>100</v>
      </c>
      <c r="AP39" s="18">
        <v>35</v>
      </c>
      <c r="AQ39" s="26">
        <v>5</v>
      </c>
      <c r="AR39" s="18">
        <v>4</v>
      </c>
      <c r="AS39" s="15">
        <f t="shared" si="5"/>
        <v>320</v>
      </c>
      <c r="AT39" s="15">
        <f t="shared" si="6"/>
        <v>960</v>
      </c>
      <c r="AU39" s="15">
        <f t="shared" si="7"/>
        <v>8640</v>
      </c>
      <c r="AX39" s="18">
        <v>35</v>
      </c>
      <c r="AY39" s="26">
        <v>5</v>
      </c>
      <c r="AZ39" s="18">
        <v>5</v>
      </c>
      <c r="BA39" s="15">
        <f t="shared" si="8"/>
        <v>640</v>
      </c>
      <c r="BB39" s="15">
        <f t="shared" si="9"/>
        <v>1920</v>
      </c>
      <c r="BC39" s="15">
        <f t="shared" si="10"/>
        <v>12960</v>
      </c>
    </row>
    <row r="40" spans="1:55" ht="16.5" x14ac:dyDescent="0.2">
      <c r="A40" s="56">
        <v>16</v>
      </c>
      <c r="B40" s="56">
        <f t="shared" si="25"/>
        <v>6</v>
      </c>
      <c r="C40" s="56">
        <f t="shared" si="26"/>
        <v>1</v>
      </c>
      <c r="D40" s="56">
        <v>120</v>
      </c>
      <c r="E40" s="56">
        <v>180</v>
      </c>
      <c r="F40" s="56" t="s">
        <v>552</v>
      </c>
      <c r="G40" s="56">
        <f t="shared" si="20"/>
        <v>3840</v>
      </c>
      <c r="H40" s="56" t="s">
        <v>554</v>
      </c>
      <c r="I40" s="56">
        <f>INT(INDEX(挂机升级突破!$G$8:$G$22,章节关卡!$B40)*章节关卡!E40/6)</f>
        <v>22</v>
      </c>
      <c r="J40" s="56" t="s">
        <v>558</v>
      </c>
      <c r="K40" s="56">
        <v>40</v>
      </c>
      <c r="L40" s="16"/>
      <c r="M40" s="56">
        <f t="shared" si="21"/>
        <v>7</v>
      </c>
      <c r="N40" s="56">
        <f t="shared" si="22"/>
        <v>180</v>
      </c>
      <c r="O40" s="56">
        <f t="shared" si="23"/>
        <v>270</v>
      </c>
      <c r="P40" s="56" t="s">
        <v>552</v>
      </c>
      <c r="Q40" s="56">
        <f t="shared" si="24"/>
        <v>5760</v>
      </c>
      <c r="R40" s="56" t="s">
        <v>554</v>
      </c>
      <c r="S40" s="56">
        <f>INT(INDEX(挂机升级突破!$G$8:$G$22,章节关卡!$B40)*章节关卡!O40/6)</f>
        <v>33</v>
      </c>
      <c r="T40" s="56" t="s">
        <v>562</v>
      </c>
      <c r="U40" s="56">
        <v>150</v>
      </c>
      <c r="AH40" s="26">
        <v>36</v>
      </c>
      <c r="AI40" s="26">
        <v>4</v>
      </c>
      <c r="AJ40" s="26">
        <v>9</v>
      </c>
      <c r="AK40" s="26">
        <f t="shared" si="0"/>
        <v>13</v>
      </c>
      <c r="AL40" s="26">
        <f t="shared" si="1"/>
        <v>25</v>
      </c>
      <c r="AM40" s="26">
        <f t="shared" si="4"/>
        <v>104</v>
      </c>
      <c r="AP40" s="18">
        <v>36</v>
      </c>
      <c r="AQ40" s="26">
        <v>5</v>
      </c>
      <c r="AR40" s="18">
        <v>5</v>
      </c>
      <c r="AS40" s="15">
        <f t="shared" si="5"/>
        <v>320</v>
      </c>
      <c r="AT40" s="15">
        <f t="shared" si="6"/>
        <v>960</v>
      </c>
      <c r="AU40" s="15">
        <f t="shared" si="7"/>
        <v>8640</v>
      </c>
      <c r="AX40" s="18">
        <v>36</v>
      </c>
      <c r="AY40" s="26">
        <v>5</v>
      </c>
      <c r="AZ40" s="18">
        <v>6</v>
      </c>
      <c r="BA40" s="15">
        <f t="shared" si="8"/>
        <v>640</v>
      </c>
      <c r="BB40" s="15">
        <f t="shared" si="9"/>
        <v>1920</v>
      </c>
      <c r="BC40" s="15">
        <f t="shared" si="10"/>
        <v>12960</v>
      </c>
    </row>
    <row r="41" spans="1:55" ht="16.5" x14ac:dyDescent="0.2">
      <c r="A41" s="56">
        <v>17</v>
      </c>
      <c r="B41" s="56">
        <f t="shared" si="25"/>
        <v>6</v>
      </c>
      <c r="C41" s="56">
        <f t="shared" si="26"/>
        <v>2</v>
      </c>
      <c r="D41" s="56">
        <v>240</v>
      </c>
      <c r="E41" s="56">
        <v>360</v>
      </c>
      <c r="F41" s="56" t="s">
        <v>552</v>
      </c>
      <c r="G41" s="56">
        <f t="shared" si="20"/>
        <v>7680</v>
      </c>
      <c r="H41" s="56" t="s">
        <v>554</v>
      </c>
      <c r="I41" s="56">
        <f>INT(INDEX(挂机升级突破!$G$8:$G$22,章节关卡!$B41)*章节关卡!E41/6)</f>
        <v>45</v>
      </c>
      <c r="J41" s="56" t="s">
        <v>558</v>
      </c>
      <c r="K41" s="56">
        <v>60</v>
      </c>
      <c r="M41" s="56">
        <f t="shared" si="21"/>
        <v>7</v>
      </c>
      <c r="N41" s="56">
        <f t="shared" si="22"/>
        <v>360</v>
      </c>
      <c r="O41" s="56">
        <f t="shared" si="23"/>
        <v>540</v>
      </c>
      <c r="P41" s="56" t="s">
        <v>552</v>
      </c>
      <c r="Q41" s="56">
        <f t="shared" si="24"/>
        <v>11520</v>
      </c>
      <c r="R41" s="56" t="s">
        <v>554</v>
      </c>
      <c r="S41" s="56">
        <f>INT(INDEX(挂机升级突破!$G$8:$G$22,章节关卡!$B41)*章节关卡!O41/6)</f>
        <v>67</v>
      </c>
      <c r="T41" s="56" t="s">
        <v>563</v>
      </c>
      <c r="U41" s="56">
        <v>1</v>
      </c>
      <c r="AH41" s="26">
        <v>37</v>
      </c>
      <c r="AI41" s="26">
        <v>4</v>
      </c>
      <c r="AJ41" s="26">
        <v>10</v>
      </c>
      <c r="AK41" s="26">
        <f t="shared" si="0"/>
        <v>13</v>
      </c>
      <c r="AL41" s="26">
        <f t="shared" si="1"/>
        <v>25</v>
      </c>
      <c r="AM41" s="26">
        <f t="shared" si="4"/>
        <v>107</v>
      </c>
      <c r="AP41" s="18">
        <v>37</v>
      </c>
      <c r="AQ41" s="26">
        <v>5</v>
      </c>
      <c r="AR41" s="18">
        <v>6</v>
      </c>
      <c r="AS41" s="15">
        <f t="shared" si="5"/>
        <v>320</v>
      </c>
      <c r="AT41" s="15">
        <f t="shared" si="6"/>
        <v>960</v>
      </c>
      <c r="AU41" s="15">
        <f t="shared" si="7"/>
        <v>8640</v>
      </c>
      <c r="AX41" s="18">
        <v>37</v>
      </c>
      <c r="AY41" s="26">
        <v>5</v>
      </c>
      <c r="AZ41" s="18">
        <v>7</v>
      </c>
      <c r="BA41" s="15">
        <f t="shared" si="8"/>
        <v>640</v>
      </c>
      <c r="BB41" s="15">
        <f t="shared" si="9"/>
        <v>1920</v>
      </c>
      <c r="BC41" s="15">
        <f t="shared" si="10"/>
        <v>12960</v>
      </c>
    </row>
    <row r="42" spans="1:55" ht="16.5" x14ac:dyDescent="0.2">
      <c r="A42" s="56">
        <v>18</v>
      </c>
      <c r="B42" s="56">
        <f t="shared" si="25"/>
        <v>6</v>
      </c>
      <c r="C42" s="56">
        <f t="shared" si="26"/>
        <v>3</v>
      </c>
      <c r="D42" s="56">
        <v>360</v>
      </c>
      <c r="E42" s="56">
        <v>540</v>
      </c>
      <c r="F42" s="56" t="s">
        <v>552</v>
      </c>
      <c r="G42" s="56">
        <f t="shared" si="20"/>
        <v>11520</v>
      </c>
      <c r="H42" s="56" t="s">
        <v>554</v>
      </c>
      <c r="I42" s="56">
        <f>INT(INDEX(挂机升级突破!$G$8:$G$22,章节关卡!$B42)*章节关卡!E42/6)</f>
        <v>67</v>
      </c>
      <c r="J42" s="56" t="s">
        <v>563</v>
      </c>
      <c r="K42" s="56">
        <v>1</v>
      </c>
      <c r="M42" s="56">
        <f t="shared" si="21"/>
        <v>7</v>
      </c>
      <c r="N42" s="56">
        <f t="shared" si="22"/>
        <v>540</v>
      </c>
      <c r="O42" s="56">
        <f t="shared" si="23"/>
        <v>810</v>
      </c>
      <c r="P42" s="56" t="s">
        <v>552</v>
      </c>
      <c r="Q42" s="56">
        <f t="shared" si="24"/>
        <v>17280</v>
      </c>
      <c r="R42" s="56" t="s">
        <v>554</v>
      </c>
      <c r="S42" s="56">
        <f>INT(INDEX(挂机升级突破!$G$8:$G$22,章节关卡!$B42)*章节关卡!O42/6)</f>
        <v>101</v>
      </c>
      <c r="T42" s="56" t="s">
        <v>563</v>
      </c>
      <c r="U42" s="56">
        <v>1</v>
      </c>
      <c r="AH42" s="26">
        <v>38</v>
      </c>
      <c r="AI42" s="26">
        <v>4</v>
      </c>
      <c r="AJ42" s="26">
        <v>11</v>
      </c>
      <c r="AK42" s="26">
        <f t="shared" si="0"/>
        <v>13</v>
      </c>
      <c r="AL42" s="26">
        <f t="shared" si="1"/>
        <v>26</v>
      </c>
      <c r="AM42" s="26">
        <f t="shared" si="4"/>
        <v>111</v>
      </c>
      <c r="AP42" s="18">
        <v>38</v>
      </c>
      <c r="AQ42" s="26">
        <v>5</v>
      </c>
      <c r="AR42" s="18">
        <v>7</v>
      </c>
      <c r="AS42" s="15">
        <f t="shared" si="5"/>
        <v>320</v>
      </c>
      <c r="AT42" s="15">
        <f t="shared" si="6"/>
        <v>960</v>
      </c>
      <c r="AU42" s="15">
        <f t="shared" si="7"/>
        <v>8640</v>
      </c>
      <c r="AX42" s="18">
        <v>38</v>
      </c>
      <c r="AY42" s="26">
        <v>5</v>
      </c>
      <c r="AZ42" s="18">
        <v>8</v>
      </c>
      <c r="BA42" s="15">
        <f t="shared" si="8"/>
        <v>640</v>
      </c>
      <c r="BB42" s="15">
        <f t="shared" si="9"/>
        <v>1920</v>
      </c>
      <c r="BC42" s="15">
        <f t="shared" si="10"/>
        <v>12960</v>
      </c>
    </row>
    <row r="43" spans="1:55" ht="16.5" x14ac:dyDescent="0.2">
      <c r="A43" s="56">
        <v>19</v>
      </c>
      <c r="B43" s="56">
        <f t="shared" si="25"/>
        <v>7</v>
      </c>
      <c r="C43" s="56">
        <f t="shared" si="26"/>
        <v>1</v>
      </c>
      <c r="D43" s="56">
        <v>120</v>
      </c>
      <c r="E43" s="56">
        <v>180</v>
      </c>
      <c r="F43" s="56" t="s">
        <v>552</v>
      </c>
      <c r="G43" s="56">
        <f t="shared" si="20"/>
        <v>4800</v>
      </c>
      <c r="H43" s="56" t="s">
        <v>555</v>
      </c>
      <c r="I43" s="56">
        <f>INT(INDEX(挂机升级突破!$H$8:$H$22,章节关卡!$B43)*章节关卡!E43/6)</f>
        <v>7</v>
      </c>
      <c r="J43" s="56" t="s">
        <v>558</v>
      </c>
      <c r="K43" s="56">
        <v>40</v>
      </c>
      <c r="M43" s="56">
        <f t="shared" si="21"/>
        <v>8</v>
      </c>
      <c r="N43" s="56">
        <f t="shared" si="22"/>
        <v>180</v>
      </c>
      <c r="O43" s="56">
        <f t="shared" si="23"/>
        <v>270</v>
      </c>
      <c r="P43" s="56" t="s">
        <v>552</v>
      </c>
      <c r="Q43" s="56">
        <f t="shared" si="24"/>
        <v>7200</v>
      </c>
      <c r="R43" s="56" t="s">
        <v>555</v>
      </c>
      <c r="S43" s="56">
        <f>INT(INDEX(挂机升级突破!$H$8:$H$22,章节关卡!$B43)*章节关卡!O43/6)</f>
        <v>11</v>
      </c>
      <c r="T43" s="56" t="s">
        <v>562</v>
      </c>
      <c r="U43" s="56">
        <v>150</v>
      </c>
      <c r="AH43" s="26">
        <v>39</v>
      </c>
      <c r="AI43" s="26">
        <v>4</v>
      </c>
      <c r="AJ43" s="26">
        <v>12</v>
      </c>
      <c r="AK43" s="26">
        <f t="shared" si="0"/>
        <v>13</v>
      </c>
      <c r="AL43" s="26">
        <f t="shared" si="1"/>
        <v>26</v>
      </c>
      <c r="AM43" s="26">
        <f t="shared" si="4"/>
        <v>115</v>
      </c>
      <c r="AP43" s="18">
        <v>39</v>
      </c>
      <c r="AQ43" s="26">
        <v>5</v>
      </c>
      <c r="AR43" s="18">
        <v>8</v>
      </c>
      <c r="AS43" s="15">
        <f t="shared" si="5"/>
        <v>320</v>
      </c>
      <c r="AT43" s="15">
        <f t="shared" si="6"/>
        <v>960</v>
      </c>
      <c r="AU43" s="15">
        <f t="shared" si="7"/>
        <v>8640</v>
      </c>
      <c r="AX43" s="18">
        <v>39</v>
      </c>
      <c r="AY43" s="26">
        <v>5</v>
      </c>
      <c r="AZ43" s="18">
        <v>9</v>
      </c>
      <c r="BA43" s="15">
        <f t="shared" si="8"/>
        <v>640</v>
      </c>
      <c r="BB43" s="15">
        <f t="shared" si="9"/>
        <v>1920</v>
      </c>
      <c r="BC43" s="15">
        <f t="shared" si="10"/>
        <v>12960</v>
      </c>
    </row>
    <row r="44" spans="1:55" ht="16.5" x14ac:dyDescent="0.2">
      <c r="A44" s="56">
        <v>20</v>
      </c>
      <c r="B44" s="56">
        <f t="shared" si="25"/>
        <v>7</v>
      </c>
      <c r="C44" s="56">
        <f t="shared" si="26"/>
        <v>2</v>
      </c>
      <c r="D44" s="56">
        <v>240</v>
      </c>
      <c r="E44" s="56">
        <v>360</v>
      </c>
      <c r="F44" s="56" t="s">
        <v>552</v>
      </c>
      <c r="G44" s="56">
        <f t="shared" si="20"/>
        <v>9600</v>
      </c>
      <c r="H44" s="56" t="s">
        <v>555</v>
      </c>
      <c r="I44" s="56">
        <f>INT(INDEX(挂机升级突破!$H$8:$H$22,章节关卡!$B44)*章节关卡!E44/6)</f>
        <v>15</v>
      </c>
      <c r="J44" s="56" t="s">
        <v>558</v>
      </c>
      <c r="K44" s="56">
        <v>60</v>
      </c>
      <c r="M44" s="56">
        <f t="shared" si="21"/>
        <v>8</v>
      </c>
      <c r="N44" s="56">
        <f t="shared" si="22"/>
        <v>360</v>
      </c>
      <c r="O44" s="56">
        <f t="shared" si="23"/>
        <v>540</v>
      </c>
      <c r="P44" s="56" t="s">
        <v>552</v>
      </c>
      <c r="Q44" s="56">
        <f t="shared" si="24"/>
        <v>14400</v>
      </c>
      <c r="R44" s="56" t="s">
        <v>555</v>
      </c>
      <c r="S44" s="56">
        <f>INT(INDEX(挂机升级突破!$H$8:$H$22,章节关卡!$B44)*章节关卡!O44/6)</f>
        <v>22</v>
      </c>
      <c r="T44" s="56" t="s">
        <v>563</v>
      </c>
      <c r="U44" s="56">
        <v>1</v>
      </c>
      <c r="AH44" s="26">
        <v>40</v>
      </c>
      <c r="AI44" s="26">
        <v>4</v>
      </c>
      <c r="AJ44" s="26">
        <v>13</v>
      </c>
      <c r="AK44" s="26">
        <f t="shared" si="0"/>
        <v>13</v>
      </c>
      <c r="AL44" s="26">
        <f t="shared" si="1"/>
        <v>27</v>
      </c>
      <c r="AM44" s="26">
        <f t="shared" si="4"/>
        <v>119</v>
      </c>
      <c r="AP44" s="18">
        <v>40</v>
      </c>
      <c r="AQ44" s="26">
        <v>5</v>
      </c>
      <c r="AR44" s="18">
        <v>9</v>
      </c>
      <c r="AS44" s="15">
        <f t="shared" si="5"/>
        <v>320</v>
      </c>
      <c r="AT44" s="15">
        <f t="shared" si="6"/>
        <v>960</v>
      </c>
      <c r="AU44" s="15">
        <f t="shared" si="7"/>
        <v>8640</v>
      </c>
      <c r="AX44" s="18">
        <v>40</v>
      </c>
      <c r="AY44" s="26">
        <v>5</v>
      </c>
      <c r="AZ44" s="18">
        <v>10</v>
      </c>
      <c r="BA44" s="15">
        <f t="shared" si="8"/>
        <v>640</v>
      </c>
      <c r="BB44" s="15">
        <f t="shared" si="9"/>
        <v>1920</v>
      </c>
      <c r="BC44" s="15">
        <f t="shared" si="10"/>
        <v>12960</v>
      </c>
    </row>
    <row r="45" spans="1:55" ht="16.5" x14ac:dyDescent="0.2">
      <c r="A45" s="56">
        <v>21</v>
      </c>
      <c r="B45" s="56">
        <f t="shared" si="25"/>
        <v>7</v>
      </c>
      <c r="C45" s="56">
        <f t="shared" si="26"/>
        <v>3</v>
      </c>
      <c r="D45" s="56">
        <v>360</v>
      </c>
      <c r="E45" s="56">
        <v>540</v>
      </c>
      <c r="F45" s="56" t="s">
        <v>552</v>
      </c>
      <c r="G45" s="56">
        <f t="shared" si="20"/>
        <v>14400</v>
      </c>
      <c r="H45" s="56" t="s">
        <v>555</v>
      </c>
      <c r="I45" s="56">
        <f>INT(INDEX(挂机升级突破!$H$8:$H$22,章节关卡!$B45)*章节关卡!E45/6)</f>
        <v>22</v>
      </c>
      <c r="J45" s="56" t="s">
        <v>563</v>
      </c>
      <c r="K45" s="56">
        <v>1</v>
      </c>
      <c r="M45" s="56">
        <f t="shared" si="21"/>
        <v>8</v>
      </c>
      <c r="N45" s="56">
        <f t="shared" si="22"/>
        <v>540</v>
      </c>
      <c r="O45" s="56">
        <f t="shared" si="23"/>
        <v>810</v>
      </c>
      <c r="P45" s="56" t="s">
        <v>552</v>
      </c>
      <c r="Q45" s="56">
        <f t="shared" si="24"/>
        <v>21600</v>
      </c>
      <c r="R45" s="56" t="s">
        <v>555</v>
      </c>
      <c r="S45" s="56">
        <f>INT(INDEX(挂机升级突破!$H$8:$H$22,章节关卡!$B45)*章节关卡!O45/6)</f>
        <v>33</v>
      </c>
      <c r="T45" s="56" t="s">
        <v>563</v>
      </c>
      <c r="U45" s="56">
        <v>1</v>
      </c>
      <c r="AH45" s="26">
        <v>41</v>
      </c>
      <c r="AI45" s="26">
        <v>4</v>
      </c>
      <c r="AJ45" s="26">
        <v>14</v>
      </c>
      <c r="AK45" s="26">
        <f t="shared" si="0"/>
        <v>13</v>
      </c>
      <c r="AL45" s="26">
        <f t="shared" si="1"/>
        <v>27</v>
      </c>
      <c r="AM45" s="26">
        <f t="shared" si="4"/>
        <v>122</v>
      </c>
      <c r="AP45" s="18">
        <v>41</v>
      </c>
      <c r="AQ45" s="26">
        <v>5</v>
      </c>
      <c r="AR45" s="18">
        <v>10</v>
      </c>
      <c r="AS45" s="15">
        <f t="shared" si="5"/>
        <v>320</v>
      </c>
      <c r="AT45" s="15">
        <f t="shared" si="6"/>
        <v>960</v>
      </c>
      <c r="AU45" s="15">
        <f t="shared" si="7"/>
        <v>8640</v>
      </c>
      <c r="AX45" s="18">
        <v>41</v>
      </c>
      <c r="AY45" s="26">
        <v>5</v>
      </c>
      <c r="AZ45" s="18">
        <v>11</v>
      </c>
      <c r="BA45" s="15">
        <f t="shared" si="8"/>
        <v>640</v>
      </c>
      <c r="BB45" s="15">
        <f t="shared" si="9"/>
        <v>1920</v>
      </c>
      <c r="BC45" s="15">
        <f t="shared" si="10"/>
        <v>12960</v>
      </c>
    </row>
    <row r="46" spans="1:55" ht="16.5" x14ac:dyDescent="0.2">
      <c r="A46" s="56">
        <v>22</v>
      </c>
      <c r="B46" s="56">
        <f t="shared" si="25"/>
        <v>8</v>
      </c>
      <c r="C46" s="56">
        <f t="shared" si="26"/>
        <v>1</v>
      </c>
      <c r="D46" s="56">
        <v>120</v>
      </c>
      <c r="E46" s="56">
        <v>180</v>
      </c>
      <c r="F46" s="56" t="s">
        <v>552</v>
      </c>
      <c r="G46" s="56">
        <f t="shared" si="20"/>
        <v>6000</v>
      </c>
      <c r="H46" s="56" t="s">
        <v>555</v>
      </c>
      <c r="I46" s="56">
        <f>INT(INDEX(挂机升级突破!$H$8:$H$22,章节关卡!$B46)*章节关卡!E46/6)</f>
        <v>15</v>
      </c>
      <c r="J46" s="56" t="s">
        <v>558</v>
      </c>
      <c r="K46" s="56">
        <v>40</v>
      </c>
      <c r="M46" s="56">
        <f t="shared" si="21"/>
        <v>9</v>
      </c>
      <c r="N46" s="56">
        <f t="shared" si="22"/>
        <v>180</v>
      </c>
      <c r="O46" s="56">
        <f t="shared" si="23"/>
        <v>270</v>
      </c>
      <c r="P46" s="56" t="s">
        <v>552</v>
      </c>
      <c r="Q46" s="56">
        <f t="shared" si="24"/>
        <v>9000</v>
      </c>
      <c r="R46" s="56" t="s">
        <v>555</v>
      </c>
      <c r="S46" s="56">
        <f>INT(INDEX(挂机升级突破!$H$8:$H$22,章节关卡!$B46)*章节关卡!O46/6)</f>
        <v>22</v>
      </c>
      <c r="T46" s="56" t="s">
        <v>562</v>
      </c>
      <c r="U46" s="56">
        <v>150</v>
      </c>
      <c r="AH46" s="26">
        <v>42</v>
      </c>
      <c r="AI46" s="26">
        <v>4</v>
      </c>
      <c r="AJ46" s="26">
        <v>15</v>
      </c>
      <c r="AK46" s="26">
        <f t="shared" si="0"/>
        <v>13</v>
      </c>
      <c r="AL46" s="26">
        <f t="shared" si="1"/>
        <v>28</v>
      </c>
      <c r="AM46" s="26">
        <f t="shared" si="4"/>
        <v>126</v>
      </c>
      <c r="AP46" s="18">
        <v>42</v>
      </c>
      <c r="AQ46" s="26">
        <v>5</v>
      </c>
      <c r="AR46" s="18">
        <v>11</v>
      </c>
      <c r="AS46" s="15">
        <f t="shared" si="5"/>
        <v>320</v>
      </c>
      <c r="AT46" s="15">
        <f t="shared" si="6"/>
        <v>960</v>
      </c>
      <c r="AU46" s="15">
        <f t="shared" si="7"/>
        <v>8640</v>
      </c>
      <c r="AX46" s="18">
        <v>42</v>
      </c>
      <c r="AY46" s="26">
        <v>5</v>
      </c>
      <c r="AZ46" s="18">
        <v>12</v>
      </c>
      <c r="BA46" s="15">
        <f t="shared" si="8"/>
        <v>640</v>
      </c>
      <c r="BB46" s="15">
        <f t="shared" si="9"/>
        <v>1920</v>
      </c>
      <c r="BC46" s="15">
        <f t="shared" si="10"/>
        <v>12960</v>
      </c>
    </row>
    <row r="47" spans="1:55" ht="16.5" x14ac:dyDescent="0.2">
      <c r="A47" s="56">
        <v>23</v>
      </c>
      <c r="B47" s="56">
        <f t="shared" si="25"/>
        <v>8</v>
      </c>
      <c r="C47" s="56">
        <f t="shared" si="26"/>
        <v>2</v>
      </c>
      <c r="D47" s="56">
        <v>240</v>
      </c>
      <c r="E47" s="56">
        <v>360</v>
      </c>
      <c r="F47" s="56" t="s">
        <v>552</v>
      </c>
      <c r="G47" s="56">
        <f t="shared" si="20"/>
        <v>12000</v>
      </c>
      <c r="H47" s="56" t="s">
        <v>555</v>
      </c>
      <c r="I47" s="56">
        <f>INT(INDEX(挂机升级突破!$H$8:$H$22,章节关卡!$B47)*章节关卡!E47/6)</f>
        <v>30</v>
      </c>
      <c r="J47" s="56" t="s">
        <v>558</v>
      </c>
      <c r="K47" s="56">
        <v>60</v>
      </c>
      <c r="M47" s="56">
        <f t="shared" si="21"/>
        <v>9</v>
      </c>
      <c r="N47" s="56">
        <f t="shared" si="22"/>
        <v>360</v>
      </c>
      <c r="O47" s="56">
        <f t="shared" si="23"/>
        <v>540</v>
      </c>
      <c r="P47" s="56" t="s">
        <v>552</v>
      </c>
      <c r="Q47" s="56">
        <f t="shared" si="24"/>
        <v>18000</v>
      </c>
      <c r="R47" s="56" t="s">
        <v>555</v>
      </c>
      <c r="S47" s="56">
        <f>INT(INDEX(挂机升级突破!$H$8:$H$22,章节关卡!$B47)*章节关卡!O47/6)</f>
        <v>45</v>
      </c>
      <c r="T47" s="56" t="s">
        <v>563</v>
      </c>
      <c r="U47" s="56">
        <v>1</v>
      </c>
      <c r="AH47" s="26">
        <v>43</v>
      </c>
      <c r="AI47" s="26">
        <v>5</v>
      </c>
      <c r="AJ47" s="26">
        <v>1</v>
      </c>
      <c r="AK47" s="26">
        <f t="shared" si="0"/>
        <v>16</v>
      </c>
      <c r="AL47" s="26">
        <f t="shared" si="1"/>
        <v>25</v>
      </c>
      <c r="AM47" s="26">
        <f t="shared" si="4"/>
        <v>106</v>
      </c>
      <c r="AP47" s="18">
        <v>43</v>
      </c>
      <c r="AQ47" s="26">
        <v>5</v>
      </c>
      <c r="AR47" s="18">
        <v>12</v>
      </c>
      <c r="AS47" s="15">
        <f t="shared" si="5"/>
        <v>320</v>
      </c>
      <c r="AT47" s="15">
        <f t="shared" si="6"/>
        <v>960</v>
      </c>
      <c r="AU47" s="15">
        <f t="shared" si="7"/>
        <v>8640</v>
      </c>
      <c r="AX47" s="18">
        <v>43</v>
      </c>
      <c r="AY47" s="26">
        <v>5</v>
      </c>
      <c r="AZ47" s="18">
        <v>13</v>
      </c>
      <c r="BA47" s="15">
        <f t="shared" si="8"/>
        <v>640</v>
      </c>
      <c r="BB47" s="15">
        <f t="shared" si="9"/>
        <v>1920</v>
      </c>
      <c r="BC47" s="15">
        <f t="shared" si="10"/>
        <v>12960</v>
      </c>
    </row>
    <row r="48" spans="1:55" ht="16.5" x14ac:dyDescent="0.2">
      <c r="A48" s="56">
        <v>24</v>
      </c>
      <c r="B48" s="56">
        <f t="shared" si="25"/>
        <v>8</v>
      </c>
      <c r="C48" s="56">
        <f t="shared" si="26"/>
        <v>3</v>
      </c>
      <c r="D48" s="56">
        <v>360</v>
      </c>
      <c r="E48" s="56">
        <v>540</v>
      </c>
      <c r="F48" s="56" t="s">
        <v>552</v>
      </c>
      <c r="G48" s="56">
        <f t="shared" si="20"/>
        <v>18000</v>
      </c>
      <c r="H48" s="56" t="s">
        <v>555</v>
      </c>
      <c r="I48" s="56">
        <f>INT(INDEX(挂机升级突破!$H$8:$H$22,章节关卡!$B48)*章节关卡!E48/6)</f>
        <v>45</v>
      </c>
      <c r="J48" s="56" t="s">
        <v>563</v>
      </c>
      <c r="K48" s="56">
        <v>1</v>
      </c>
      <c r="M48" s="56">
        <f t="shared" si="21"/>
        <v>9</v>
      </c>
      <c r="N48" s="56">
        <f t="shared" si="22"/>
        <v>540</v>
      </c>
      <c r="O48" s="56">
        <f t="shared" si="23"/>
        <v>810</v>
      </c>
      <c r="P48" s="56" t="s">
        <v>552</v>
      </c>
      <c r="Q48" s="56">
        <f t="shared" si="24"/>
        <v>27000</v>
      </c>
      <c r="R48" s="56" t="s">
        <v>555</v>
      </c>
      <c r="S48" s="56">
        <f>INT(INDEX(挂机升级突破!$H$8:$H$22,章节关卡!$B48)*章节关卡!O48/6)</f>
        <v>67</v>
      </c>
      <c r="T48" s="56" t="s">
        <v>563</v>
      </c>
      <c r="U48" s="56">
        <v>1</v>
      </c>
      <c r="AH48" s="26">
        <v>44</v>
      </c>
      <c r="AI48" s="26">
        <v>5</v>
      </c>
      <c r="AJ48" s="26">
        <v>2</v>
      </c>
      <c r="AK48" s="26">
        <f t="shared" si="0"/>
        <v>16</v>
      </c>
      <c r="AL48" s="26">
        <f t="shared" si="1"/>
        <v>25</v>
      </c>
      <c r="AM48" s="26">
        <f t="shared" si="4"/>
        <v>109</v>
      </c>
      <c r="AP48" s="18">
        <v>44</v>
      </c>
      <c r="AQ48" s="26">
        <v>5</v>
      </c>
      <c r="AR48" s="18">
        <v>13</v>
      </c>
      <c r="AS48" s="15">
        <f t="shared" si="5"/>
        <v>320</v>
      </c>
      <c r="AT48" s="15">
        <f t="shared" si="6"/>
        <v>960</v>
      </c>
      <c r="AU48" s="15">
        <f t="shared" si="7"/>
        <v>8640</v>
      </c>
      <c r="AX48" s="18">
        <v>44</v>
      </c>
      <c r="AY48" s="26">
        <v>5</v>
      </c>
      <c r="AZ48" s="18">
        <v>14</v>
      </c>
      <c r="BA48" s="15">
        <f t="shared" si="8"/>
        <v>640</v>
      </c>
      <c r="BB48" s="15">
        <f t="shared" si="9"/>
        <v>1920</v>
      </c>
      <c r="BC48" s="15">
        <f t="shared" si="10"/>
        <v>12960</v>
      </c>
    </row>
    <row r="49" spans="1:55" ht="16.5" x14ac:dyDescent="0.2">
      <c r="A49" s="56">
        <v>25</v>
      </c>
      <c r="B49" s="56">
        <f t="shared" si="25"/>
        <v>9</v>
      </c>
      <c r="C49" s="56">
        <f t="shared" si="26"/>
        <v>1</v>
      </c>
      <c r="D49" s="56">
        <v>120</v>
      </c>
      <c r="E49" s="56">
        <v>180</v>
      </c>
      <c r="F49" s="56" t="s">
        <v>552</v>
      </c>
      <c r="G49" s="56">
        <f t="shared" si="20"/>
        <v>7200</v>
      </c>
      <c r="H49" s="56" t="s">
        <v>555</v>
      </c>
      <c r="I49" s="56">
        <f>INT(INDEX(挂机升级突破!$H$8:$H$22,章节关卡!$B49)*章节关卡!E49/6)</f>
        <v>22</v>
      </c>
      <c r="J49" s="56" t="s">
        <v>558</v>
      </c>
      <c r="K49" s="56">
        <v>40</v>
      </c>
      <c r="M49" s="56">
        <f t="shared" si="21"/>
        <v>10</v>
      </c>
      <c r="N49" s="56">
        <f t="shared" si="22"/>
        <v>180</v>
      </c>
      <c r="O49" s="56">
        <f t="shared" si="23"/>
        <v>270</v>
      </c>
      <c r="P49" s="56" t="s">
        <v>552</v>
      </c>
      <c r="Q49" s="56">
        <f t="shared" si="24"/>
        <v>10800</v>
      </c>
      <c r="R49" s="56" t="s">
        <v>555</v>
      </c>
      <c r="S49" s="56">
        <f>INT(INDEX(挂机升级突破!$H$8:$H$22,章节关卡!$B49)*章节关卡!O49/6)</f>
        <v>33</v>
      </c>
      <c r="T49" s="56" t="s">
        <v>562</v>
      </c>
      <c r="U49" s="56">
        <v>150</v>
      </c>
      <c r="AH49" s="26">
        <v>45</v>
      </c>
      <c r="AI49" s="26">
        <v>5</v>
      </c>
      <c r="AJ49" s="26">
        <v>3</v>
      </c>
      <c r="AK49" s="26">
        <f t="shared" si="0"/>
        <v>16</v>
      </c>
      <c r="AL49" s="26">
        <f t="shared" si="1"/>
        <v>26</v>
      </c>
      <c r="AM49" s="26">
        <f t="shared" si="4"/>
        <v>112</v>
      </c>
      <c r="AP49" s="18">
        <v>45</v>
      </c>
      <c r="AQ49" s="26">
        <v>5</v>
      </c>
      <c r="AR49" s="18">
        <v>14</v>
      </c>
      <c r="AS49" s="15">
        <f t="shared" si="5"/>
        <v>320</v>
      </c>
      <c r="AT49" s="15">
        <f t="shared" si="6"/>
        <v>960</v>
      </c>
      <c r="AU49" s="15">
        <f t="shared" si="7"/>
        <v>8640</v>
      </c>
      <c r="AX49" s="18">
        <v>45</v>
      </c>
      <c r="AY49" s="26">
        <v>5</v>
      </c>
      <c r="AZ49" s="18">
        <v>15</v>
      </c>
      <c r="BA49" s="15">
        <f t="shared" si="8"/>
        <v>640</v>
      </c>
      <c r="BB49" s="15">
        <f t="shared" si="9"/>
        <v>1920</v>
      </c>
      <c r="BC49" s="15">
        <f t="shared" si="10"/>
        <v>12960</v>
      </c>
    </row>
    <row r="50" spans="1:55" ht="16.5" x14ac:dyDescent="0.2">
      <c r="A50" s="56">
        <v>26</v>
      </c>
      <c r="B50" s="56">
        <f t="shared" si="25"/>
        <v>9</v>
      </c>
      <c r="C50" s="56">
        <f t="shared" si="26"/>
        <v>2</v>
      </c>
      <c r="D50" s="56">
        <v>240</v>
      </c>
      <c r="E50" s="56">
        <v>360</v>
      </c>
      <c r="F50" s="56" t="s">
        <v>552</v>
      </c>
      <c r="G50" s="56">
        <f t="shared" si="20"/>
        <v>14400</v>
      </c>
      <c r="H50" s="56" t="s">
        <v>555</v>
      </c>
      <c r="I50" s="56">
        <f>INT(INDEX(挂机升级突破!$H$8:$H$22,章节关卡!$B50)*章节关卡!E50/6)</f>
        <v>45</v>
      </c>
      <c r="J50" s="56" t="s">
        <v>558</v>
      </c>
      <c r="K50" s="56">
        <v>60</v>
      </c>
      <c r="M50" s="56">
        <f t="shared" si="21"/>
        <v>10</v>
      </c>
      <c r="N50" s="56">
        <f t="shared" si="22"/>
        <v>360</v>
      </c>
      <c r="O50" s="56">
        <f t="shared" si="23"/>
        <v>540</v>
      </c>
      <c r="P50" s="56" t="s">
        <v>552</v>
      </c>
      <c r="Q50" s="56">
        <f t="shared" si="24"/>
        <v>21600</v>
      </c>
      <c r="R50" s="56" t="s">
        <v>555</v>
      </c>
      <c r="S50" s="56">
        <f>INT(INDEX(挂机升级突破!$H$8:$H$22,章节关卡!$B50)*章节关卡!O50/6)</f>
        <v>67</v>
      </c>
      <c r="T50" s="56" t="s">
        <v>563</v>
      </c>
      <c r="U50" s="56">
        <v>1</v>
      </c>
      <c r="AH50" s="26">
        <v>46</v>
      </c>
      <c r="AI50" s="26">
        <v>5</v>
      </c>
      <c r="AJ50" s="26">
        <v>4</v>
      </c>
      <c r="AK50" s="26">
        <f t="shared" si="0"/>
        <v>16</v>
      </c>
      <c r="AL50" s="26">
        <f t="shared" si="1"/>
        <v>26</v>
      </c>
      <c r="AM50" s="26">
        <f t="shared" si="4"/>
        <v>114</v>
      </c>
      <c r="AP50" s="18">
        <v>46</v>
      </c>
      <c r="AQ50" s="26">
        <v>5</v>
      </c>
      <c r="AR50" s="18">
        <v>15</v>
      </c>
      <c r="AS50" s="15">
        <f t="shared" si="5"/>
        <v>320</v>
      </c>
      <c r="AT50" s="15">
        <f t="shared" si="6"/>
        <v>960</v>
      </c>
      <c r="AU50" s="15">
        <f t="shared" si="7"/>
        <v>8640</v>
      </c>
      <c r="AX50" s="18">
        <v>46</v>
      </c>
      <c r="AY50" s="26">
        <v>6</v>
      </c>
      <c r="AZ50" s="18">
        <v>1</v>
      </c>
      <c r="BA50" s="15">
        <f t="shared" si="8"/>
        <v>800</v>
      </c>
      <c r="BB50" s="15">
        <f t="shared" si="9"/>
        <v>2400</v>
      </c>
      <c r="BC50" s="15">
        <f t="shared" si="10"/>
        <v>18000</v>
      </c>
    </row>
    <row r="51" spans="1:55" ht="16.5" x14ac:dyDescent="0.2">
      <c r="A51" s="56">
        <v>27</v>
      </c>
      <c r="B51" s="56">
        <f t="shared" si="25"/>
        <v>9</v>
      </c>
      <c r="C51" s="56">
        <f t="shared" si="26"/>
        <v>3</v>
      </c>
      <c r="D51" s="56">
        <v>360</v>
      </c>
      <c r="E51" s="56">
        <v>540</v>
      </c>
      <c r="F51" s="56" t="s">
        <v>552</v>
      </c>
      <c r="G51" s="56">
        <f t="shared" si="20"/>
        <v>21600</v>
      </c>
      <c r="H51" s="56" t="s">
        <v>555</v>
      </c>
      <c r="I51" s="56">
        <f>INT(INDEX(挂机升级突破!$H$8:$H$22,章节关卡!$B51)*章节关卡!E51/6)</f>
        <v>67</v>
      </c>
      <c r="J51" s="56" t="s">
        <v>563</v>
      </c>
      <c r="K51" s="56">
        <v>1</v>
      </c>
      <c r="M51" s="56">
        <f t="shared" si="21"/>
        <v>10</v>
      </c>
      <c r="N51" s="56">
        <f t="shared" si="22"/>
        <v>540</v>
      </c>
      <c r="O51" s="56">
        <f t="shared" si="23"/>
        <v>810</v>
      </c>
      <c r="P51" s="56" t="s">
        <v>552</v>
      </c>
      <c r="Q51" s="56">
        <f t="shared" si="24"/>
        <v>32400</v>
      </c>
      <c r="R51" s="56" t="s">
        <v>555</v>
      </c>
      <c r="S51" s="56">
        <f>INT(INDEX(挂机升级突破!$H$8:$H$22,章节关卡!$B51)*章节关卡!O51/6)</f>
        <v>101</v>
      </c>
      <c r="T51" s="56" t="s">
        <v>563</v>
      </c>
      <c r="U51" s="56">
        <v>1</v>
      </c>
      <c r="AH51" s="26">
        <v>47</v>
      </c>
      <c r="AI51" s="26">
        <v>5</v>
      </c>
      <c r="AJ51" s="26">
        <v>5</v>
      </c>
      <c r="AK51" s="26">
        <f t="shared" si="0"/>
        <v>16</v>
      </c>
      <c r="AL51" s="26">
        <f t="shared" si="1"/>
        <v>27</v>
      </c>
      <c r="AM51" s="26">
        <f t="shared" si="4"/>
        <v>117</v>
      </c>
      <c r="AP51" s="18">
        <v>47</v>
      </c>
      <c r="AQ51" s="26">
        <v>6</v>
      </c>
      <c r="AR51" s="18">
        <v>1</v>
      </c>
      <c r="AS51" s="15">
        <f t="shared" si="5"/>
        <v>400</v>
      </c>
      <c r="AT51" s="15">
        <f t="shared" si="6"/>
        <v>1200</v>
      </c>
      <c r="AU51" s="15">
        <f t="shared" si="7"/>
        <v>12000</v>
      </c>
      <c r="AX51" s="18">
        <v>47</v>
      </c>
      <c r="AY51" s="26">
        <v>6</v>
      </c>
      <c r="AZ51" s="18">
        <v>2</v>
      </c>
      <c r="BA51" s="15">
        <f t="shared" si="8"/>
        <v>800</v>
      </c>
      <c r="BB51" s="15">
        <f t="shared" si="9"/>
        <v>2400</v>
      </c>
      <c r="BC51" s="15">
        <f t="shared" si="10"/>
        <v>18000</v>
      </c>
    </row>
    <row r="52" spans="1:55" ht="16.5" x14ac:dyDescent="0.2">
      <c r="A52" s="56">
        <v>28</v>
      </c>
      <c r="B52" s="56">
        <f t="shared" si="25"/>
        <v>10</v>
      </c>
      <c r="C52" s="56">
        <f t="shared" si="26"/>
        <v>1</v>
      </c>
      <c r="D52" s="56">
        <v>120</v>
      </c>
      <c r="E52" s="56">
        <v>180</v>
      </c>
      <c r="F52" s="56" t="s">
        <v>552</v>
      </c>
      <c r="G52" s="56">
        <f t="shared" si="20"/>
        <v>8640</v>
      </c>
      <c r="H52" s="56" t="s">
        <v>556</v>
      </c>
      <c r="I52" s="56">
        <f>INT(INDEX(挂机升级突破!$I$8:$I$22,章节关卡!$B52)*章节关卡!E52/6)</f>
        <v>7</v>
      </c>
      <c r="J52" s="56" t="s">
        <v>558</v>
      </c>
      <c r="K52" s="56">
        <v>40</v>
      </c>
      <c r="M52" s="56">
        <f t="shared" si="21"/>
        <v>11</v>
      </c>
      <c r="N52" s="56">
        <f t="shared" si="22"/>
        <v>180</v>
      </c>
      <c r="O52" s="56">
        <f t="shared" si="23"/>
        <v>270</v>
      </c>
      <c r="P52" s="56" t="s">
        <v>552</v>
      </c>
      <c r="Q52" s="56">
        <f t="shared" si="24"/>
        <v>12960</v>
      </c>
      <c r="R52" s="56" t="s">
        <v>556</v>
      </c>
      <c r="S52" s="56">
        <f>INT(INDEX(挂机升级突破!$I$8:$I$22,章节关卡!$B52)*章节关卡!O52/6)</f>
        <v>11</v>
      </c>
      <c r="T52" s="56" t="s">
        <v>562</v>
      </c>
      <c r="U52" s="56">
        <v>200</v>
      </c>
      <c r="AH52" s="26">
        <v>48</v>
      </c>
      <c r="AI52" s="26">
        <v>5</v>
      </c>
      <c r="AJ52" s="26">
        <v>6</v>
      </c>
      <c r="AK52" s="26">
        <f t="shared" si="0"/>
        <v>16</v>
      </c>
      <c r="AL52" s="26">
        <f t="shared" si="1"/>
        <v>27</v>
      </c>
      <c r="AM52" s="26">
        <f t="shared" si="4"/>
        <v>120</v>
      </c>
      <c r="AP52" s="18">
        <v>48</v>
      </c>
      <c r="AQ52" s="26">
        <v>6</v>
      </c>
      <c r="AR52" s="18">
        <v>2</v>
      </c>
      <c r="AS52" s="15">
        <f t="shared" si="5"/>
        <v>400</v>
      </c>
      <c r="AT52" s="15">
        <f t="shared" si="6"/>
        <v>1200</v>
      </c>
      <c r="AU52" s="15">
        <f t="shared" si="7"/>
        <v>12000</v>
      </c>
      <c r="AX52" s="18">
        <v>48</v>
      </c>
      <c r="AY52" s="26">
        <v>6</v>
      </c>
      <c r="AZ52" s="18">
        <v>3</v>
      </c>
      <c r="BA52" s="15">
        <f t="shared" si="8"/>
        <v>800</v>
      </c>
      <c r="BB52" s="15">
        <f t="shared" si="9"/>
        <v>2400</v>
      </c>
      <c r="BC52" s="15">
        <f t="shared" si="10"/>
        <v>18000</v>
      </c>
    </row>
    <row r="53" spans="1:55" ht="16.5" x14ac:dyDescent="0.2">
      <c r="A53" s="56">
        <v>29</v>
      </c>
      <c r="B53" s="56">
        <f t="shared" si="25"/>
        <v>10</v>
      </c>
      <c r="C53" s="56">
        <f t="shared" si="26"/>
        <v>2</v>
      </c>
      <c r="D53" s="56">
        <v>240</v>
      </c>
      <c r="E53" s="56">
        <v>360</v>
      </c>
      <c r="F53" s="56" t="s">
        <v>552</v>
      </c>
      <c r="G53" s="56">
        <f t="shared" si="20"/>
        <v>17280</v>
      </c>
      <c r="H53" s="56" t="s">
        <v>556</v>
      </c>
      <c r="I53" s="56">
        <f>INT(INDEX(挂机升级突破!$I$8:$I$22,章节关卡!$B53)*章节关卡!E53/6)</f>
        <v>15</v>
      </c>
      <c r="J53" s="56" t="s">
        <v>558</v>
      </c>
      <c r="K53" s="56">
        <v>60</v>
      </c>
      <c r="M53" s="56">
        <f t="shared" si="21"/>
        <v>11</v>
      </c>
      <c r="N53" s="56">
        <f t="shared" si="22"/>
        <v>360</v>
      </c>
      <c r="O53" s="56">
        <f t="shared" si="23"/>
        <v>540</v>
      </c>
      <c r="P53" s="56" t="s">
        <v>552</v>
      </c>
      <c r="Q53" s="56">
        <f t="shared" si="24"/>
        <v>25920</v>
      </c>
      <c r="R53" s="56" t="s">
        <v>556</v>
      </c>
      <c r="S53" s="56">
        <f>INT(INDEX(挂机升级突破!$I$8:$I$22,章节关卡!$B53)*章节关卡!O53/6)</f>
        <v>22</v>
      </c>
      <c r="T53" s="56" t="s">
        <v>563</v>
      </c>
      <c r="U53" s="56">
        <v>1</v>
      </c>
      <c r="AH53" s="26">
        <v>49</v>
      </c>
      <c r="AI53" s="26">
        <v>5</v>
      </c>
      <c r="AJ53" s="26">
        <v>7</v>
      </c>
      <c r="AK53" s="26">
        <f t="shared" si="0"/>
        <v>16</v>
      </c>
      <c r="AL53" s="26">
        <f t="shared" si="1"/>
        <v>28</v>
      </c>
      <c r="AM53" s="26">
        <f t="shared" si="4"/>
        <v>122</v>
      </c>
      <c r="AP53" s="18">
        <v>49</v>
      </c>
      <c r="AQ53" s="26">
        <v>6</v>
      </c>
      <c r="AR53" s="18">
        <v>3</v>
      </c>
      <c r="AS53" s="15">
        <f t="shared" si="5"/>
        <v>400</v>
      </c>
      <c r="AT53" s="15">
        <f t="shared" si="6"/>
        <v>1200</v>
      </c>
      <c r="AU53" s="15">
        <f t="shared" si="7"/>
        <v>12000</v>
      </c>
      <c r="AX53" s="18">
        <v>49</v>
      </c>
      <c r="AY53" s="26">
        <v>6</v>
      </c>
      <c r="AZ53" s="18">
        <v>4</v>
      </c>
      <c r="BA53" s="15">
        <f t="shared" si="8"/>
        <v>800</v>
      </c>
      <c r="BB53" s="15">
        <f t="shared" si="9"/>
        <v>2400</v>
      </c>
      <c r="BC53" s="15">
        <f t="shared" si="10"/>
        <v>18000</v>
      </c>
    </row>
    <row r="54" spans="1:55" ht="16.5" x14ac:dyDescent="0.2">
      <c r="A54" s="56">
        <v>30</v>
      </c>
      <c r="B54" s="56">
        <f t="shared" si="25"/>
        <v>10</v>
      </c>
      <c r="C54" s="56">
        <f t="shared" si="26"/>
        <v>3</v>
      </c>
      <c r="D54" s="56">
        <v>360</v>
      </c>
      <c r="E54" s="56">
        <v>540</v>
      </c>
      <c r="F54" s="56" t="s">
        <v>552</v>
      </c>
      <c r="G54" s="56">
        <f t="shared" si="20"/>
        <v>25920</v>
      </c>
      <c r="H54" s="56" t="s">
        <v>556</v>
      </c>
      <c r="I54" s="56">
        <f>INT(INDEX(挂机升级突破!$I$8:$I$22,章节关卡!$B54)*章节关卡!E54/6)</f>
        <v>22</v>
      </c>
      <c r="J54" s="56" t="s">
        <v>563</v>
      </c>
      <c r="K54" s="56">
        <v>1</v>
      </c>
      <c r="M54" s="56">
        <f t="shared" si="21"/>
        <v>11</v>
      </c>
      <c r="N54" s="56">
        <f t="shared" si="22"/>
        <v>540</v>
      </c>
      <c r="O54" s="56">
        <f t="shared" si="23"/>
        <v>810</v>
      </c>
      <c r="P54" s="56" t="s">
        <v>552</v>
      </c>
      <c r="Q54" s="56">
        <f t="shared" si="24"/>
        <v>38880</v>
      </c>
      <c r="R54" s="56" t="s">
        <v>556</v>
      </c>
      <c r="S54" s="56">
        <f>INT(INDEX(挂机升级突破!$I$8:$I$22,章节关卡!$B54)*章节关卡!O54/6)</f>
        <v>33</v>
      </c>
      <c r="T54" s="56" t="s">
        <v>563</v>
      </c>
      <c r="U54" s="56">
        <v>1</v>
      </c>
      <c r="AH54" s="26">
        <v>50</v>
      </c>
      <c r="AI54" s="26">
        <v>5</v>
      </c>
      <c r="AJ54" s="26">
        <v>8</v>
      </c>
      <c r="AK54" s="26">
        <f t="shared" si="0"/>
        <v>16</v>
      </c>
      <c r="AL54" s="26">
        <f t="shared" si="1"/>
        <v>28</v>
      </c>
      <c r="AM54" s="26">
        <f t="shared" si="4"/>
        <v>125</v>
      </c>
      <c r="AP54" s="18">
        <v>50</v>
      </c>
      <c r="AQ54" s="26">
        <v>6</v>
      </c>
      <c r="AR54" s="18">
        <v>4</v>
      </c>
      <c r="AS54" s="15">
        <f t="shared" si="5"/>
        <v>400</v>
      </c>
      <c r="AT54" s="15">
        <f t="shared" si="6"/>
        <v>1200</v>
      </c>
      <c r="AU54" s="15">
        <f t="shared" si="7"/>
        <v>12000</v>
      </c>
      <c r="AX54" s="18">
        <v>50</v>
      </c>
      <c r="AY54" s="26">
        <v>6</v>
      </c>
      <c r="AZ54" s="18">
        <v>5</v>
      </c>
      <c r="BA54" s="15">
        <f t="shared" si="8"/>
        <v>800</v>
      </c>
      <c r="BB54" s="15">
        <f t="shared" si="9"/>
        <v>2400</v>
      </c>
      <c r="BC54" s="15">
        <f t="shared" si="10"/>
        <v>18000</v>
      </c>
    </row>
    <row r="55" spans="1:55" ht="16.5" x14ac:dyDescent="0.2">
      <c r="A55" s="56">
        <v>31</v>
      </c>
      <c r="B55" s="56">
        <f t="shared" si="25"/>
        <v>11</v>
      </c>
      <c r="C55" s="56">
        <f t="shared" si="26"/>
        <v>1</v>
      </c>
      <c r="D55" s="56">
        <v>120</v>
      </c>
      <c r="E55" s="56">
        <v>180</v>
      </c>
      <c r="F55" s="56" t="s">
        <v>552</v>
      </c>
      <c r="G55" s="56">
        <f t="shared" si="20"/>
        <v>10800</v>
      </c>
      <c r="H55" s="56" t="s">
        <v>556</v>
      </c>
      <c r="I55" s="56">
        <f>INT(INDEX(挂机升级突破!$I$8:$I$22,章节关卡!$B55)*章节关卡!E55/6)</f>
        <v>15</v>
      </c>
      <c r="J55" s="56" t="s">
        <v>558</v>
      </c>
      <c r="K55" s="56">
        <v>40</v>
      </c>
      <c r="M55" s="56">
        <f t="shared" si="21"/>
        <v>12</v>
      </c>
      <c r="N55" s="56">
        <f t="shared" si="22"/>
        <v>180</v>
      </c>
      <c r="O55" s="56">
        <f t="shared" si="23"/>
        <v>270</v>
      </c>
      <c r="P55" s="56" t="s">
        <v>552</v>
      </c>
      <c r="Q55" s="56">
        <f t="shared" si="24"/>
        <v>16200</v>
      </c>
      <c r="R55" s="56" t="s">
        <v>556</v>
      </c>
      <c r="S55" s="56">
        <f>INT(INDEX(挂机升级突破!$I$8:$I$22,章节关卡!$B55)*章节关卡!O55/6)</f>
        <v>22</v>
      </c>
      <c r="T55" s="56" t="s">
        <v>562</v>
      </c>
      <c r="U55" s="56">
        <v>200</v>
      </c>
      <c r="AH55" s="26">
        <v>51</v>
      </c>
      <c r="AI55" s="26">
        <v>5</v>
      </c>
      <c r="AJ55" s="26">
        <v>9</v>
      </c>
      <c r="AK55" s="26">
        <f t="shared" si="0"/>
        <v>16</v>
      </c>
      <c r="AL55" s="26">
        <f t="shared" si="1"/>
        <v>29</v>
      </c>
      <c r="AM55" s="26">
        <f t="shared" si="4"/>
        <v>128</v>
      </c>
      <c r="AP55" s="18">
        <v>51</v>
      </c>
      <c r="AQ55" s="26">
        <v>6</v>
      </c>
      <c r="AR55" s="18">
        <v>5</v>
      </c>
      <c r="AS55" s="15">
        <f t="shared" si="5"/>
        <v>400</v>
      </c>
      <c r="AT55" s="15">
        <f t="shared" si="6"/>
        <v>1200</v>
      </c>
      <c r="AU55" s="15">
        <f t="shared" si="7"/>
        <v>12000</v>
      </c>
      <c r="AX55" s="18">
        <v>51</v>
      </c>
      <c r="AY55" s="26">
        <v>6</v>
      </c>
      <c r="AZ55" s="18">
        <v>6</v>
      </c>
      <c r="BA55" s="15">
        <f t="shared" si="8"/>
        <v>800</v>
      </c>
      <c r="BB55" s="15">
        <f t="shared" si="9"/>
        <v>2400</v>
      </c>
      <c r="BC55" s="15">
        <f t="shared" si="10"/>
        <v>18000</v>
      </c>
    </row>
    <row r="56" spans="1:55" ht="16.5" x14ac:dyDescent="0.2">
      <c r="A56" s="56">
        <v>32</v>
      </c>
      <c r="B56" s="56">
        <f t="shared" si="25"/>
        <v>11</v>
      </c>
      <c r="C56" s="56">
        <f t="shared" si="26"/>
        <v>2</v>
      </c>
      <c r="D56" s="56">
        <v>240</v>
      </c>
      <c r="E56" s="56">
        <v>360</v>
      </c>
      <c r="F56" s="56" t="s">
        <v>552</v>
      </c>
      <c r="G56" s="56">
        <f t="shared" si="20"/>
        <v>21600</v>
      </c>
      <c r="H56" s="56" t="s">
        <v>556</v>
      </c>
      <c r="I56" s="56">
        <f>INT(INDEX(挂机升级突破!$I$8:$I$22,章节关卡!$B56)*章节关卡!E56/6)</f>
        <v>30</v>
      </c>
      <c r="J56" s="56" t="s">
        <v>558</v>
      </c>
      <c r="K56" s="56">
        <v>60</v>
      </c>
      <c r="M56" s="56">
        <f t="shared" si="21"/>
        <v>12</v>
      </c>
      <c r="N56" s="56">
        <f t="shared" si="22"/>
        <v>360</v>
      </c>
      <c r="O56" s="56">
        <f t="shared" si="23"/>
        <v>540</v>
      </c>
      <c r="P56" s="56" t="s">
        <v>552</v>
      </c>
      <c r="Q56" s="56">
        <f t="shared" si="24"/>
        <v>32400</v>
      </c>
      <c r="R56" s="56" t="s">
        <v>556</v>
      </c>
      <c r="S56" s="56">
        <f>INT(INDEX(挂机升级突破!$I$8:$I$22,章节关卡!$B56)*章节关卡!O56/6)</f>
        <v>45</v>
      </c>
      <c r="T56" s="56" t="s">
        <v>563</v>
      </c>
      <c r="U56" s="56">
        <v>1</v>
      </c>
      <c r="AH56" s="26">
        <v>52</v>
      </c>
      <c r="AI56" s="26">
        <v>5</v>
      </c>
      <c r="AJ56" s="26">
        <v>10</v>
      </c>
      <c r="AK56" s="26">
        <f t="shared" si="0"/>
        <v>16</v>
      </c>
      <c r="AL56" s="26">
        <f t="shared" si="1"/>
        <v>29</v>
      </c>
      <c r="AM56" s="26">
        <f t="shared" si="4"/>
        <v>130</v>
      </c>
      <c r="AP56" s="18">
        <v>52</v>
      </c>
      <c r="AQ56" s="26">
        <v>6</v>
      </c>
      <c r="AR56" s="18">
        <v>6</v>
      </c>
      <c r="AS56" s="15">
        <f t="shared" si="5"/>
        <v>400</v>
      </c>
      <c r="AT56" s="15">
        <f t="shared" si="6"/>
        <v>1200</v>
      </c>
      <c r="AU56" s="15">
        <f t="shared" si="7"/>
        <v>12000</v>
      </c>
      <c r="AX56" s="18">
        <v>52</v>
      </c>
      <c r="AY56" s="26">
        <v>6</v>
      </c>
      <c r="AZ56" s="18">
        <v>7</v>
      </c>
      <c r="BA56" s="15">
        <f t="shared" si="8"/>
        <v>800</v>
      </c>
      <c r="BB56" s="15">
        <f t="shared" si="9"/>
        <v>2400</v>
      </c>
      <c r="BC56" s="15">
        <f t="shared" si="10"/>
        <v>18000</v>
      </c>
    </row>
    <row r="57" spans="1:55" ht="16.5" x14ac:dyDescent="0.2">
      <c r="A57" s="56">
        <v>33</v>
      </c>
      <c r="B57" s="56">
        <f t="shared" si="25"/>
        <v>11</v>
      </c>
      <c r="C57" s="56">
        <f t="shared" si="26"/>
        <v>3</v>
      </c>
      <c r="D57" s="56">
        <v>360</v>
      </c>
      <c r="E57" s="56">
        <v>540</v>
      </c>
      <c r="F57" s="56" t="s">
        <v>552</v>
      </c>
      <c r="G57" s="56">
        <f t="shared" si="20"/>
        <v>32400</v>
      </c>
      <c r="H57" s="56" t="s">
        <v>556</v>
      </c>
      <c r="I57" s="56">
        <f>INT(INDEX(挂机升级突破!$I$8:$I$22,章节关卡!$B57)*章节关卡!E57/6)</f>
        <v>45</v>
      </c>
      <c r="J57" s="56" t="s">
        <v>563</v>
      </c>
      <c r="K57" s="56">
        <v>1</v>
      </c>
      <c r="M57" s="56">
        <f t="shared" si="21"/>
        <v>12</v>
      </c>
      <c r="N57" s="56">
        <f t="shared" si="22"/>
        <v>540</v>
      </c>
      <c r="O57" s="56">
        <f t="shared" si="23"/>
        <v>810</v>
      </c>
      <c r="P57" s="56" t="s">
        <v>552</v>
      </c>
      <c r="Q57" s="56">
        <f t="shared" si="24"/>
        <v>48600</v>
      </c>
      <c r="R57" s="56" t="s">
        <v>556</v>
      </c>
      <c r="S57" s="56">
        <f>INT(INDEX(挂机升级突破!$I$8:$I$22,章节关卡!$B57)*章节关卡!O57/6)</f>
        <v>67</v>
      </c>
      <c r="T57" s="56" t="s">
        <v>563</v>
      </c>
      <c r="U57" s="56">
        <v>1</v>
      </c>
      <c r="AH57" s="26">
        <v>53</v>
      </c>
      <c r="AI57" s="26">
        <v>5</v>
      </c>
      <c r="AJ57" s="26">
        <v>11</v>
      </c>
      <c r="AK57" s="26">
        <f t="shared" si="0"/>
        <v>16</v>
      </c>
      <c r="AL57" s="26">
        <f t="shared" si="1"/>
        <v>30</v>
      </c>
      <c r="AM57" s="26">
        <f t="shared" si="4"/>
        <v>133</v>
      </c>
      <c r="AP57" s="18">
        <v>53</v>
      </c>
      <c r="AQ57" s="26">
        <v>6</v>
      </c>
      <c r="AR57" s="18">
        <v>7</v>
      </c>
      <c r="AS57" s="15">
        <f t="shared" si="5"/>
        <v>400</v>
      </c>
      <c r="AT57" s="15">
        <f t="shared" si="6"/>
        <v>1200</v>
      </c>
      <c r="AU57" s="15">
        <f t="shared" si="7"/>
        <v>12000</v>
      </c>
      <c r="AX57" s="18">
        <v>53</v>
      </c>
      <c r="AY57" s="26">
        <v>6</v>
      </c>
      <c r="AZ57" s="18">
        <v>8</v>
      </c>
      <c r="BA57" s="15">
        <f t="shared" si="8"/>
        <v>800</v>
      </c>
      <c r="BB57" s="15">
        <f t="shared" si="9"/>
        <v>2400</v>
      </c>
      <c r="BC57" s="15">
        <f t="shared" si="10"/>
        <v>18000</v>
      </c>
    </row>
    <row r="58" spans="1:55" ht="16.5" x14ac:dyDescent="0.2">
      <c r="A58" s="56">
        <v>34</v>
      </c>
      <c r="B58" s="56">
        <f t="shared" si="25"/>
        <v>12</v>
      </c>
      <c r="C58" s="56">
        <f t="shared" si="26"/>
        <v>1</v>
      </c>
      <c r="D58" s="56">
        <v>120</v>
      </c>
      <c r="E58" s="56">
        <v>180</v>
      </c>
      <c r="F58" s="56" t="s">
        <v>552</v>
      </c>
      <c r="G58" s="56">
        <f t="shared" si="20"/>
        <v>13200</v>
      </c>
      <c r="H58" s="56" t="s">
        <v>556</v>
      </c>
      <c r="I58" s="56">
        <f>INT(INDEX(挂机升级突破!$I$8:$I$22,章节关卡!$B58)*章节关卡!E58/6)</f>
        <v>22</v>
      </c>
      <c r="J58" s="56" t="s">
        <v>558</v>
      </c>
      <c r="K58" s="56">
        <v>40</v>
      </c>
      <c r="M58" s="56">
        <f t="shared" si="21"/>
        <v>13</v>
      </c>
      <c r="N58" s="56">
        <f t="shared" si="22"/>
        <v>180</v>
      </c>
      <c r="O58" s="56">
        <f t="shared" si="23"/>
        <v>270</v>
      </c>
      <c r="P58" s="56" t="s">
        <v>552</v>
      </c>
      <c r="Q58" s="56">
        <f t="shared" si="24"/>
        <v>19800</v>
      </c>
      <c r="R58" s="56" t="s">
        <v>556</v>
      </c>
      <c r="S58" s="56">
        <f>INT(INDEX(挂机升级突破!$I$8:$I$22,章节关卡!$B58)*章节关卡!O58/6)</f>
        <v>33</v>
      </c>
      <c r="T58" s="56" t="s">
        <v>562</v>
      </c>
      <c r="U58" s="56">
        <v>200</v>
      </c>
      <c r="AH58" s="26">
        <v>54</v>
      </c>
      <c r="AI58" s="26">
        <v>5</v>
      </c>
      <c r="AJ58" s="26">
        <v>12</v>
      </c>
      <c r="AK58" s="26">
        <f t="shared" si="0"/>
        <v>16</v>
      </c>
      <c r="AL58" s="26">
        <f t="shared" si="1"/>
        <v>30</v>
      </c>
      <c r="AM58" s="26">
        <f t="shared" si="4"/>
        <v>136</v>
      </c>
      <c r="AP58" s="18">
        <v>54</v>
      </c>
      <c r="AQ58" s="26">
        <v>6</v>
      </c>
      <c r="AR58" s="18">
        <v>8</v>
      </c>
      <c r="AS58" s="15">
        <f t="shared" si="5"/>
        <v>400</v>
      </c>
      <c r="AT58" s="15">
        <f t="shared" si="6"/>
        <v>1200</v>
      </c>
      <c r="AU58" s="15">
        <f t="shared" si="7"/>
        <v>12000</v>
      </c>
      <c r="AX58" s="18">
        <v>54</v>
      </c>
      <c r="AY58" s="26">
        <v>6</v>
      </c>
      <c r="AZ58" s="18">
        <v>9</v>
      </c>
      <c r="BA58" s="15">
        <f t="shared" si="8"/>
        <v>800</v>
      </c>
      <c r="BB58" s="15">
        <f t="shared" si="9"/>
        <v>2400</v>
      </c>
      <c r="BC58" s="15">
        <f t="shared" si="10"/>
        <v>18000</v>
      </c>
    </row>
    <row r="59" spans="1:55" ht="16.5" x14ac:dyDescent="0.2">
      <c r="A59" s="56">
        <v>35</v>
      </c>
      <c r="B59" s="56">
        <f t="shared" si="25"/>
        <v>12</v>
      </c>
      <c r="C59" s="56">
        <f t="shared" si="26"/>
        <v>2</v>
      </c>
      <c r="D59" s="56">
        <v>240</v>
      </c>
      <c r="E59" s="56">
        <v>360</v>
      </c>
      <c r="F59" s="56" t="s">
        <v>552</v>
      </c>
      <c r="G59" s="56">
        <f t="shared" si="20"/>
        <v>26400</v>
      </c>
      <c r="H59" s="56" t="s">
        <v>556</v>
      </c>
      <c r="I59" s="56">
        <f>INT(INDEX(挂机升级突破!$I$8:$I$22,章节关卡!$B59)*章节关卡!E59/6)</f>
        <v>45</v>
      </c>
      <c r="J59" s="56" t="s">
        <v>558</v>
      </c>
      <c r="K59" s="56">
        <v>60</v>
      </c>
      <c r="M59" s="56">
        <f t="shared" si="21"/>
        <v>13</v>
      </c>
      <c r="N59" s="56">
        <f t="shared" si="22"/>
        <v>360</v>
      </c>
      <c r="O59" s="56">
        <f t="shared" si="23"/>
        <v>540</v>
      </c>
      <c r="P59" s="56" t="s">
        <v>552</v>
      </c>
      <c r="Q59" s="56">
        <f t="shared" si="24"/>
        <v>39600</v>
      </c>
      <c r="R59" s="56" t="s">
        <v>556</v>
      </c>
      <c r="S59" s="56">
        <f>INT(INDEX(挂机升级突破!$I$8:$I$22,章节关卡!$B59)*章节关卡!O59/6)</f>
        <v>67</v>
      </c>
      <c r="T59" s="56" t="s">
        <v>563</v>
      </c>
      <c r="U59" s="56">
        <v>1</v>
      </c>
      <c r="AH59" s="26">
        <v>55</v>
      </c>
      <c r="AI59" s="26">
        <v>5</v>
      </c>
      <c r="AJ59" s="26">
        <v>13</v>
      </c>
      <c r="AK59" s="26">
        <f t="shared" si="0"/>
        <v>16</v>
      </c>
      <c r="AL59" s="26">
        <f t="shared" si="1"/>
        <v>31</v>
      </c>
      <c r="AM59" s="26">
        <f t="shared" si="4"/>
        <v>138</v>
      </c>
      <c r="AP59" s="18">
        <v>55</v>
      </c>
      <c r="AQ59" s="26">
        <v>6</v>
      </c>
      <c r="AR59" s="18">
        <v>9</v>
      </c>
      <c r="AS59" s="15">
        <f t="shared" si="5"/>
        <v>400</v>
      </c>
      <c r="AT59" s="15">
        <f t="shared" si="6"/>
        <v>1200</v>
      </c>
      <c r="AU59" s="15">
        <f t="shared" si="7"/>
        <v>12000</v>
      </c>
      <c r="AX59" s="18">
        <v>55</v>
      </c>
      <c r="AY59" s="26">
        <v>6</v>
      </c>
      <c r="AZ59" s="18">
        <v>10</v>
      </c>
      <c r="BA59" s="15">
        <f t="shared" si="8"/>
        <v>800</v>
      </c>
      <c r="BB59" s="15">
        <f t="shared" si="9"/>
        <v>2400</v>
      </c>
      <c r="BC59" s="15">
        <f t="shared" si="10"/>
        <v>18000</v>
      </c>
    </row>
    <row r="60" spans="1:55" ht="16.5" x14ac:dyDescent="0.2">
      <c r="A60" s="56">
        <v>36</v>
      </c>
      <c r="B60" s="56">
        <f t="shared" si="25"/>
        <v>12</v>
      </c>
      <c r="C60" s="56">
        <f t="shared" si="26"/>
        <v>3</v>
      </c>
      <c r="D60" s="56">
        <v>360</v>
      </c>
      <c r="E60" s="56">
        <v>540</v>
      </c>
      <c r="F60" s="56" t="s">
        <v>552</v>
      </c>
      <c r="G60" s="56">
        <f t="shared" si="20"/>
        <v>39600</v>
      </c>
      <c r="H60" s="56" t="s">
        <v>556</v>
      </c>
      <c r="I60" s="56">
        <f>INT(INDEX(挂机升级突破!$I$8:$I$22,章节关卡!$B60)*章节关卡!E60/6)</f>
        <v>67</v>
      </c>
      <c r="J60" s="56" t="s">
        <v>563</v>
      </c>
      <c r="K60" s="56">
        <v>1</v>
      </c>
      <c r="M60" s="56">
        <f t="shared" si="21"/>
        <v>13</v>
      </c>
      <c r="N60" s="56">
        <f t="shared" si="22"/>
        <v>540</v>
      </c>
      <c r="O60" s="56">
        <f t="shared" si="23"/>
        <v>810</v>
      </c>
      <c r="P60" s="56" t="s">
        <v>552</v>
      </c>
      <c r="Q60" s="56">
        <f t="shared" si="24"/>
        <v>59400</v>
      </c>
      <c r="R60" s="56" t="s">
        <v>556</v>
      </c>
      <c r="S60" s="56">
        <f>INT(INDEX(挂机升级突破!$I$8:$I$22,章节关卡!$B60)*章节关卡!O60/6)</f>
        <v>101</v>
      </c>
      <c r="T60" s="56" t="s">
        <v>563</v>
      </c>
      <c r="U60" s="56">
        <v>1</v>
      </c>
      <c r="AH60" s="26">
        <v>56</v>
      </c>
      <c r="AI60" s="26">
        <v>5</v>
      </c>
      <c r="AJ60" s="26">
        <v>14</v>
      </c>
      <c r="AK60" s="26">
        <f t="shared" si="0"/>
        <v>16</v>
      </c>
      <c r="AL60" s="26">
        <f t="shared" si="1"/>
        <v>31</v>
      </c>
      <c r="AM60" s="26">
        <f t="shared" si="4"/>
        <v>141</v>
      </c>
      <c r="AP60" s="18">
        <v>56</v>
      </c>
      <c r="AQ60" s="26">
        <v>6</v>
      </c>
      <c r="AR60" s="18">
        <v>10</v>
      </c>
      <c r="AS60" s="15">
        <f t="shared" si="5"/>
        <v>400</v>
      </c>
      <c r="AT60" s="15">
        <f t="shared" si="6"/>
        <v>1200</v>
      </c>
      <c r="AU60" s="15">
        <f t="shared" si="7"/>
        <v>12000</v>
      </c>
      <c r="AX60" s="18">
        <v>56</v>
      </c>
      <c r="AY60" s="26">
        <v>6</v>
      </c>
      <c r="AZ60" s="18">
        <v>11</v>
      </c>
      <c r="BA60" s="15">
        <f t="shared" si="8"/>
        <v>800</v>
      </c>
      <c r="BB60" s="15">
        <f t="shared" si="9"/>
        <v>2400</v>
      </c>
      <c r="BC60" s="15">
        <f t="shared" si="10"/>
        <v>18000</v>
      </c>
    </row>
    <row r="61" spans="1:55" ht="16.5" x14ac:dyDescent="0.2">
      <c r="A61" s="56">
        <v>37</v>
      </c>
      <c r="B61" s="56">
        <f t="shared" si="25"/>
        <v>13</v>
      </c>
      <c r="C61" s="56">
        <f t="shared" si="26"/>
        <v>1</v>
      </c>
      <c r="D61" s="56">
        <v>120</v>
      </c>
      <c r="E61" s="56">
        <v>180</v>
      </c>
      <c r="F61" s="56" t="s">
        <v>552</v>
      </c>
      <c r="G61" s="56">
        <f t="shared" si="20"/>
        <v>15600</v>
      </c>
      <c r="H61" s="56" t="s">
        <v>557</v>
      </c>
      <c r="I61" s="56">
        <f>INT(INDEX(挂机升级突破!$J$8:$J$22,章节关卡!$B61)*章节关卡!E61/6)</f>
        <v>7</v>
      </c>
      <c r="J61" s="56" t="s">
        <v>558</v>
      </c>
      <c r="K61" s="56">
        <v>40</v>
      </c>
      <c r="M61" s="56">
        <f t="shared" si="21"/>
        <v>14</v>
      </c>
      <c r="N61" s="56">
        <f t="shared" si="22"/>
        <v>180</v>
      </c>
      <c r="O61" s="56">
        <f t="shared" si="23"/>
        <v>270</v>
      </c>
      <c r="P61" s="56" t="s">
        <v>552</v>
      </c>
      <c r="Q61" s="56">
        <f t="shared" si="24"/>
        <v>23400</v>
      </c>
      <c r="R61" s="56" t="s">
        <v>557</v>
      </c>
      <c r="S61" s="56">
        <f>INT(INDEX(挂机升级突破!$J$8:$J$22,章节关卡!$B61)*章节关卡!O61/6)</f>
        <v>11</v>
      </c>
      <c r="T61" s="56" t="s">
        <v>562</v>
      </c>
      <c r="U61" s="56">
        <v>200</v>
      </c>
      <c r="AH61" s="26">
        <v>57</v>
      </c>
      <c r="AI61" s="26">
        <v>5</v>
      </c>
      <c r="AJ61" s="26">
        <v>15</v>
      </c>
      <c r="AK61" s="26">
        <f t="shared" si="0"/>
        <v>16</v>
      </c>
      <c r="AL61" s="26">
        <f t="shared" si="1"/>
        <v>32</v>
      </c>
      <c r="AM61" s="26">
        <f t="shared" si="4"/>
        <v>144</v>
      </c>
      <c r="AP61" s="18">
        <v>57</v>
      </c>
      <c r="AQ61" s="26">
        <v>6</v>
      </c>
      <c r="AR61" s="18">
        <v>11</v>
      </c>
      <c r="AS61" s="15">
        <f t="shared" si="5"/>
        <v>400</v>
      </c>
      <c r="AT61" s="15">
        <f t="shared" si="6"/>
        <v>1200</v>
      </c>
      <c r="AU61" s="15">
        <f t="shared" si="7"/>
        <v>12000</v>
      </c>
      <c r="AX61" s="18">
        <v>57</v>
      </c>
      <c r="AY61" s="26">
        <v>6</v>
      </c>
      <c r="AZ61" s="18">
        <v>12</v>
      </c>
      <c r="BA61" s="15">
        <f t="shared" si="8"/>
        <v>800</v>
      </c>
      <c r="BB61" s="15">
        <f t="shared" si="9"/>
        <v>2400</v>
      </c>
      <c r="BC61" s="15">
        <f t="shared" si="10"/>
        <v>18000</v>
      </c>
    </row>
    <row r="62" spans="1:55" ht="16.5" x14ac:dyDescent="0.2">
      <c r="A62" s="56">
        <v>38</v>
      </c>
      <c r="B62" s="56">
        <f t="shared" si="25"/>
        <v>13</v>
      </c>
      <c r="C62" s="56">
        <f t="shared" si="26"/>
        <v>2</v>
      </c>
      <c r="D62" s="56">
        <v>240</v>
      </c>
      <c r="E62" s="56">
        <v>360</v>
      </c>
      <c r="F62" s="56" t="s">
        <v>552</v>
      </c>
      <c r="G62" s="56">
        <f t="shared" si="20"/>
        <v>31200</v>
      </c>
      <c r="H62" s="56" t="s">
        <v>557</v>
      </c>
      <c r="I62" s="56">
        <f>INT(INDEX(挂机升级突破!$J$8:$J$22,章节关卡!$B62)*章节关卡!E62/6)</f>
        <v>15</v>
      </c>
      <c r="J62" s="56" t="s">
        <v>558</v>
      </c>
      <c r="K62" s="56">
        <v>60</v>
      </c>
      <c r="M62" s="56">
        <f t="shared" si="21"/>
        <v>14</v>
      </c>
      <c r="N62" s="56">
        <f t="shared" si="22"/>
        <v>360</v>
      </c>
      <c r="O62" s="56">
        <f t="shared" si="23"/>
        <v>540</v>
      </c>
      <c r="P62" s="56" t="s">
        <v>552</v>
      </c>
      <c r="Q62" s="56">
        <f t="shared" si="24"/>
        <v>46800</v>
      </c>
      <c r="R62" s="56" t="s">
        <v>557</v>
      </c>
      <c r="S62" s="56">
        <f>INT(INDEX(挂机升级突破!$J$8:$J$22,章节关卡!$B62)*章节关卡!O62/6)</f>
        <v>22</v>
      </c>
      <c r="T62" s="56" t="s">
        <v>563</v>
      </c>
      <c r="U62" s="56">
        <v>1</v>
      </c>
      <c r="AH62" s="26">
        <v>58</v>
      </c>
      <c r="AI62" s="26">
        <v>6</v>
      </c>
      <c r="AJ62" s="26">
        <v>1</v>
      </c>
      <c r="AK62" s="26">
        <f t="shared" si="0"/>
        <v>20</v>
      </c>
      <c r="AL62" s="26">
        <f t="shared" si="1"/>
        <v>32</v>
      </c>
      <c r="AM62" s="26">
        <f t="shared" si="4"/>
        <v>147</v>
      </c>
      <c r="AP62" s="18">
        <v>58</v>
      </c>
      <c r="AQ62" s="26">
        <v>6</v>
      </c>
      <c r="AR62" s="18">
        <v>12</v>
      </c>
      <c r="AS62" s="15">
        <f t="shared" si="5"/>
        <v>400</v>
      </c>
      <c r="AT62" s="15">
        <f t="shared" si="6"/>
        <v>1200</v>
      </c>
      <c r="AU62" s="15">
        <f t="shared" si="7"/>
        <v>12000</v>
      </c>
      <c r="AX62" s="18">
        <v>58</v>
      </c>
      <c r="AY62" s="26">
        <v>6</v>
      </c>
      <c r="AZ62" s="18">
        <v>13</v>
      </c>
      <c r="BA62" s="15">
        <f t="shared" si="8"/>
        <v>800</v>
      </c>
      <c r="BB62" s="15">
        <f t="shared" si="9"/>
        <v>2400</v>
      </c>
      <c r="BC62" s="15">
        <f t="shared" si="10"/>
        <v>18000</v>
      </c>
    </row>
    <row r="63" spans="1:55" ht="16.5" x14ac:dyDescent="0.2">
      <c r="A63" s="56">
        <v>39</v>
      </c>
      <c r="B63" s="56">
        <f t="shared" si="25"/>
        <v>13</v>
      </c>
      <c r="C63" s="56">
        <f t="shared" si="26"/>
        <v>3</v>
      </c>
      <c r="D63" s="56">
        <v>360</v>
      </c>
      <c r="E63" s="56">
        <v>540</v>
      </c>
      <c r="F63" s="56" t="s">
        <v>552</v>
      </c>
      <c r="G63" s="56">
        <f t="shared" si="20"/>
        <v>46800</v>
      </c>
      <c r="H63" s="56" t="s">
        <v>557</v>
      </c>
      <c r="I63" s="56">
        <f>INT(INDEX(挂机升级突破!$J$8:$J$22,章节关卡!$B63)*章节关卡!E63/6)</f>
        <v>22</v>
      </c>
      <c r="J63" s="56" t="s">
        <v>563</v>
      </c>
      <c r="K63" s="56">
        <v>1</v>
      </c>
      <c r="M63" s="56">
        <f t="shared" si="21"/>
        <v>14</v>
      </c>
      <c r="N63" s="56">
        <f t="shared" si="22"/>
        <v>540</v>
      </c>
      <c r="O63" s="56">
        <f t="shared" si="23"/>
        <v>810</v>
      </c>
      <c r="P63" s="56" t="s">
        <v>552</v>
      </c>
      <c r="Q63" s="56">
        <f t="shared" si="24"/>
        <v>70200</v>
      </c>
      <c r="R63" s="56" t="s">
        <v>557</v>
      </c>
      <c r="S63" s="56">
        <f>INT(INDEX(挂机升级突破!$J$8:$J$22,章节关卡!$B63)*章节关卡!O63/6)</f>
        <v>33</v>
      </c>
      <c r="T63" s="56" t="s">
        <v>563</v>
      </c>
      <c r="U63" s="56">
        <v>1</v>
      </c>
      <c r="AH63" s="26">
        <v>59</v>
      </c>
      <c r="AI63" s="26">
        <v>6</v>
      </c>
      <c r="AJ63" s="26">
        <v>2</v>
      </c>
      <c r="AK63" s="26">
        <f t="shared" si="0"/>
        <v>20</v>
      </c>
      <c r="AL63" s="26">
        <f t="shared" si="1"/>
        <v>33</v>
      </c>
      <c r="AM63" s="26">
        <f t="shared" si="4"/>
        <v>151</v>
      </c>
      <c r="AP63" s="18">
        <v>59</v>
      </c>
      <c r="AQ63" s="26">
        <v>6</v>
      </c>
      <c r="AR63" s="18">
        <v>13</v>
      </c>
      <c r="AS63" s="15">
        <f t="shared" si="5"/>
        <v>400</v>
      </c>
      <c r="AT63" s="15">
        <f t="shared" si="6"/>
        <v>1200</v>
      </c>
      <c r="AU63" s="15">
        <f t="shared" si="7"/>
        <v>12000</v>
      </c>
      <c r="AX63" s="18">
        <v>59</v>
      </c>
      <c r="AY63" s="26">
        <v>6</v>
      </c>
      <c r="AZ63" s="18">
        <v>14</v>
      </c>
      <c r="BA63" s="15">
        <f t="shared" si="8"/>
        <v>800</v>
      </c>
      <c r="BB63" s="15">
        <f t="shared" si="9"/>
        <v>2400</v>
      </c>
      <c r="BC63" s="15">
        <f t="shared" si="10"/>
        <v>18000</v>
      </c>
    </row>
    <row r="64" spans="1:55" ht="16.5" x14ac:dyDescent="0.2">
      <c r="A64" s="56">
        <v>40</v>
      </c>
      <c r="B64" s="56">
        <f t="shared" si="25"/>
        <v>14</v>
      </c>
      <c r="C64" s="56">
        <f t="shared" si="26"/>
        <v>1</v>
      </c>
      <c r="D64" s="56">
        <v>120</v>
      </c>
      <c r="E64" s="56">
        <v>180</v>
      </c>
      <c r="F64" s="56" t="s">
        <v>552</v>
      </c>
      <c r="G64" s="56">
        <f t="shared" si="20"/>
        <v>18000</v>
      </c>
      <c r="H64" s="56" t="s">
        <v>557</v>
      </c>
      <c r="I64" s="56">
        <f>INT(INDEX(挂机升级突破!$J$8:$J$22,章节关卡!$B64)*章节关卡!E64/6)</f>
        <v>15</v>
      </c>
      <c r="J64" s="56" t="s">
        <v>558</v>
      </c>
      <c r="K64" s="56">
        <v>40</v>
      </c>
      <c r="M64" s="56">
        <f t="shared" si="21"/>
        <v>15</v>
      </c>
      <c r="N64" s="56">
        <f t="shared" si="22"/>
        <v>180</v>
      </c>
      <c r="O64" s="56">
        <f t="shared" si="23"/>
        <v>270</v>
      </c>
      <c r="P64" s="56" t="s">
        <v>552</v>
      </c>
      <c r="Q64" s="56">
        <f t="shared" si="24"/>
        <v>27000</v>
      </c>
      <c r="R64" s="56" t="s">
        <v>557</v>
      </c>
      <c r="S64" s="56">
        <f>INT(INDEX(挂机升级突破!$J$8:$J$22,章节关卡!$B64)*章节关卡!O64/6)</f>
        <v>22</v>
      </c>
      <c r="T64" s="56" t="s">
        <v>562</v>
      </c>
      <c r="U64" s="56">
        <v>200</v>
      </c>
      <c r="AH64" s="26">
        <v>60</v>
      </c>
      <c r="AI64" s="26">
        <v>6</v>
      </c>
      <c r="AJ64" s="26">
        <v>3</v>
      </c>
      <c r="AK64" s="26">
        <f t="shared" si="0"/>
        <v>20</v>
      </c>
      <c r="AL64" s="26">
        <f t="shared" si="1"/>
        <v>33</v>
      </c>
      <c r="AM64" s="26">
        <f t="shared" si="4"/>
        <v>155</v>
      </c>
      <c r="AP64" s="18">
        <v>60</v>
      </c>
      <c r="AQ64" s="26">
        <v>6</v>
      </c>
      <c r="AR64" s="18">
        <v>14</v>
      </c>
      <c r="AS64" s="15">
        <f t="shared" si="5"/>
        <v>400</v>
      </c>
      <c r="AT64" s="15">
        <f t="shared" si="6"/>
        <v>1200</v>
      </c>
      <c r="AU64" s="15">
        <f t="shared" si="7"/>
        <v>12000</v>
      </c>
      <c r="AX64" s="18">
        <v>60</v>
      </c>
      <c r="AY64" s="26">
        <v>6</v>
      </c>
      <c r="AZ64" s="18">
        <v>15</v>
      </c>
      <c r="BA64" s="15">
        <f t="shared" si="8"/>
        <v>800</v>
      </c>
      <c r="BB64" s="15">
        <f t="shared" si="9"/>
        <v>2400</v>
      </c>
      <c r="BC64" s="15">
        <f t="shared" si="10"/>
        <v>18000</v>
      </c>
    </row>
    <row r="65" spans="1:55" ht="16.5" x14ac:dyDescent="0.2">
      <c r="A65" s="56">
        <v>41</v>
      </c>
      <c r="B65" s="56">
        <f t="shared" si="25"/>
        <v>14</v>
      </c>
      <c r="C65" s="56">
        <f t="shared" si="26"/>
        <v>2</v>
      </c>
      <c r="D65" s="56">
        <v>240</v>
      </c>
      <c r="E65" s="56">
        <v>360</v>
      </c>
      <c r="F65" s="56" t="s">
        <v>552</v>
      </c>
      <c r="G65" s="56">
        <f t="shared" si="20"/>
        <v>36000</v>
      </c>
      <c r="H65" s="56" t="s">
        <v>557</v>
      </c>
      <c r="I65" s="56">
        <f>INT(INDEX(挂机升级突破!$J$8:$J$22,章节关卡!$B65)*章节关卡!E65/6)</f>
        <v>30</v>
      </c>
      <c r="J65" s="56" t="s">
        <v>558</v>
      </c>
      <c r="K65" s="56">
        <v>60</v>
      </c>
      <c r="M65" s="56">
        <f t="shared" si="21"/>
        <v>15</v>
      </c>
      <c r="N65" s="56">
        <f t="shared" si="22"/>
        <v>360</v>
      </c>
      <c r="O65" s="56">
        <f t="shared" si="23"/>
        <v>540</v>
      </c>
      <c r="P65" s="56" t="s">
        <v>552</v>
      </c>
      <c r="Q65" s="56">
        <f t="shared" si="24"/>
        <v>54000</v>
      </c>
      <c r="R65" s="56" t="s">
        <v>557</v>
      </c>
      <c r="S65" s="56">
        <f>INT(INDEX(挂机升级突破!$J$8:$J$22,章节关卡!$B65)*章节关卡!O65/6)</f>
        <v>45</v>
      </c>
      <c r="T65" s="56" t="s">
        <v>563</v>
      </c>
      <c r="U65" s="56">
        <v>1</v>
      </c>
      <c r="AH65" s="26">
        <v>61</v>
      </c>
      <c r="AI65" s="26">
        <v>6</v>
      </c>
      <c r="AJ65" s="26">
        <v>4</v>
      </c>
      <c r="AK65" s="26">
        <f t="shared" si="0"/>
        <v>20</v>
      </c>
      <c r="AL65" s="26">
        <f t="shared" si="1"/>
        <v>34</v>
      </c>
      <c r="AM65" s="26">
        <f t="shared" si="4"/>
        <v>158</v>
      </c>
      <c r="AP65" s="18">
        <v>61</v>
      </c>
      <c r="AQ65" s="26">
        <v>6</v>
      </c>
      <c r="AR65" s="18">
        <v>15</v>
      </c>
      <c r="AS65" s="15">
        <f t="shared" si="5"/>
        <v>400</v>
      </c>
      <c r="AT65" s="15">
        <f t="shared" si="6"/>
        <v>1200</v>
      </c>
      <c r="AU65" s="15">
        <f t="shared" si="7"/>
        <v>12000</v>
      </c>
      <c r="AX65" s="18">
        <v>61</v>
      </c>
      <c r="AY65" s="26">
        <v>7</v>
      </c>
      <c r="AZ65" s="18">
        <v>1</v>
      </c>
      <c r="BA65" s="15">
        <f t="shared" si="8"/>
        <v>1000</v>
      </c>
      <c r="BB65" s="15">
        <f t="shared" si="9"/>
        <v>3000</v>
      </c>
      <c r="BC65" s="15">
        <f t="shared" si="10"/>
        <v>24750</v>
      </c>
    </row>
    <row r="66" spans="1:55" ht="16.5" x14ac:dyDescent="0.2">
      <c r="A66" s="56">
        <v>42</v>
      </c>
      <c r="B66" s="56">
        <f t="shared" si="25"/>
        <v>14</v>
      </c>
      <c r="C66" s="56">
        <f t="shared" si="26"/>
        <v>3</v>
      </c>
      <c r="D66" s="56">
        <v>360</v>
      </c>
      <c r="E66" s="56">
        <v>540</v>
      </c>
      <c r="F66" s="56" t="s">
        <v>552</v>
      </c>
      <c r="G66" s="56">
        <f t="shared" si="20"/>
        <v>54000</v>
      </c>
      <c r="H66" s="56" t="s">
        <v>557</v>
      </c>
      <c r="I66" s="56">
        <f>INT(INDEX(挂机升级突破!$J$8:$J$22,章节关卡!$B66)*章节关卡!E66/6)</f>
        <v>45</v>
      </c>
      <c r="J66" s="56" t="s">
        <v>563</v>
      </c>
      <c r="K66" s="56">
        <v>1</v>
      </c>
      <c r="M66" s="56">
        <f t="shared" si="21"/>
        <v>15</v>
      </c>
      <c r="N66" s="56">
        <f t="shared" si="22"/>
        <v>540</v>
      </c>
      <c r="O66" s="56">
        <f t="shared" si="23"/>
        <v>810</v>
      </c>
      <c r="P66" s="56" t="s">
        <v>552</v>
      </c>
      <c r="Q66" s="56">
        <f t="shared" si="24"/>
        <v>81000</v>
      </c>
      <c r="R66" s="56" t="s">
        <v>557</v>
      </c>
      <c r="S66" s="56">
        <f>INT(INDEX(挂机升级突破!$J$8:$J$22,章节关卡!$B66)*章节关卡!O66/6)</f>
        <v>67</v>
      </c>
      <c r="T66" s="56" t="s">
        <v>563</v>
      </c>
      <c r="U66" s="56">
        <v>1</v>
      </c>
      <c r="AH66" s="26">
        <v>62</v>
      </c>
      <c r="AI66" s="26">
        <v>6</v>
      </c>
      <c r="AJ66" s="26">
        <v>5</v>
      </c>
      <c r="AK66" s="26">
        <f t="shared" si="0"/>
        <v>20</v>
      </c>
      <c r="AL66" s="26">
        <f t="shared" si="1"/>
        <v>34</v>
      </c>
      <c r="AM66" s="26">
        <f t="shared" si="4"/>
        <v>162</v>
      </c>
      <c r="AP66" s="18">
        <v>62</v>
      </c>
      <c r="AQ66" s="26">
        <v>7</v>
      </c>
      <c r="AR66" s="18">
        <v>1</v>
      </c>
      <c r="AS66" s="15">
        <f t="shared" si="5"/>
        <v>500</v>
      </c>
      <c r="AT66" s="15">
        <f t="shared" si="6"/>
        <v>1500</v>
      </c>
      <c r="AU66" s="15">
        <f t="shared" si="7"/>
        <v>16500</v>
      </c>
      <c r="AX66" s="18">
        <v>62</v>
      </c>
      <c r="AY66" s="26">
        <v>7</v>
      </c>
      <c r="AZ66" s="18">
        <v>2</v>
      </c>
      <c r="BA66" s="15">
        <f t="shared" si="8"/>
        <v>1000</v>
      </c>
      <c r="BB66" s="15">
        <f t="shared" si="9"/>
        <v>3000</v>
      </c>
      <c r="BC66" s="15">
        <f t="shared" si="10"/>
        <v>24750</v>
      </c>
    </row>
    <row r="67" spans="1:55" ht="16.5" x14ac:dyDescent="0.2">
      <c r="A67" s="56">
        <v>43</v>
      </c>
      <c r="B67" s="56">
        <f t="shared" si="25"/>
        <v>15</v>
      </c>
      <c r="C67" s="56">
        <f t="shared" si="26"/>
        <v>1</v>
      </c>
      <c r="D67" s="56">
        <v>120</v>
      </c>
      <c r="E67" s="56">
        <v>180</v>
      </c>
      <c r="F67" s="56" t="s">
        <v>552</v>
      </c>
      <c r="G67" s="56">
        <f t="shared" si="20"/>
        <v>21000</v>
      </c>
      <c r="H67" s="56" t="s">
        <v>557</v>
      </c>
      <c r="I67" s="56">
        <f>INT(INDEX(挂机升级突破!$J$8:$J$22,章节关卡!$B67)*章节关卡!E67/6)</f>
        <v>30</v>
      </c>
      <c r="J67" s="56" t="s">
        <v>558</v>
      </c>
      <c r="K67" s="56">
        <v>40</v>
      </c>
      <c r="M67" s="56">
        <v>15</v>
      </c>
      <c r="N67" s="56">
        <f>N64*1.5</f>
        <v>270</v>
      </c>
      <c r="O67" s="56">
        <f>E67*N$22</f>
        <v>270</v>
      </c>
      <c r="P67" s="56" t="s">
        <v>552</v>
      </c>
      <c r="Q67" s="56">
        <f t="shared" si="24"/>
        <v>47250</v>
      </c>
      <c r="R67" s="56" t="s">
        <v>557</v>
      </c>
      <c r="S67" s="56">
        <f>INT(INDEX(挂机升级突破!$J$8:$J$22,章节关卡!$B67)*章节关卡!O67/6)</f>
        <v>45</v>
      </c>
      <c r="T67" s="56" t="s">
        <v>562</v>
      </c>
      <c r="U67" s="56">
        <v>200</v>
      </c>
      <c r="AH67" s="26">
        <v>63</v>
      </c>
      <c r="AI67" s="26">
        <v>6</v>
      </c>
      <c r="AJ67" s="26">
        <v>6</v>
      </c>
      <c r="AK67" s="26">
        <f t="shared" si="0"/>
        <v>20</v>
      </c>
      <c r="AL67" s="26">
        <f t="shared" si="1"/>
        <v>35</v>
      </c>
      <c r="AM67" s="26">
        <f t="shared" si="4"/>
        <v>166</v>
      </c>
      <c r="AP67" s="18">
        <v>63</v>
      </c>
      <c r="AQ67" s="26">
        <v>7</v>
      </c>
      <c r="AR67" s="18">
        <v>2</v>
      </c>
      <c r="AS67" s="15">
        <f t="shared" si="5"/>
        <v>500</v>
      </c>
      <c r="AT67" s="15">
        <f t="shared" si="6"/>
        <v>1500</v>
      </c>
      <c r="AU67" s="15">
        <f t="shared" si="7"/>
        <v>16500</v>
      </c>
      <c r="AX67" s="18">
        <v>63</v>
      </c>
      <c r="AY67" s="26">
        <v>7</v>
      </c>
      <c r="AZ67" s="18">
        <v>3</v>
      </c>
      <c r="BA67" s="15">
        <f t="shared" si="8"/>
        <v>1000</v>
      </c>
      <c r="BB67" s="15">
        <f t="shared" si="9"/>
        <v>3000</v>
      </c>
      <c r="BC67" s="15">
        <f t="shared" si="10"/>
        <v>24750</v>
      </c>
    </row>
    <row r="68" spans="1:55" ht="16.5" x14ac:dyDescent="0.2">
      <c r="A68" s="56">
        <v>44</v>
      </c>
      <c r="B68" s="56">
        <f t="shared" si="25"/>
        <v>15</v>
      </c>
      <c r="C68" s="56">
        <f t="shared" si="26"/>
        <v>2</v>
      </c>
      <c r="D68" s="56">
        <v>240</v>
      </c>
      <c r="E68" s="56">
        <v>360</v>
      </c>
      <c r="F68" s="56" t="s">
        <v>552</v>
      </c>
      <c r="G68" s="56">
        <f t="shared" si="20"/>
        <v>42000</v>
      </c>
      <c r="H68" s="56" t="s">
        <v>557</v>
      </c>
      <c r="I68" s="56">
        <f>INT(INDEX(挂机升级突破!$J$8:$J$22,章节关卡!$B68)*章节关卡!E68/6)</f>
        <v>60</v>
      </c>
      <c r="J68" s="56" t="s">
        <v>558</v>
      </c>
      <c r="K68" s="56">
        <v>60</v>
      </c>
      <c r="M68" s="56">
        <v>15</v>
      </c>
      <c r="N68" s="56">
        <f t="shared" ref="N68:N69" si="27">N65*1.5</f>
        <v>540</v>
      </c>
      <c r="O68" s="56">
        <f>E68*N$22</f>
        <v>540</v>
      </c>
      <c r="P68" s="56" t="s">
        <v>552</v>
      </c>
      <c r="Q68" s="56">
        <f t="shared" si="24"/>
        <v>94500</v>
      </c>
      <c r="R68" s="56" t="s">
        <v>557</v>
      </c>
      <c r="S68" s="56">
        <f>INT(INDEX(挂机升级突破!$J$8:$J$22,章节关卡!$B68)*章节关卡!O68/6)</f>
        <v>90</v>
      </c>
      <c r="T68" s="56" t="s">
        <v>563</v>
      </c>
      <c r="U68" s="56">
        <v>1</v>
      </c>
      <c r="AH68" s="26">
        <v>64</v>
      </c>
      <c r="AI68" s="26">
        <v>6</v>
      </c>
      <c r="AJ68" s="26">
        <v>7</v>
      </c>
      <c r="AK68" s="26">
        <f t="shared" si="0"/>
        <v>20</v>
      </c>
      <c r="AL68" s="26">
        <f t="shared" si="1"/>
        <v>35</v>
      </c>
      <c r="AM68" s="26">
        <f t="shared" si="4"/>
        <v>170</v>
      </c>
      <c r="AP68" s="18">
        <v>64</v>
      </c>
      <c r="AQ68" s="26">
        <v>7</v>
      </c>
      <c r="AR68" s="18">
        <v>3</v>
      </c>
      <c r="AS68" s="15">
        <f t="shared" si="5"/>
        <v>500</v>
      </c>
      <c r="AT68" s="15">
        <f t="shared" si="6"/>
        <v>1500</v>
      </c>
      <c r="AU68" s="15">
        <f t="shared" si="7"/>
        <v>16500</v>
      </c>
      <c r="AX68" s="18">
        <v>64</v>
      </c>
      <c r="AY68" s="26">
        <v>7</v>
      </c>
      <c r="AZ68" s="18">
        <v>4</v>
      </c>
      <c r="BA68" s="15">
        <f t="shared" si="8"/>
        <v>1000</v>
      </c>
      <c r="BB68" s="15">
        <f t="shared" si="9"/>
        <v>3000</v>
      </c>
      <c r="BC68" s="15">
        <f t="shared" si="10"/>
        <v>24750</v>
      </c>
    </row>
    <row r="69" spans="1:55" ht="16.5" x14ac:dyDescent="0.2">
      <c r="A69" s="56">
        <v>45</v>
      </c>
      <c r="B69" s="56">
        <f t="shared" si="25"/>
        <v>15</v>
      </c>
      <c r="C69" s="56">
        <f t="shared" si="26"/>
        <v>3</v>
      </c>
      <c r="D69" s="56">
        <v>360</v>
      </c>
      <c r="E69" s="56">
        <v>540</v>
      </c>
      <c r="F69" s="56" t="s">
        <v>552</v>
      </c>
      <c r="G69" s="56">
        <f t="shared" si="20"/>
        <v>63000</v>
      </c>
      <c r="H69" s="56" t="s">
        <v>557</v>
      </c>
      <c r="I69" s="56">
        <f>INT(INDEX(挂机升级突破!$J$8:$J$22,章节关卡!$B69)*章节关卡!E69/6)</f>
        <v>90</v>
      </c>
      <c r="J69" s="56" t="s">
        <v>563</v>
      </c>
      <c r="K69" s="56">
        <v>1</v>
      </c>
      <c r="M69" s="56">
        <v>15</v>
      </c>
      <c r="N69" s="56">
        <f t="shared" si="27"/>
        <v>810</v>
      </c>
      <c r="O69" s="56">
        <f>E69*N$22</f>
        <v>810</v>
      </c>
      <c r="P69" s="56" t="s">
        <v>552</v>
      </c>
      <c r="Q69" s="56">
        <f t="shared" si="24"/>
        <v>141750</v>
      </c>
      <c r="R69" s="56" t="s">
        <v>557</v>
      </c>
      <c r="S69" s="56">
        <f>INT(INDEX(挂机升级突破!$J$8:$J$22,章节关卡!$B69)*章节关卡!O69/6)</f>
        <v>135</v>
      </c>
      <c r="T69" s="56" t="s">
        <v>563</v>
      </c>
      <c r="U69" s="56">
        <v>1</v>
      </c>
      <c r="AH69" s="26">
        <v>65</v>
      </c>
      <c r="AI69" s="26">
        <v>6</v>
      </c>
      <c r="AJ69" s="26">
        <v>8</v>
      </c>
      <c r="AK69" s="26">
        <f t="shared" ref="AK69:AK132" si="28">INDEX($C$6:$C$20,AI69)</f>
        <v>20</v>
      </c>
      <c r="AL69" s="26">
        <f t="shared" ref="AL69:AL132" si="29">INT(INDEX($E$5:$E$20,AI69)+AJ69*INDEX($F$6:$F$20,AI69))</f>
        <v>36</v>
      </c>
      <c r="AM69" s="26">
        <f t="shared" si="4"/>
        <v>173</v>
      </c>
      <c r="AP69" s="18">
        <v>65</v>
      </c>
      <c r="AQ69" s="26">
        <v>7</v>
      </c>
      <c r="AR69" s="18">
        <v>4</v>
      </c>
      <c r="AS69" s="15">
        <f t="shared" si="5"/>
        <v>500</v>
      </c>
      <c r="AT69" s="15">
        <f t="shared" si="6"/>
        <v>1500</v>
      </c>
      <c r="AU69" s="15">
        <f t="shared" si="7"/>
        <v>16500</v>
      </c>
      <c r="AX69" s="18">
        <v>65</v>
      </c>
      <c r="AY69" s="26">
        <v>7</v>
      </c>
      <c r="AZ69" s="18">
        <v>5</v>
      </c>
      <c r="BA69" s="15">
        <f t="shared" si="8"/>
        <v>1000</v>
      </c>
      <c r="BB69" s="15">
        <f t="shared" si="9"/>
        <v>3000</v>
      </c>
      <c r="BC69" s="15">
        <f t="shared" si="10"/>
        <v>24750</v>
      </c>
    </row>
    <row r="70" spans="1:55" ht="16.5" x14ac:dyDescent="0.2">
      <c r="AH70" s="26">
        <v>66</v>
      </c>
      <c r="AI70" s="26">
        <v>6</v>
      </c>
      <c r="AJ70" s="26">
        <v>9</v>
      </c>
      <c r="AK70" s="26">
        <f t="shared" si="28"/>
        <v>20</v>
      </c>
      <c r="AL70" s="26">
        <f t="shared" si="29"/>
        <v>36</v>
      </c>
      <c r="AM70" s="26">
        <f t="shared" ref="AM70:AM133" si="30">INT(INDEX($H$5:$H$20,AI70)+AJ70*INDEX($I$6:$I$20,AI70))</f>
        <v>177</v>
      </c>
      <c r="AP70" s="18">
        <v>66</v>
      </c>
      <c r="AQ70" s="26">
        <v>7</v>
      </c>
      <c r="AR70" s="18">
        <v>5</v>
      </c>
      <c r="AS70" s="15">
        <f t="shared" ref="AS70:AS133" si="31">INDEX($N$6:$N$20,AQ70)</f>
        <v>500</v>
      </c>
      <c r="AT70" s="15">
        <f t="shared" ref="AT70:AT133" si="32">INDEX($P$6:$P$20,AQ70)</f>
        <v>1500</v>
      </c>
      <c r="AU70" s="15">
        <f t="shared" ref="AU70:AU133" si="33">INDEX($R$6:$R$20,AQ70)</f>
        <v>16500</v>
      </c>
      <c r="AX70" s="18">
        <v>66</v>
      </c>
      <c r="AY70" s="26">
        <v>7</v>
      </c>
      <c r="AZ70" s="18">
        <v>6</v>
      </c>
      <c r="BA70" s="15">
        <f t="shared" ref="BA70:BA133" si="34">INDEX($Y$6:$Y$20,AY70)</f>
        <v>1000</v>
      </c>
      <c r="BB70" s="15">
        <f t="shared" ref="BB70:BB133" si="35">INDEX($AA$6:$AA$20,AY70)</f>
        <v>3000</v>
      </c>
      <c r="BC70" s="15">
        <f t="shared" ref="BC70:BC133" si="36">INDEX($AC$6:$AC$20,AY70)</f>
        <v>24750</v>
      </c>
    </row>
    <row r="71" spans="1:55" ht="16.5" x14ac:dyDescent="0.2">
      <c r="AH71" s="26">
        <v>67</v>
      </c>
      <c r="AI71" s="26">
        <v>6</v>
      </c>
      <c r="AJ71" s="26">
        <v>10</v>
      </c>
      <c r="AK71" s="26">
        <f t="shared" si="28"/>
        <v>20</v>
      </c>
      <c r="AL71" s="26">
        <f t="shared" si="29"/>
        <v>37</v>
      </c>
      <c r="AM71" s="26">
        <f t="shared" si="30"/>
        <v>181</v>
      </c>
      <c r="AP71" s="18">
        <v>67</v>
      </c>
      <c r="AQ71" s="26">
        <v>7</v>
      </c>
      <c r="AR71" s="18">
        <v>6</v>
      </c>
      <c r="AS71" s="15">
        <f t="shared" si="31"/>
        <v>500</v>
      </c>
      <c r="AT71" s="15">
        <f t="shared" si="32"/>
        <v>1500</v>
      </c>
      <c r="AU71" s="15">
        <f t="shared" si="33"/>
        <v>16500</v>
      </c>
      <c r="AX71" s="18">
        <v>67</v>
      </c>
      <c r="AY71" s="26">
        <v>7</v>
      </c>
      <c r="AZ71" s="18">
        <v>7</v>
      </c>
      <c r="BA71" s="15">
        <f t="shared" si="34"/>
        <v>1000</v>
      </c>
      <c r="BB71" s="15">
        <f t="shared" si="35"/>
        <v>3000</v>
      </c>
      <c r="BC71" s="15">
        <f t="shared" si="36"/>
        <v>24750</v>
      </c>
    </row>
    <row r="72" spans="1:55" ht="16.5" x14ac:dyDescent="0.2">
      <c r="AH72" s="26">
        <v>68</v>
      </c>
      <c r="AI72" s="26">
        <v>6</v>
      </c>
      <c r="AJ72" s="26">
        <v>11</v>
      </c>
      <c r="AK72" s="26">
        <f t="shared" si="28"/>
        <v>20</v>
      </c>
      <c r="AL72" s="26">
        <f t="shared" si="29"/>
        <v>37</v>
      </c>
      <c r="AM72" s="26">
        <f t="shared" si="30"/>
        <v>185</v>
      </c>
      <c r="AP72" s="18">
        <v>68</v>
      </c>
      <c r="AQ72" s="26">
        <v>7</v>
      </c>
      <c r="AR72" s="18">
        <v>7</v>
      </c>
      <c r="AS72" s="15">
        <f t="shared" si="31"/>
        <v>500</v>
      </c>
      <c r="AT72" s="15">
        <f t="shared" si="32"/>
        <v>1500</v>
      </c>
      <c r="AU72" s="15">
        <f t="shared" si="33"/>
        <v>16500</v>
      </c>
      <c r="AX72" s="18">
        <v>68</v>
      </c>
      <c r="AY72" s="26">
        <v>7</v>
      </c>
      <c r="AZ72" s="18">
        <v>8</v>
      </c>
      <c r="BA72" s="15">
        <f t="shared" si="34"/>
        <v>1000</v>
      </c>
      <c r="BB72" s="15">
        <f t="shared" si="35"/>
        <v>3000</v>
      </c>
      <c r="BC72" s="15">
        <f t="shared" si="36"/>
        <v>24750</v>
      </c>
    </row>
    <row r="73" spans="1:55" ht="16.5" x14ac:dyDescent="0.2">
      <c r="AH73" s="26">
        <v>69</v>
      </c>
      <c r="AI73" s="26">
        <v>6</v>
      </c>
      <c r="AJ73" s="26">
        <v>12</v>
      </c>
      <c r="AK73" s="26">
        <f t="shared" si="28"/>
        <v>20</v>
      </c>
      <c r="AL73" s="26">
        <f t="shared" si="29"/>
        <v>38</v>
      </c>
      <c r="AM73" s="26">
        <f t="shared" si="30"/>
        <v>188</v>
      </c>
      <c r="AP73" s="18">
        <v>69</v>
      </c>
      <c r="AQ73" s="26">
        <v>7</v>
      </c>
      <c r="AR73" s="18">
        <v>8</v>
      </c>
      <c r="AS73" s="15">
        <f t="shared" si="31"/>
        <v>500</v>
      </c>
      <c r="AT73" s="15">
        <f t="shared" si="32"/>
        <v>1500</v>
      </c>
      <c r="AU73" s="15">
        <f t="shared" si="33"/>
        <v>16500</v>
      </c>
      <c r="AX73" s="18">
        <v>69</v>
      </c>
      <c r="AY73" s="26">
        <v>7</v>
      </c>
      <c r="AZ73" s="18">
        <v>9</v>
      </c>
      <c r="BA73" s="15">
        <f t="shared" si="34"/>
        <v>1000</v>
      </c>
      <c r="BB73" s="15">
        <f t="shared" si="35"/>
        <v>3000</v>
      </c>
      <c r="BC73" s="15">
        <f t="shared" si="36"/>
        <v>24750</v>
      </c>
    </row>
    <row r="74" spans="1:55" ht="16.5" x14ac:dyDescent="0.2">
      <c r="AH74" s="26">
        <v>70</v>
      </c>
      <c r="AI74" s="26">
        <v>6</v>
      </c>
      <c r="AJ74" s="26">
        <v>13</v>
      </c>
      <c r="AK74" s="26">
        <f t="shared" si="28"/>
        <v>20</v>
      </c>
      <c r="AL74" s="26">
        <f t="shared" si="29"/>
        <v>38</v>
      </c>
      <c r="AM74" s="26">
        <f t="shared" si="30"/>
        <v>192</v>
      </c>
      <c r="AP74" s="18">
        <v>70</v>
      </c>
      <c r="AQ74" s="26">
        <v>7</v>
      </c>
      <c r="AR74" s="18">
        <v>9</v>
      </c>
      <c r="AS74" s="15">
        <f t="shared" si="31"/>
        <v>500</v>
      </c>
      <c r="AT74" s="15">
        <f t="shared" si="32"/>
        <v>1500</v>
      </c>
      <c r="AU74" s="15">
        <f t="shared" si="33"/>
        <v>16500</v>
      </c>
      <c r="AX74" s="18">
        <v>70</v>
      </c>
      <c r="AY74" s="26">
        <v>7</v>
      </c>
      <c r="AZ74" s="18">
        <v>10</v>
      </c>
      <c r="BA74" s="15">
        <f t="shared" si="34"/>
        <v>1000</v>
      </c>
      <c r="BB74" s="15">
        <f t="shared" si="35"/>
        <v>3000</v>
      </c>
      <c r="BC74" s="15">
        <f t="shared" si="36"/>
        <v>24750</v>
      </c>
    </row>
    <row r="75" spans="1:55" ht="16.5" x14ac:dyDescent="0.2">
      <c r="AH75" s="26">
        <v>71</v>
      </c>
      <c r="AI75" s="26">
        <v>6</v>
      </c>
      <c r="AJ75" s="26">
        <v>14</v>
      </c>
      <c r="AK75" s="26">
        <f t="shared" si="28"/>
        <v>20</v>
      </c>
      <c r="AL75" s="26">
        <f t="shared" si="29"/>
        <v>39</v>
      </c>
      <c r="AM75" s="26">
        <f t="shared" si="30"/>
        <v>196</v>
      </c>
      <c r="AP75" s="18">
        <v>71</v>
      </c>
      <c r="AQ75" s="26">
        <v>7</v>
      </c>
      <c r="AR75" s="18">
        <v>10</v>
      </c>
      <c r="AS75" s="15">
        <f t="shared" si="31"/>
        <v>500</v>
      </c>
      <c r="AT75" s="15">
        <f t="shared" si="32"/>
        <v>1500</v>
      </c>
      <c r="AU75" s="15">
        <f t="shared" si="33"/>
        <v>16500</v>
      </c>
      <c r="AX75" s="18">
        <v>71</v>
      </c>
      <c r="AY75" s="26">
        <v>7</v>
      </c>
      <c r="AZ75" s="18">
        <v>11</v>
      </c>
      <c r="BA75" s="15">
        <f t="shared" si="34"/>
        <v>1000</v>
      </c>
      <c r="BB75" s="15">
        <f t="shared" si="35"/>
        <v>3000</v>
      </c>
      <c r="BC75" s="15">
        <f t="shared" si="36"/>
        <v>24750</v>
      </c>
    </row>
    <row r="76" spans="1:55" ht="16.5" x14ac:dyDescent="0.2">
      <c r="AH76" s="26">
        <v>72</v>
      </c>
      <c r="AI76" s="26">
        <v>6</v>
      </c>
      <c r="AJ76" s="26">
        <v>15</v>
      </c>
      <c r="AK76" s="26">
        <f t="shared" si="28"/>
        <v>20</v>
      </c>
      <c r="AL76" s="26">
        <f t="shared" si="29"/>
        <v>40</v>
      </c>
      <c r="AM76" s="26">
        <f t="shared" si="30"/>
        <v>200</v>
      </c>
      <c r="AP76" s="18">
        <v>72</v>
      </c>
      <c r="AQ76" s="26">
        <v>7</v>
      </c>
      <c r="AR76" s="18">
        <v>11</v>
      </c>
      <c r="AS76" s="15">
        <f t="shared" si="31"/>
        <v>500</v>
      </c>
      <c r="AT76" s="15">
        <f t="shared" si="32"/>
        <v>1500</v>
      </c>
      <c r="AU76" s="15">
        <f t="shared" si="33"/>
        <v>16500</v>
      </c>
      <c r="AX76" s="18">
        <v>72</v>
      </c>
      <c r="AY76" s="26">
        <v>7</v>
      </c>
      <c r="AZ76" s="18">
        <v>12</v>
      </c>
      <c r="BA76" s="15">
        <f t="shared" si="34"/>
        <v>1000</v>
      </c>
      <c r="BB76" s="15">
        <f t="shared" si="35"/>
        <v>3000</v>
      </c>
      <c r="BC76" s="15">
        <f t="shared" si="36"/>
        <v>24750</v>
      </c>
    </row>
    <row r="77" spans="1:55" ht="16.5" x14ac:dyDescent="0.2">
      <c r="AH77" s="26">
        <v>73</v>
      </c>
      <c r="AI77" s="26">
        <v>7</v>
      </c>
      <c r="AJ77" s="26">
        <v>1</v>
      </c>
      <c r="AK77" s="26">
        <f t="shared" si="28"/>
        <v>25</v>
      </c>
      <c r="AL77" s="26">
        <f t="shared" si="29"/>
        <v>40</v>
      </c>
      <c r="AM77" s="26">
        <f t="shared" si="30"/>
        <v>205</v>
      </c>
      <c r="AP77" s="18">
        <v>73</v>
      </c>
      <c r="AQ77" s="26">
        <v>7</v>
      </c>
      <c r="AR77" s="18">
        <v>12</v>
      </c>
      <c r="AS77" s="15">
        <f t="shared" si="31"/>
        <v>500</v>
      </c>
      <c r="AT77" s="15">
        <f t="shared" si="32"/>
        <v>1500</v>
      </c>
      <c r="AU77" s="15">
        <f t="shared" si="33"/>
        <v>16500</v>
      </c>
      <c r="AX77" s="18">
        <v>73</v>
      </c>
      <c r="AY77" s="26">
        <v>7</v>
      </c>
      <c r="AZ77" s="18">
        <v>13</v>
      </c>
      <c r="BA77" s="15">
        <f t="shared" si="34"/>
        <v>1000</v>
      </c>
      <c r="BB77" s="15">
        <f t="shared" si="35"/>
        <v>3000</v>
      </c>
      <c r="BC77" s="15">
        <f t="shared" si="36"/>
        <v>24750</v>
      </c>
    </row>
    <row r="78" spans="1:55" ht="16.5" x14ac:dyDescent="0.2">
      <c r="AH78" s="26">
        <v>74</v>
      </c>
      <c r="AI78" s="26">
        <v>7</v>
      </c>
      <c r="AJ78" s="26">
        <v>2</v>
      </c>
      <c r="AK78" s="26">
        <f t="shared" si="28"/>
        <v>25</v>
      </c>
      <c r="AL78" s="26">
        <f t="shared" si="29"/>
        <v>41</v>
      </c>
      <c r="AM78" s="26">
        <f t="shared" si="30"/>
        <v>210</v>
      </c>
      <c r="AP78" s="18">
        <v>74</v>
      </c>
      <c r="AQ78" s="26">
        <v>7</v>
      </c>
      <c r="AR78" s="18">
        <v>13</v>
      </c>
      <c r="AS78" s="15">
        <f t="shared" si="31"/>
        <v>500</v>
      </c>
      <c r="AT78" s="15">
        <f t="shared" si="32"/>
        <v>1500</v>
      </c>
      <c r="AU78" s="15">
        <f t="shared" si="33"/>
        <v>16500</v>
      </c>
      <c r="AX78" s="18">
        <v>74</v>
      </c>
      <c r="AY78" s="26">
        <v>7</v>
      </c>
      <c r="AZ78" s="18">
        <v>14</v>
      </c>
      <c r="BA78" s="15">
        <f t="shared" si="34"/>
        <v>1000</v>
      </c>
      <c r="BB78" s="15">
        <f t="shared" si="35"/>
        <v>3000</v>
      </c>
      <c r="BC78" s="15">
        <f t="shared" si="36"/>
        <v>24750</v>
      </c>
    </row>
    <row r="79" spans="1:55" ht="16.5" x14ac:dyDescent="0.2">
      <c r="AH79" s="26">
        <v>75</v>
      </c>
      <c r="AI79" s="26">
        <v>7</v>
      </c>
      <c r="AJ79" s="26">
        <v>3</v>
      </c>
      <c r="AK79" s="26">
        <f t="shared" si="28"/>
        <v>25</v>
      </c>
      <c r="AL79" s="26">
        <f t="shared" si="29"/>
        <v>42</v>
      </c>
      <c r="AM79" s="26">
        <f t="shared" si="30"/>
        <v>215</v>
      </c>
      <c r="AP79" s="18">
        <v>75</v>
      </c>
      <c r="AQ79" s="26">
        <v>7</v>
      </c>
      <c r="AR79" s="18">
        <v>14</v>
      </c>
      <c r="AS79" s="15">
        <f t="shared" si="31"/>
        <v>500</v>
      </c>
      <c r="AT79" s="15">
        <f t="shared" si="32"/>
        <v>1500</v>
      </c>
      <c r="AU79" s="15">
        <f t="shared" si="33"/>
        <v>16500</v>
      </c>
      <c r="AX79" s="18">
        <v>75</v>
      </c>
      <c r="AY79" s="26">
        <v>7</v>
      </c>
      <c r="AZ79" s="18">
        <v>15</v>
      </c>
      <c r="BA79" s="15">
        <f t="shared" si="34"/>
        <v>1000</v>
      </c>
      <c r="BB79" s="15">
        <f t="shared" si="35"/>
        <v>3000</v>
      </c>
      <c r="BC79" s="15">
        <f t="shared" si="36"/>
        <v>24750</v>
      </c>
    </row>
    <row r="80" spans="1:55" ht="16.5" x14ac:dyDescent="0.2">
      <c r="AH80" s="26">
        <v>76</v>
      </c>
      <c r="AI80" s="26">
        <v>7</v>
      </c>
      <c r="AJ80" s="26">
        <v>4</v>
      </c>
      <c r="AK80" s="26">
        <f t="shared" si="28"/>
        <v>25</v>
      </c>
      <c r="AL80" s="26">
        <f t="shared" si="29"/>
        <v>42</v>
      </c>
      <c r="AM80" s="26">
        <f t="shared" si="30"/>
        <v>220</v>
      </c>
      <c r="AP80" s="18">
        <v>76</v>
      </c>
      <c r="AQ80" s="26">
        <v>7</v>
      </c>
      <c r="AR80" s="18">
        <v>15</v>
      </c>
      <c r="AS80" s="15">
        <f t="shared" si="31"/>
        <v>500</v>
      </c>
      <c r="AT80" s="15">
        <f t="shared" si="32"/>
        <v>1500</v>
      </c>
      <c r="AU80" s="15">
        <f t="shared" si="33"/>
        <v>16500</v>
      </c>
      <c r="AX80" s="18">
        <v>76</v>
      </c>
      <c r="AY80" s="26">
        <v>8</v>
      </c>
      <c r="AZ80" s="18">
        <v>1</v>
      </c>
      <c r="BA80" s="15">
        <f t="shared" si="34"/>
        <v>1200</v>
      </c>
      <c r="BB80" s="15">
        <f t="shared" si="35"/>
        <v>3600</v>
      </c>
      <c r="BC80" s="15">
        <f t="shared" si="36"/>
        <v>32400</v>
      </c>
    </row>
    <row r="81" spans="34:55" ht="16.5" x14ac:dyDescent="0.2">
      <c r="AH81" s="26">
        <v>77</v>
      </c>
      <c r="AI81" s="26">
        <v>7</v>
      </c>
      <c r="AJ81" s="26">
        <v>5</v>
      </c>
      <c r="AK81" s="26">
        <f t="shared" si="28"/>
        <v>25</v>
      </c>
      <c r="AL81" s="26">
        <f t="shared" si="29"/>
        <v>43</v>
      </c>
      <c r="AM81" s="26">
        <f t="shared" si="30"/>
        <v>225</v>
      </c>
      <c r="AP81" s="18">
        <v>77</v>
      </c>
      <c r="AQ81" s="26">
        <v>8</v>
      </c>
      <c r="AR81" s="18">
        <v>1</v>
      </c>
      <c r="AS81" s="15">
        <f t="shared" si="31"/>
        <v>600</v>
      </c>
      <c r="AT81" s="15">
        <f t="shared" si="32"/>
        <v>1800</v>
      </c>
      <c r="AU81" s="15">
        <f t="shared" si="33"/>
        <v>21600</v>
      </c>
      <c r="AX81" s="18">
        <v>77</v>
      </c>
      <c r="AY81" s="26">
        <v>8</v>
      </c>
      <c r="AZ81" s="18">
        <v>2</v>
      </c>
      <c r="BA81" s="15">
        <f t="shared" si="34"/>
        <v>1200</v>
      </c>
      <c r="BB81" s="15">
        <f t="shared" si="35"/>
        <v>3600</v>
      </c>
      <c r="BC81" s="15">
        <f t="shared" si="36"/>
        <v>32400</v>
      </c>
    </row>
    <row r="82" spans="34:55" ht="16.5" x14ac:dyDescent="0.2">
      <c r="AH82" s="26">
        <v>78</v>
      </c>
      <c r="AI82" s="26">
        <v>7</v>
      </c>
      <c r="AJ82" s="26">
        <v>6</v>
      </c>
      <c r="AK82" s="26">
        <f t="shared" si="28"/>
        <v>25</v>
      </c>
      <c r="AL82" s="26">
        <f t="shared" si="29"/>
        <v>44</v>
      </c>
      <c r="AM82" s="26">
        <f t="shared" si="30"/>
        <v>230</v>
      </c>
      <c r="AP82" s="18">
        <v>78</v>
      </c>
      <c r="AQ82" s="26">
        <v>8</v>
      </c>
      <c r="AR82" s="18">
        <v>2</v>
      </c>
      <c r="AS82" s="15">
        <f t="shared" si="31"/>
        <v>600</v>
      </c>
      <c r="AT82" s="15">
        <f t="shared" si="32"/>
        <v>1800</v>
      </c>
      <c r="AU82" s="15">
        <f t="shared" si="33"/>
        <v>21600</v>
      </c>
      <c r="AX82" s="18">
        <v>78</v>
      </c>
      <c r="AY82" s="26">
        <v>8</v>
      </c>
      <c r="AZ82" s="18">
        <v>3</v>
      </c>
      <c r="BA82" s="15">
        <f t="shared" si="34"/>
        <v>1200</v>
      </c>
      <c r="BB82" s="15">
        <f t="shared" si="35"/>
        <v>3600</v>
      </c>
      <c r="BC82" s="15">
        <f t="shared" si="36"/>
        <v>32400</v>
      </c>
    </row>
    <row r="83" spans="34:55" ht="16.5" x14ac:dyDescent="0.2">
      <c r="AH83" s="26">
        <v>79</v>
      </c>
      <c r="AI83" s="26">
        <v>7</v>
      </c>
      <c r="AJ83" s="26">
        <v>7</v>
      </c>
      <c r="AK83" s="26">
        <f t="shared" si="28"/>
        <v>25</v>
      </c>
      <c r="AL83" s="26">
        <f t="shared" si="29"/>
        <v>44</v>
      </c>
      <c r="AM83" s="26">
        <f t="shared" si="30"/>
        <v>235</v>
      </c>
      <c r="AP83" s="18">
        <v>79</v>
      </c>
      <c r="AQ83" s="26">
        <v>8</v>
      </c>
      <c r="AR83" s="18">
        <v>3</v>
      </c>
      <c r="AS83" s="15">
        <f t="shared" si="31"/>
        <v>600</v>
      </c>
      <c r="AT83" s="15">
        <f t="shared" si="32"/>
        <v>1800</v>
      </c>
      <c r="AU83" s="15">
        <f t="shared" si="33"/>
        <v>21600</v>
      </c>
      <c r="AX83" s="18">
        <v>79</v>
      </c>
      <c r="AY83" s="26">
        <v>8</v>
      </c>
      <c r="AZ83" s="18">
        <v>4</v>
      </c>
      <c r="BA83" s="15">
        <f t="shared" si="34"/>
        <v>1200</v>
      </c>
      <c r="BB83" s="15">
        <f t="shared" si="35"/>
        <v>3600</v>
      </c>
      <c r="BC83" s="15">
        <f t="shared" si="36"/>
        <v>32400</v>
      </c>
    </row>
    <row r="84" spans="34:55" ht="16.5" x14ac:dyDescent="0.2">
      <c r="AH84" s="26">
        <v>80</v>
      </c>
      <c r="AI84" s="26">
        <v>7</v>
      </c>
      <c r="AJ84" s="26">
        <v>8</v>
      </c>
      <c r="AK84" s="26">
        <f t="shared" si="28"/>
        <v>25</v>
      </c>
      <c r="AL84" s="26">
        <f t="shared" si="29"/>
        <v>45</v>
      </c>
      <c r="AM84" s="26">
        <f t="shared" si="30"/>
        <v>240</v>
      </c>
      <c r="AP84" s="18">
        <v>80</v>
      </c>
      <c r="AQ84" s="26">
        <v>8</v>
      </c>
      <c r="AR84" s="18">
        <v>4</v>
      </c>
      <c r="AS84" s="15">
        <f t="shared" si="31"/>
        <v>600</v>
      </c>
      <c r="AT84" s="15">
        <f t="shared" si="32"/>
        <v>1800</v>
      </c>
      <c r="AU84" s="15">
        <f t="shared" si="33"/>
        <v>21600</v>
      </c>
      <c r="AX84" s="18">
        <v>80</v>
      </c>
      <c r="AY84" s="26">
        <v>8</v>
      </c>
      <c r="AZ84" s="18">
        <v>5</v>
      </c>
      <c r="BA84" s="15">
        <f t="shared" si="34"/>
        <v>1200</v>
      </c>
      <c r="BB84" s="15">
        <f t="shared" si="35"/>
        <v>3600</v>
      </c>
      <c r="BC84" s="15">
        <f t="shared" si="36"/>
        <v>32400</v>
      </c>
    </row>
    <row r="85" spans="34:55" ht="16.5" x14ac:dyDescent="0.2">
      <c r="AH85" s="26">
        <v>81</v>
      </c>
      <c r="AI85" s="26">
        <v>7</v>
      </c>
      <c r="AJ85" s="26">
        <v>9</v>
      </c>
      <c r="AK85" s="26">
        <f t="shared" si="28"/>
        <v>25</v>
      </c>
      <c r="AL85" s="26">
        <f t="shared" si="29"/>
        <v>46</v>
      </c>
      <c r="AM85" s="26">
        <f t="shared" si="30"/>
        <v>245</v>
      </c>
      <c r="AP85" s="18">
        <v>81</v>
      </c>
      <c r="AQ85" s="26">
        <v>8</v>
      </c>
      <c r="AR85" s="18">
        <v>5</v>
      </c>
      <c r="AS85" s="15">
        <f t="shared" si="31"/>
        <v>600</v>
      </c>
      <c r="AT85" s="15">
        <f t="shared" si="32"/>
        <v>1800</v>
      </c>
      <c r="AU85" s="15">
        <f t="shared" si="33"/>
        <v>21600</v>
      </c>
      <c r="AX85" s="18">
        <v>81</v>
      </c>
      <c r="AY85" s="26">
        <v>8</v>
      </c>
      <c r="AZ85" s="18">
        <v>6</v>
      </c>
      <c r="BA85" s="15">
        <f t="shared" si="34"/>
        <v>1200</v>
      </c>
      <c r="BB85" s="15">
        <f t="shared" si="35"/>
        <v>3600</v>
      </c>
      <c r="BC85" s="15">
        <f t="shared" si="36"/>
        <v>32400</v>
      </c>
    </row>
    <row r="86" spans="34:55" ht="16.5" x14ac:dyDescent="0.2">
      <c r="AH86" s="26">
        <v>82</v>
      </c>
      <c r="AI86" s="26">
        <v>7</v>
      </c>
      <c r="AJ86" s="26">
        <v>10</v>
      </c>
      <c r="AK86" s="26">
        <f t="shared" si="28"/>
        <v>25</v>
      </c>
      <c r="AL86" s="26">
        <f t="shared" si="29"/>
        <v>46</v>
      </c>
      <c r="AM86" s="26">
        <f t="shared" si="30"/>
        <v>250</v>
      </c>
      <c r="AP86" s="18">
        <v>82</v>
      </c>
      <c r="AQ86" s="26">
        <v>8</v>
      </c>
      <c r="AR86" s="18">
        <v>6</v>
      </c>
      <c r="AS86" s="15">
        <f t="shared" si="31"/>
        <v>600</v>
      </c>
      <c r="AT86" s="15">
        <f t="shared" si="32"/>
        <v>1800</v>
      </c>
      <c r="AU86" s="15">
        <f t="shared" si="33"/>
        <v>21600</v>
      </c>
      <c r="AX86" s="18">
        <v>82</v>
      </c>
      <c r="AY86" s="26">
        <v>8</v>
      </c>
      <c r="AZ86" s="18">
        <v>7</v>
      </c>
      <c r="BA86" s="15">
        <f t="shared" si="34"/>
        <v>1200</v>
      </c>
      <c r="BB86" s="15">
        <f t="shared" si="35"/>
        <v>3600</v>
      </c>
      <c r="BC86" s="15">
        <f t="shared" si="36"/>
        <v>32400</v>
      </c>
    </row>
    <row r="87" spans="34:55" ht="16.5" x14ac:dyDescent="0.2">
      <c r="AH87" s="26">
        <v>83</v>
      </c>
      <c r="AI87" s="26">
        <v>7</v>
      </c>
      <c r="AJ87" s="26">
        <v>11</v>
      </c>
      <c r="AK87" s="26">
        <f t="shared" si="28"/>
        <v>25</v>
      </c>
      <c r="AL87" s="26">
        <f t="shared" si="29"/>
        <v>47</v>
      </c>
      <c r="AM87" s="26">
        <f t="shared" si="30"/>
        <v>255</v>
      </c>
      <c r="AP87" s="18">
        <v>83</v>
      </c>
      <c r="AQ87" s="26">
        <v>8</v>
      </c>
      <c r="AR87" s="18">
        <v>7</v>
      </c>
      <c r="AS87" s="15">
        <f t="shared" si="31"/>
        <v>600</v>
      </c>
      <c r="AT87" s="15">
        <f t="shared" si="32"/>
        <v>1800</v>
      </c>
      <c r="AU87" s="15">
        <f t="shared" si="33"/>
        <v>21600</v>
      </c>
      <c r="AX87" s="18">
        <v>83</v>
      </c>
      <c r="AY87" s="26">
        <v>8</v>
      </c>
      <c r="AZ87" s="18">
        <v>8</v>
      </c>
      <c r="BA87" s="15">
        <f t="shared" si="34"/>
        <v>1200</v>
      </c>
      <c r="BB87" s="15">
        <f t="shared" si="35"/>
        <v>3600</v>
      </c>
      <c r="BC87" s="15">
        <f t="shared" si="36"/>
        <v>32400</v>
      </c>
    </row>
    <row r="88" spans="34:55" ht="16.5" x14ac:dyDescent="0.2">
      <c r="AH88" s="26">
        <v>84</v>
      </c>
      <c r="AI88" s="26">
        <v>7</v>
      </c>
      <c r="AJ88" s="26">
        <v>12</v>
      </c>
      <c r="AK88" s="26">
        <f t="shared" si="28"/>
        <v>25</v>
      </c>
      <c r="AL88" s="26">
        <f t="shared" si="29"/>
        <v>48</v>
      </c>
      <c r="AM88" s="26">
        <f t="shared" si="30"/>
        <v>260</v>
      </c>
      <c r="AP88" s="18">
        <v>84</v>
      </c>
      <c r="AQ88" s="26">
        <v>8</v>
      </c>
      <c r="AR88" s="18">
        <v>8</v>
      </c>
      <c r="AS88" s="15">
        <f t="shared" si="31"/>
        <v>600</v>
      </c>
      <c r="AT88" s="15">
        <f t="shared" si="32"/>
        <v>1800</v>
      </c>
      <c r="AU88" s="15">
        <f t="shared" si="33"/>
        <v>21600</v>
      </c>
      <c r="AX88" s="18">
        <v>84</v>
      </c>
      <c r="AY88" s="26">
        <v>8</v>
      </c>
      <c r="AZ88" s="18">
        <v>9</v>
      </c>
      <c r="BA88" s="15">
        <f t="shared" si="34"/>
        <v>1200</v>
      </c>
      <c r="BB88" s="15">
        <f t="shared" si="35"/>
        <v>3600</v>
      </c>
      <c r="BC88" s="15">
        <f t="shared" si="36"/>
        <v>32400</v>
      </c>
    </row>
    <row r="89" spans="34:55" ht="16.5" x14ac:dyDescent="0.2">
      <c r="AH89" s="26">
        <v>85</v>
      </c>
      <c r="AI89" s="26">
        <v>7</v>
      </c>
      <c r="AJ89" s="26">
        <v>13</v>
      </c>
      <c r="AK89" s="26">
        <f t="shared" si="28"/>
        <v>25</v>
      </c>
      <c r="AL89" s="26">
        <f t="shared" si="29"/>
        <v>48</v>
      </c>
      <c r="AM89" s="26">
        <f t="shared" si="30"/>
        <v>265</v>
      </c>
      <c r="AP89" s="18">
        <v>85</v>
      </c>
      <c r="AQ89" s="26">
        <v>8</v>
      </c>
      <c r="AR89" s="18">
        <v>9</v>
      </c>
      <c r="AS89" s="15">
        <f t="shared" si="31"/>
        <v>600</v>
      </c>
      <c r="AT89" s="15">
        <f t="shared" si="32"/>
        <v>1800</v>
      </c>
      <c r="AU89" s="15">
        <f t="shared" si="33"/>
        <v>21600</v>
      </c>
      <c r="AX89" s="18">
        <v>85</v>
      </c>
      <c r="AY89" s="26">
        <v>8</v>
      </c>
      <c r="AZ89" s="18">
        <v>10</v>
      </c>
      <c r="BA89" s="15">
        <f t="shared" si="34"/>
        <v>1200</v>
      </c>
      <c r="BB89" s="15">
        <f t="shared" si="35"/>
        <v>3600</v>
      </c>
      <c r="BC89" s="15">
        <f t="shared" si="36"/>
        <v>32400</v>
      </c>
    </row>
    <row r="90" spans="34:55" ht="16.5" x14ac:dyDescent="0.2">
      <c r="AH90" s="26">
        <v>86</v>
      </c>
      <c r="AI90" s="26">
        <v>7</v>
      </c>
      <c r="AJ90" s="26">
        <v>14</v>
      </c>
      <c r="AK90" s="26">
        <f t="shared" si="28"/>
        <v>25</v>
      </c>
      <c r="AL90" s="26">
        <f t="shared" si="29"/>
        <v>49</v>
      </c>
      <c r="AM90" s="26">
        <f t="shared" si="30"/>
        <v>270</v>
      </c>
      <c r="AP90" s="18">
        <v>86</v>
      </c>
      <c r="AQ90" s="26">
        <v>8</v>
      </c>
      <c r="AR90" s="18">
        <v>10</v>
      </c>
      <c r="AS90" s="15">
        <f t="shared" si="31"/>
        <v>600</v>
      </c>
      <c r="AT90" s="15">
        <f t="shared" si="32"/>
        <v>1800</v>
      </c>
      <c r="AU90" s="15">
        <f t="shared" si="33"/>
        <v>21600</v>
      </c>
      <c r="AX90" s="18">
        <v>86</v>
      </c>
      <c r="AY90" s="26">
        <v>8</v>
      </c>
      <c r="AZ90" s="18">
        <v>11</v>
      </c>
      <c r="BA90" s="15">
        <f t="shared" si="34"/>
        <v>1200</v>
      </c>
      <c r="BB90" s="15">
        <f t="shared" si="35"/>
        <v>3600</v>
      </c>
      <c r="BC90" s="15">
        <f t="shared" si="36"/>
        <v>32400</v>
      </c>
    </row>
    <row r="91" spans="34:55" ht="16.5" x14ac:dyDescent="0.2">
      <c r="AH91" s="26">
        <v>87</v>
      </c>
      <c r="AI91" s="26">
        <v>7</v>
      </c>
      <c r="AJ91" s="26">
        <v>15</v>
      </c>
      <c r="AK91" s="26">
        <f t="shared" si="28"/>
        <v>25</v>
      </c>
      <c r="AL91" s="26">
        <f t="shared" si="29"/>
        <v>50</v>
      </c>
      <c r="AM91" s="26">
        <f t="shared" si="30"/>
        <v>275</v>
      </c>
      <c r="AP91" s="18">
        <v>87</v>
      </c>
      <c r="AQ91" s="26">
        <v>8</v>
      </c>
      <c r="AR91" s="18">
        <v>11</v>
      </c>
      <c r="AS91" s="15">
        <f t="shared" si="31"/>
        <v>600</v>
      </c>
      <c r="AT91" s="15">
        <f t="shared" si="32"/>
        <v>1800</v>
      </c>
      <c r="AU91" s="15">
        <f t="shared" si="33"/>
        <v>21600</v>
      </c>
      <c r="AX91" s="18">
        <v>87</v>
      </c>
      <c r="AY91" s="26">
        <v>8</v>
      </c>
      <c r="AZ91" s="18">
        <v>12</v>
      </c>
      <c r="BA91" s="15">
        <f t="shared" si="34"/>
        <v>1200</v>
      </c>
      <c r="BB91" s="15">
        <f t="shared" si="35"/>
        <v>3600</v>
      </c>
      <c r="BC91" s="15">
        <f t="shared" si="36"/>
        <v>32400</v>
      </c>
    </row>
    <row r="92" spans="34:55" ht="16.5" x14ac:dyDescent="0.2">
      <c r="AH92" s="26">
        <v>88</v>
      </c>
      <c r="AI92" s="26">
        <v>8</v>
      </c>
      <c r="AJ92" s="26">
        <v>1</v>
      </c>
      <c r="AK92" s="26">
        <f t="shared" si="28"/>
        <v>30</v>
      </c>
      <c r="AL92" s="26">
        <f t="shared" si="29"/>
        <v>50</v>
      </c>
      <c r="AM92" s="26">
        <f t="shared" si="30"/>
        <v>280</v>
      </c>
      <c r="AP92" s="18">
        <v>88</v>
      </c>
      <c r="AQ92" s="26">
        <v>8</v>
      </c>
      <c r="AR92" s="18">
        <v>12</v>
      </c>
      <c r="AS92" s="15">
        <f t="shared" si="31"/>
        <v>600</v>
      </c>
      <c r="AT92" s="15">
        <f t="shared" si="32"/>
        <v>1800</v>
      </c>
      <c r="AU92" s="15">
        <f t="shared" si="33"/>
        <v>21600</v>
      </c>
      <c r="AX92" s="18">
        <v>88</v>
      </c>
      <c r="AY92" s="26">
        <v>8</v>
      </c>
      <c r="AZ92" s="18">
        <v>13</v>
      </c>
      <c r="BA92" s="15">
        <f t="shared" si="34"/>
        <v>1200</v>
      </c>
      <c r="BB92" s="15">
        <f t="shared" si="35"/>
        <v>3600</v>
      </c>
      <c r="BC92" s="15">
        <f t="shared" si="36"/>
        <v>32400</v>
      </c>
    </row>
    <row r="93" spans="34:55" ht="16.5" x14ac:dyDescent="0.2">
      <c r="AH93" s="26">
        <v>89</v>
      </c>
      <c r="AI93" s="26">
        <v>8</v>
      </c>
      <c r="AJ93" s="26">
        <v>2</v>
      </c>
      <c r="AK93" s="26">
        <f t="shared" si="28"/>
        <v>30</v>
      </c>
      <c r="AL93" s="26">
        <f t="shared" si="29"/>
        <v>51</v>
      </c>
      <c r="AM93" s="26">
        <f t="shared" si="30"/>
        <v>286</v>
      </c>
      <c r="AP93" s="18">
        <v>89</v>
      </c>
      <c r="AQ93" s="26">
        <v>8</v>
      </c>
      <c r="AR93" s="18">
        <v>13</v>
      </c>
      <c r="AS93" s="15">
        <f t="shared" si="31"/>
        <v>600</v>
      </c>
      <c r="AT93" s="15">
        <f t="shared" si="32"/>
        <v>1800</v>
      </c>
      <c r="AU93" s="15">
        <f t="shared" si="33"/>
        <v>21600</v>
      </c>
      <c r="AX93" s="18">
        <v>89</v>
      </c>
      <c r="AY93" s="26">
        <v>8</v>
      </c>
      <c r="AZ93" s="18">
        <v>14</v>
      </c>
      <c r="BA93" s="15">
        <f t="shared" si="34"/>
        <v>1200</v>
      </c>
      <c r="BB93" s="15">
        <f t="shared" si="35"/>
        <v>3600</v>
      </c>
      <c r="BC93" s="15">
        <f t="shared" si="36"/>
        <v>32400</v>
      </c>
    </row>
    <row r="94" spans="34:55" ht="16.5" x14ac:dyDescent="0.2">
      <c r="AH94" s="26">
        <v>90</v>
      </c>
      <c r="AI94" s="26">
        <v>8</v>
      </c>
      <c r="AJ94" s="26">
        <v>3</v>
      </c>
      <c r="AK94" s="26">
        <f t="shared" si="28"/>
        <v>30</v>
      </c>
      <c r="AL94" s="26">
        <f t="shared" si="29"/>
        <v>52</v>
      </c>
      <c r="AM94" s="26">
        <f t="shared" si="30"/>
        <v>292</v>
      </c>
      <c r="AP94" s="18">
        <v>90</v>
      </c>
      <c r="AQ94" s="26">
        <v>8</v>
      </c>
      <c r="AR94" s="18">
        <v>14</v>
      </c>
      <c r="AS94" s="15">
        <f t="shared" si="31"/>
        <v>600</v>
      </c>
      <c r="AT94" s="15">
        <f t="shared" si="32"/>
        <v>1800</v>
      </c>
      <c r="AU94" s="15">
        <f t="shared" si="33"/>
        <v>21600</v>
      </c>
      <c r="AX94" s="18">
        <v>90</v>
      </c>
      <c r="AY94" s="26">
        <v>8</v>
      </c>
      <c r="AZ94" s="18">
        <v>15</v>
      </c>
      <c r="BA94" s="15">
        <f t="shared" si="34"/>
        <v>1200</v>
      </c>
      <c r="BB94" s="15">
        <f t="shared" si="35"/>
        <v>3600</v>
      </c>
      <c r="BC94" s="15">
        <f t="shared" si="36"/>
        <v>32400</v>
      </c>
    </row>
    <row r="95" spans="34:55" ht="16.5" x14ac:dyDescent="0.2">
      <c r="AH95" s="26">
        <v>91</v>
      </c>
      <c r="AI95" s="26">
        <v>8</v>
      </c>
      <c r="AJ95" s="26">
        <v>4</v>
      </c>
      <c r="AK95" s="26">
        <f t="shared" si="28"/>
        <v>30</v>
      </c>
      <c r="AL95" s="26">
        <f t="shared" si="29"/>
        <v>52</v>
      </c>
      <c r="AM95" s="26">
        <f t="shared" si="30"/>
        <v>297</v>
      </c>
      <c r="AP95" s="18">
        <v>91</v>
      </c>
      <c r="AQ95" s="26">
        <v>8</v>
      </c>
      <c r="AR95" s="18">
        <v>15</v>
      </c>
      <c r="AS95" s="15">
        <f t="shared" si="31"/>
        <v>600</v>
      </c>
      <c r="AT95" s="15">
        <f t="shared" si="32"/>
        <v>1800</v>
      </c>
      <c r="AU95" s="15">
        <f t="shared" si="33"/>
        <v>21600</v>
      </c>
      <c r="AX95" s="18">
        <v>91</v>
      </c>
      <c r="AY95" s="26">
        <v>9</v>
      </c>
      <c r="AZ95" s="18">
        <v>1</v>
      </c>
      <c r="BA95" s="15">
        <f t="shared" si="34"/>
        <v>1440</v>
      </c>
      <c r="BB95" s="15">
        <f t="shared" si="35"/>
        <v>4320</v>
      </c>
      <c r="BC95" s="15">
        <f t="shared" si="36"/>
        <v>42120</v>
      </c>
    </row>
    <row r="96" spans="34:55" ht="16.5" x14ac:dyDescent="0.2">
      <c r="AH96" s="26">
        <v>92</v>
      </c>
      <c r="AI96" s="26">
        <v>8</v>
      </c>
      <c r="AJ96" s="26">
        <v>5</v>
      </c>
      <c r="AK96" s="26">
        <f t="shared" si="28"/>
        <v>30</v>
      </c>
      <c r="AL96" s="26">
        <f t="shared" si="29"/>
        <v>53</v>
      </c>
      <c r="AM96" s="26">
        <f t="shared" si="30"/>
        <v>303</v>
      </c>
      <c r="AP96" s="18">
        <v>92</v>
      </c>
      <c r="AQ96" s="26">
        <v>9</v>
      </c>
      <c r="AR96" s="18">
        <v>1</v>
      </c>
      <c r="AS96" s="15">
        <f t="shared" si="31"/>
        <v>720</v>
      </c>
      <c r="AT96" s="15">
        <f t="shared" si="32"/>
        <v>2160</v>
      </c>
      <c r="AU96" s="15">
        <f t="shared" si="33"/>
        <v>28080</v>
      </c>
      <c r="AX96" s="18">
        <v>92</v>
      </c>
      <c r="AY96" s="26">
        <v>9</v>
      </c>
      <c r="AZ96" s="18">
        <v>2</v>
      </c>
      <c r="BA96" s="15">
        <f t="shared" si="34"/>
        <v>1440</v>
      </c>
      <c r="BB96" s="15">
        <f t="shared" si="35"/>
        <v>4320</v>
      </c>
      <c r="BC96" s="15">
        <f t="shared" si="36"/>
        <v>42120</v>
      </c>
    </row>
    <row r="97" spans="34:55" ht="16.5" x14ac:dyDescent="0.2">
      <c r="AH97" s="26">
        <v>93</v>
      </c>
      <c r="AI97" s="26">
        <v>8</v>
      </c>
      <c r="AJ97" s="26">
        <v>6</v>
      </c>
      <c r="AK97" s="26">
        <f t="shared" si="28"/>
        <v>30</v>
      </c>
      <c r="AL97" s="26">
        <f t="shared" si="29"/>
        <v>54</v>
      </c>
      <c r="AM97" s="26">
        <f t="shared" si="30"/>
        <v>309</v>
      </c>
      <c r="AP97" s="18">
        <v>93</v>
      </c>
      <c r="AQ97" s="26">
        <v>9</v>
      </c>
      <c r="AR97" s="18">
        <v>2</v>
      </c>
      <c r="AS97" s="15">
        <f t="shared" si="31"/>
        <v>720</v>
      </c>
      <c r="AT97" s="15">
        <f t="shared" si="32"/>
        <v>2160</v>
      </c>
      <c r="AU97" s="15">
        <f t="shared" si="33"/>
        <v>28080</v>
      </c>
      <c r="AX97" s="18">
        <v>93</v>
      </c>
      <c r="AY97" s="26">
        <v>9</v>
      </c>
      <c r="AZ97" s="18">
        <v>3</v>
      </c>
      <c r="BA97" s="15">
        <f t="shared" si="34"/>
        <v>1440</v>
      </c>
      <c r="BB97" s="15">
        <f t="shared" si="35"/>
        <v>4320</v>
      </c>
      <c r="BC97" s="15">
        <f t="shared" si="36"/>
        <v>42120</v>
      </c>
    </row>
    <row r="98" spans="34:55" ht="16.5" x14ac:dyDescent="0.2">
      <c r="AH98" s="26">
        <v>94</v>
      </c>
      <c r="AI98" s="26">
        <v>8</v>
      </c>
      <c r="AJ98" s="26">
        <v>7</v>
      </c>
      <c r="AK98" s="26">
        <f t="shared" si="28"/>
        <v>30</v>
      </c>
      <c r="AL98" s="26">
        <f t="shared" si="29"/>
        <v>54</v>
      </c>
      <c r="AM98" s="26">
        <f t="shared" si="30"/>
        <v>314</v>
      </c>
      <c r="AP98" s="18">
        <v>94</v>
      </c>
      <c r="AQ98" s="26">
        <v>9</v>
      </c>
      <c r="AR98" s="18">
        <v>3</v>
      </c>
      <c r="AS98" s="15">
        <f t="shared" si="31"/>
        <v>720</v>
      </c>
      <c r="AT98" s="15">
        <f t="shared" si="32"/>
        <v>2160</v>
      </c>
      <c r="AU98" s="15">
        <f t="shared" si="33"/>
        <v>28080</v>
      </c>
      <c r="AX98" s="18">
        <v>94</v>
      </c>
      <c r="AY98" s="26">
        <v>9</v>
      </c>
      <c r="AZ98" s="18">
        <v>4</v>
      </c>
      <c r="BA98" s="15">
        <f t="shared" si="34"/>
        <v>1440</v>
      </c>
      <c r="BB98" s="15">
        <f t="shared" si="35"/>
        <v>4320</v>
      </c>
      <c r="BC98" s="15">
        <f t="shared" si="36"/>
        <v>42120</v>
      </c>
    </row>
    <row r="99" spans="34:55" ht="16.5" x14ac:dyDescent="0.2">
      <c r="AH99" s="26">
        <v>95</v>
      </c>
      <c r="AI99" s="26">
        <v>8</v>
      </c>
      <c r="AJ99" s="26">
        <v>8</v>
      </c>
      <c r="AK99" s="26">
        <f t="shared" si="28"/>
        <v>30</v>
      </c>
      <c r="AL99" s="26">
        <f t="shared" si="29"/>
        <v>55</v>
      </c>
      <c r="AM99" s="26">
        <f t="shared" si="30"/>
        <v>320</v>
      </c>
      <c r="AP99" s="18">
        <v>95</v>
      </c>
      <c r="AQ99" s="26">
        <v>9</v>
      </c>
      <c r="AR99" s="18">
        <v>4</v>
      </c>
      <c r="AS99" s="15">
        <f t="shared" si="31"/>
        <v>720</v>
      </c>
      <c r="AT99" s="15">
        <f t="shared" si="32"/>
        <v>2160</v>
      </c>
      <c r="AU99" s="15">
        <f t="shared" si="33"/>
        <v>28080</v>
      </c>
      <c r="AX99" s="18">
        <v>95</v>
      </c>
      <c r="AY99" s="26">
        <v>9</v>
      </c>
      <c r="AZ99" s="18">
        <v>5</v>
      </c>
      <c r="BA99" s="15">
        <f t="shared" si="34"/>
        <v>1440</v>
      </c>
      <c r="BB99" s="15">
        <f t="shared" si="35"/>
        <v>4320</v>
      </c>
      <c r="BC99" s="15">
        <f t="shared" si="36"/>
        <v>42120</v>
      </c>
    </row>
    <row r="100" spans="34:55" ht="16.5" x14ac:dyDescent="0.2">
      <c r="AH100" s="26">
        <v>96</v>
      </c>
      <c r="AI100" s="26">
        <v>8</v>
      </c>
      <c r="AJ100" s="26">
        <v>9</v>
      </c>
      <c r="AK100" s="26">
        <f t="shared" si="28"/>
        <v>30</v>
      </c>
      <c r="AL100" s="26">
        <f t="shared" si="29"/>
        <v>56</v>
      </c>
      <c r="AM100" s="26">
        <f t="shared" si="30"/>
        <v>326</v>
      </c>
      <c r="AP100" s="18">
        <v>96</v>
      </c>
      <c r="AQ100" s="26">
        <v>9</v>
      </c>
      <c r="AR100" s="18">
        <v>5</v>
      </c>
      <c r="AS100" s="15">
        <f t="shared" si="31"/>
        <v>720</v>
      </c>
      <c r="AT100" s="15">
        <f t="shared" si="32"/>
        <v>2160</v>
      </c>
      <c r="AU100" s="15">
        <f t="shared" si="33"/>
        <v>28080</v>
      </c>
      <c r="AX100" s="18">
        <v>96</v>
      </c>
      <c r="AY100" s="26">
        <v>9</v>
      </c>
      <c r="AZ100" s="18">
        <v>6</v>
      </c>
      <c r="BA100" s="15">
        <f t="shared" si="34"/>
        <v>1440</v>
      </c>
      <c r="BB100" s="15">
        <f t="shared" si="35"/>
        <v>4320</v>
      </c>
      <c r="BC100" s="15">
        <f t="shared" si="36"/>
        <v>42120</v>
      </c>
    </row>
    <row r="101" spans="34:55" ht="16.5" x14ac:dyDescent="0.2">
      <c r="AH101" s="26">
        <v>97</v>
      </c>
      <c r="AI101" s="26">
        <v>8</v>
      </c>
      <c r="AJ101" s="26">
        <v>10</v>
      </c>
      <c r="AK101" s="26">
        <f t="shared" si="28"/>
        <v>30</v>
      </c>
      <c r="AL101" s="26">
        <f t="shared" si="29"/>
        <v>56</v>
      </c>
      <c r="AM101" s="26">
        <f t="shared" si="30"/>
        <v>331</v>
      </c>
      <c r="AP101" s="18">
        <v>97</v>
      </c>
      <c r="AQ101" s="26">
        <v>9</v>
      </c>
      <c r="AR101" s="18">
        <v>6</v>
      </c>
      <c r="AS101" s="15">
        <f t="shared" si="31"/>
        <v>720</v>
      </c>
      <c r="AT101" s="15">
        <f t="shared" si="32"/>
        <v>2160</v>
      </c>
      <c r="AU101" s="15">
        <f t="shared" si="33"/>
        <v>28080</v>
      </c>
      <c r="AX101" s="18">
        <v>97</v>
      </c>
      <c r="AY101" s="26">
        <v>9</v>
      </c>
      <c r="AZ101" s="18">
        <v>7</v>
      </c>
      <c r="BA101" s="15">
        <f t="shared" si="34"/>
        <v>1440</v>
      </c>
      <c r="BB101" s="15">
        <f t="shared" si="35"/>
        <v>4320</v>
      </c>
      <c r="BC101" s="15">
        <f t="shared" si="36"/>
        <v>42120</v>
      </c>
    </row>
    <row r="102" spans="34:55" ht="16.5" x14ac:dyDescent="0.2">
      <c r="AH102" s="26">
        <v>98</v>
      </c>
      <c r="AI102" s="26">
        <v>8</v>
      </c>
      <c r="AJ102" s="26">
        <v>11</v>
      </c>
      <c r="AK102" s="26">
        <f t="shared" si="28"/>
        <v>30</v>
      </c>
      <c r="AL102" s="26">
        <f t="shared" si="29"/>
        <v>57</v>
      </c>
      <c r="AM102" s="26">
        <f t="shared" si="30"/>
        <v>337</v>
      </c>
      <c r="AP102" s="18">
        <v>98</v>
      </c>
      <c r="AQ102" s="26">
        <v>9</v>
      </c>
      <c r="AR102" s="18">
        <v>7</v>
      </c>
      <c r="AS102" s="15">
        <f t="shared" si="31"/>
        <v>720</v>
      </c>
      <c r="AT102" s="15">
        <f t="shared" si="32"/>
        <v>2160</v>
      </c>
      <c r="AU102" s="15">
        <f t="shared" si="33"/>
        <v>28080</v>
      </c>
      <c r="AX102" s="18">
        <v>98</v>
      </c>
      <c r="AY102" s="26">
        <v>9</v>
      </c>
      <c r="AZ102" s="18">
        <v>8</v>
      </c>
      <c r="BA102" s="15">
        <f t="shared" si="34"/>
        <v>1440</v>
      </c>
      <c r="BB102" s="15">
        <f t="shared" si="35"/>
        <v>4320</v>
      </c>
      <c r="BC102" s="15">
        <f t="shared" si="36"/>
        <v>42120</v>
      </c>
    </row>
    <row r="103" spans="34:55" ht="16.5" x14ac:dyDescent="0.2">
      <c r="AH103" s="26">
        <v>99</v>
      </c>
      <c r="AI103" s="26">
        <v>8</v>
      </c>
      <c r="AJ103" s="26">
        <v>12</v>
      </c>
      <c r="AK103" s="26">
        <f t="shared" si="28"/>
        <v>30</v>
      </c>
      <c r="AL103" s="26">
        <f t="shared" si="29"/>
        <v>58</v>
      </c>
      <c r="AM103" s="26">
        <f t="shared" si="30"/>
        <v>343</v>
      </c>
      <c r="AP103" s="18">
        <v>99</v>
      </c>
      <c r="AQ103" s="26">
        <v>9</v>
      </c>
      <c r="AR103" s="18">
        <v>8</v>
      </c>
      <c r="AS103" s="15">
        <f t="shared" si="31"/>
        <v>720</v>
      </c>
      <c r="AT103" s="15">
        <f t="shared" si="32"/>
        <v>2160</v>
      </c>
      <c r="AU103" s="15">
        <f t="shared" si="33"/>
        <v>28080</v>
      </c>
      <c r="AX103" s="18">
        <v>99</v>
      </c>
      <c r="AY103" s="26">
        <v>9</v>
      </c>
      <c r="AZ103" s="18">
        <v>9</v>
      </c>
      <c r="BA103" s="15">
        <f t="shared" si="34"/>
        <v>1440</v>
      </c>
      <c r="BB103" s="15">
        <f t="shared" si="35"/>
        <v>4320</v>
      </c>
      <c r="BC103" s="15">
        <f t="shared" si="36"/>
        <v>42120</v>
      </c>
    </row>
    <row r="104" spans="34:55" ht="16.5" x14ac:dyDescent="0.2">
      <c r="AH104" s="26">
        <v>100</v>
      </c>
      <c r="AI104" s="26">
        <v>8</v>
      </c>
      <c r="AJ104" s="26">
        <v>13</v>
      </c>
      <c r="AK104" s="26">
        <f t="shared" si="28"/>
        <v>30</v>
      </c>
      <c r="AL104" s="26">
        <f t="shared" si="29"/>
        <v>58</v>
      </c>
      <c r="AM104" s="26">
        <f t="shared" si="30"/>
        <v>348</v>
      </c>
      <c r="AP104" s="18">
        <v>100</v>
      </c>
      <c r="AQ104" s="26">
        <v>9</v>
      </c>
      <c r="AR104" s="18">
        <v>9</v>
      </c>
      <c r="AS104" s="15">
        <f t="shared" si="31"/>
        <v>720</v>
      </c>
      <c r="AT104" s="15">
        <f t="shared" si="32"/>
        <v>2160</v>
      </c>
      <c r="AU104" s="15">
        <f t="shared" si="33"/>
        <v>28080</v>
      </c>
      <c r="AX104" s="18">
        <v>100</v>
      </c>
      <c r="AY104" s="26">
        <v>9</v>
      </c>
      <c r="AZ104" s="18">
        <v>10</v>
      </c>
      <c r="BA104" s="15">
        <f t="shared" si="34"/>
        <v>1440</v>
      </c>
      <c r="BB104" s="15">
        <f t="shared" si="35"/>
        <v>4320</v>
      </c>
      <c r="BC104" s="15">
        <f t="shared" si="36"/>
        <v>42120</v>
      </c>
    </row>
    <row r="105" spans="34:55" ht="16.5" x14ac:dyDescent="0.2">
      <c r="AH105" s="26">
        <v>101</v>
      </c>
      <c r="AI105" s="26">
        <v>8</v>
      </c>
      <c r="AJ105" s="26">
        <v>14</v>
      </c>
      <c r="AK105" s="26">
        <f t="shared" si="28"/>
        <v>30</v>
      </c>
      <c r="AL105" s="26">
        <f t="shared" si="29"/>
        <v>59</v>
      </c>
      <c r="AM105" s="26">
        <f t="shared" si="30"/>
        <v>354</v>
      </c>
      <c r="AP105" s="18">
        <v>101</v>
      </c>
      <c r="AQ105" s="26">
        <v>9</v>
      </c>
      <c r="AR105" s="18">
        <v>10</v>
      </c>
      <c r="AS105" s="15">
        <f t="shared" si="31"/>
        <v>720</v>
      </c>
      <c r="AT105" s="15">
        <f t="shared" si="32"/>
        <v>2160</v>
      </c>
      <c r="AU105" s="15">
        <f t="shared" si="33"/>
        <v>28080</v>
      </c>
      <c r="AX105" s="18">
        <v>101</v>
      </c>
      <c r="AY105" s="26">
        <v>9</v>
      </c>
      <c r="AZ105" s="18">
        <v>11</v>
      </c>
      <c r="BA105" s="15">
        <f t="shared" si="34"/>
        <v>1440</v>
      </c>
      <c r="BB105" s="15">
        <f t="shared" si="35"/>
        <v>4320</v>
      </c>
      <c r="BC105" s="15">
        <f t="shared" si="36"/>
        <v>42120</v>
      </c>
    </row>
    <row r="106" spans="34:55" ht="16.5" x14ac:dyDescent="0.2">
      <c r="AH106" s="26">
        <v>102</v>
      </c>
      <c r="AI106" s="26">
        <v>8</v>
      </c>
      <c r="AJ106" s="26">
        <v>15</v>
      </c>
      <c r="AK106" s="26">
        <f t="shared" si="28"/>
        <v>30</v>
      </c>
      <c r="AL106" s="26">
        <f t="shared" si="29"/>
        <v>60</v>
      </c>
      <c r="AM106" s="26">
        <f t="shared" si="30"/>
        <v>360</v>
      </c>
      <c r="AP106" s="18">
        <v>102</v>
      </c>
      <c r="AQ106" s="26">
        <v>9</v>
      </c>
      <c r="AR106" s="18">
        <v>11</v>
      </c>
      <c r="AS106" s="15">
        <f t="shared" si="31"/>
        <v>720</v>
      </c>
      <c r="AT106" s="15">
        <f t="shared" si="32"/>
        <v>2160</v>
      </c>
      <c r="AU106" s="15">
        <f t="shared" si="33"/>
        <v>28080</v>
      </c>
      <c r="AX106" s="18">
        <v>102</v>
      </c>
      <c r="AY106" s="26">
        <v>9</v>
      </c>
      <c r="AZ106" s="18">
        <v>12</v>
      </c>
      <c r="BA106" s="15">
        <f t="shared" si="34"/>
        <v>1440</v>
      </c>
      <c r="BB106" s="15">
        <f t="shared" si="35"/>
        <v>4320</v>
      </c>
      <c r="BC106" s="15">
        <f t="shared" si="36"/>
        <v>42120</v>
      </c>
    </row>
    <row r="107" spans="34:55" ht="16.5" x14ac:dyDescent="0.2">
      <c r="AH107" s="26">
        <v>103</v>
      </c>
      <c r="AI107" s="26">
        <v>9</v>
      </c>
      <c r="AJ107" s="26">
        <v>1</v>
      </c>
      <c r="AK107" s="26">
        <f t="shared" si="28"/>
        <v>36</v>
      </c>
      <c r="AL107" s="26">
        <f t="shared" si="29"/>
        <v>60</v>
      </c>
      <c r="AM107" s="26">
        <f t="shared" si="30"/>
        <v>367</v>
      </c>
      <c r="AP107" s="18">
        <v>103</v>
      </c>
      <c r="AQ107" s="26">
        <v>9</v>
      </c>
      <c r="AR107" s="18">
        <v>12</v>
      </c>
      <c r="AS107" s="15">
        <f t="shared" si="31"/>
        <v>720</v>
      </c>
      <c r="AT107" s="15">
        <f t="shared" si="32"/>
        <v>2160</v>
      </c>
      <c r="AU107" s="15">
        <f t="shared" si="33"/>
        <v>28080</v>
      </c>
      <c r="AX107" s="18">
        <v>103</v>
      </c>
      <c r="AY107" s="26">
        <v>9</v>
      </c>
      <c r="AZ107" s="18">
        <v>13</v>
      </c>
      <c r="BA107" s="15">
        <f t="shared" si="34"/>
        <v>1440</v>
      </c>
      <c r="BB107" s="15">
        <f t="shared" si="35"/>
        <v>4320</v>
      </c>
      <c r="BC107" s="15">
        <f t="shared" si="36"/>
        <v>42120</v>
      </c>
    </row>
    <row r="108" spans="34:55" ht="16.5" x14ac:dyDescent="0.2">
      <c r="AH108" s="26">
        <v>104</v>
      </c>
      <c r="AI108" s="26">
        <v>9</v>
      </c>
      <c r="AJ108" s="26">
        <v>2</v>
      </c>
      <c r="AK108" s="26">
        <f t="shared" si="28"/>
        <v>36</v>
      </c>
      <c r="AL108" s="26">
        <f t="shared" si="29"/>
        <v>61</v>
      </c>
      <c r="AM108" s="26">
        <f t="shared" si="30"/>
        <v>374</v>
      </c>
      <c r="AP108" s="18">
        <v>104</v>
      </c>
      <c r="AQ108" s="26">
        <v>9</v>
      </c>
      <c r="AR108" s="18">
        <v>13</v>
      </c>
      <c r="AS108" s="15">
        <f t="shared" si="31"/>
        <v>720</v>
      </c>
      <c r="AT108" s="15">
        <f t="shared" si="32"/>
        <v>2160</v>
      </c>
      <c r="AU108" s="15">
        <f t="shared" si="33"/>
        <v>28080</v>
      </c>
      <c r="AX108" s="18">
        <v>104</v>
      </c>
      <c r="AY108" s="26">
        <v>9</v>
      </c>
      <c r="AZ108" s="18">
        <v>14</v>
      </c>
      <c r="BA108" s="15">
        <f t="shared" si="34"/>
        <v>1440</v>
      </c>
      <c r="BB108" s="15">
        <f t="shared" si="35"/>
        <v>4320</v>
      </c>
      <c r="BC108" s="15">
        <f t="shared" si="36"/>
        <v>42120</v>
      </c>
    </row>
    <row r="109" spans="34:55" ht="16.5" x14ac:dyDescent="0.2">
      <c r="AH109" s="26">
        <v>105</v>
      </c>
      <c r="AI109" s="26">
        <v>9</v>
      </c>
      <c r="AJ109" s="26">
        <v>3</v>
      </c>
      <c r="AK109" s="26">
        <f t="shared" si="28"/>
        <v>36</v>
      </c>
      <c r="AL109" s="26">
        <f t="shared" si="29"/>
        <v>62</v>
      </c>
      <c r="AM109" s="26">
        <f t="shared" si="30"/>
        <v>381</v>
      </c>
      <c r="AP109" s="18">
        <v>105</v>
      </c>
      <c r="AQ109" s="26">
        <v>9</v>
      </c>
      <c r="AR109" s="18">
        <v>14</v>
      </c>
      <c r="AS109" s="15">
        <f t="shared" si="31"/>
        <v>720</v>
      </c>
      <c r="AT109" s="15">
        <f t="shared" si="32"/>
        <v>2160</v>
      </c>
      <c r="AU109" s="15">
        <f t="shared" si="33"/>
        <v>28080</v>
      </c>
      <c r="AX109" s="18">
        <v>105</v>
      </c>
      <c r="AY109" s="26">
        <v>9</v>
      </c>
      <c r="AZ109" s="18">
        <v>15</v>
      </c>
      <c r="BA109" s="15">
        <f t="shared" si="34"/>
        <v>1440</v>
      </c>
      <c r="BB109" s="15">
        <f t="shared" si="35"/>
        <v>4320</v>
      </c>
      <c r="BC109" s="15">
        <f t="shared" si="36"/>
        <v>42120</v>
      </c>
    </row>
    <row r="110" spans="34:55" ht="16.5" x14ac:dyDescent="0.2">
      <c r="AH110" s="26">
        <v>106</v>
      </c>
      <c r="AI110" s="26">
        <v>9</v>
      </c>
      <c r="AJ110" s="26">
        <v>4</v>
      </c>
      <c r="AK110" s="26">
        <f t="shared" si="28"/>
        <v>36</v>
      </c>
      <c r="AL110" s="26">
        <f t="shared" si="29"/>
        <v>63</v>
      </c>
      <c r="AM110" s="26">
        <f t="shared" si="30"/>
        <v>388</v>
      </c>
      <c r="AP110" s="18">
        <v>106</v>
      </c>
      <c r="AQ110" s="26">
        <v>9</v>
      </c>
      <c r="AR110" s="18">
        <v>15</v>
      </c>
      <c r="AS110" s="15">
        <f t="shared" si="31"/>
        <v>720</v>
      </c>
      <c r="AT110" s="15">
        <f t="shared" si="32"/>
        <v>2160</v>
      </c>
      <c r="AU110" s="15">
        <f t="shared" si="33"/>
        <v>28080</v>
      </c>
      <c r="AX110" s="18">
        <v>106</v>
      </c>
      <c r="AY110" s="26">
        <v>10</v>
      </c>
      <c r="AZ110" s="18">
        <v>1</v>
      </c>
      <c r="BA110" s="15">
        <f t="shared" si="34"/>
        <v>1760</v>
      </c>
      <c r="BB110" s="15">
        <f t="shared" si="35"/>
        <v>5400</v>
      </c>
      <c r="BC110" s="15">
        <f t="shared" si="36"/>
        <v>55440</v>
      </c>
    </row>
    <row r="111" spans="34:55" ht="16.5" x14ac:dyDescent="0.2">
      <c r="AH111" s="26">
        <v>107</v>
      </c>
      <c r="AI111" s="26">
        <v>9</v>
      </c>
      <c r="AJ111" s="26">
        <v>5</v>
      </c>
      <c r="AK111" s="26">
        <f t="shared" si="28"/>
        <v>36</v>
      </c>
      <c r="AL111" s="26">
        <f t="shared" si="29"/>
        <v>64</v>
      </c>
      <c r="AM111" s="26">
        <f t="shared" si="30"/>
        <v>396</v>
      </c>
      <c r="AP111" s="18">
        <v>107</v>
      </c>
      <c r="AQ111" s="26">
        <v>10</v>
      </c>
      <c r="AR111" s="18">
        <v>1</v>
      </c>
      <c r="AS111" s="15">
        <f t="shared" si="31"/>
        <v>880</v>
      </c>
      <c r="AT111" s="15">
        <f t="shared" si="32"/>
        <v>2700</v>
      </c>
      <c r="AU111" s="15">
        <f t="shared" si="33"/>
        <v>36960</v>
      </c>
      <c r="AX111" s="18">
        <v>107</v>
      </c>
      <c r="AY111" s="26">
        <v>10</v>
      </c>
      <c r="AZ111" s="18">
        <v>2</v>
      </c>
      <c r="BA111" s="15">
        <f t="shared" si="34"/>
        <v>1760</v>
      </c>
      <c r="BB111" s="15">
        <f t="shared" si="35"/>
        <v>5400</v>
      </c>
      <c r="BC111" s="15">
        <f t="shared" si="36"/>
        <v>55440</v>
      </c>
    </row>
    <row r="112" spans="34:55" ht="16.5" x14ac:dyDescent="0.2">
      <c r="AH112" s="26">
        <v>108</v>
      </c>
      <c r="AI112" s="26">
        <v>9</v>
      </c>
      <c r="AJ112" s="26">
        <v>6</v>
      </c>
      <c r="AK112" s="26">
        <f t="shared" si="28"/>
        <v>36</v>
      </c>
      <c r="AL112" s="26">
        <f t="shared" si="29"/>
        <v>64</v>
      </c>
      <c r="AM112" s="26">
        <f t="shared" si="30"/>
        <v>403</v>
      </c>
      <c r="AP112" s="18">
        <v>108</v>
      </c>
      <c r="AQ112" s="26">
        <v>10</v>
      </c>
      <c r="AR112" s="18">
        <v>2</v>
      </c>
      <c r="AS112" s="15">
        <f t="shared" si="31"/>
        <v>880</v>
      </c>
      <c r="AT112" s="15">
        <f t="shared" si="32"/>
        <v>2700</v>
      </c>
      <c r="AU112" s="15">
        <f t="shared" si="33"/>
        <v>36960</v>
      </c>
      <c r="AX112" s="18">
        <v>108</v>
      </c>
      <c r="AY112" s="26">
        <v>10</v>
      </c>
      <c r="AZ112" s="18">
        <v>3</v>
      </c>
      <c r="BA112" s="15">
        <f t="shared" si="34"/>
        <v>1760</v>
      </c>
      <c r="BB112" s="15">
        <f t="shared" si="35"/>
        <v>5400</v>
      </c>
      <c r="BC112" s="15">
        <f t="shared" si="36"/>
        <v>55440</v>
      </c>
    </row>
    <row r="113" spans="34:55" ht="16.5" x14ac:dyDescent="0.2">
      <c r="AH113" s="26">
        <v>109</v>
      </c>
      <c r="AI113" s="26">
        <v>9</v>
      </c>
      <c r="AJ113" s="26">
        <v>7</v>
      </c>
      <c r="AK113" s="26">
        <f t="shared" si="28"/>
        <v>36</v>
      </c>
      <c r="AL113" s="26">
        <f t="shared" si="29"/>
        <v>65</v>
      </c>
      <c r="AM113" s="26">
        <f t="shared" si="30"/>
        <v>410</v>
      </c>
      <c r="AP113" s="18">
        <v>109</v>
      </c>
      <c r="AQ113" s="26">
        <v>10</v>
      </c>
      <c r="AR113" s="18">
        <v>3</v>
      </c>
      <c r="AS113" s="15">
        <f t="shared" si="31"/>
        <v>880</v>
      </c>
      <c r="AT113" s="15">
        <f t="shared" si="32"/>
        <v>2700</v>
      </c>
      <c r="AU113" s="15">
        <f t="shared" si="33"/>
        <v>36960</v>
      </c>
      <c r="AX113" s="18">
        <v>109</v>
      </c>
      <c r="AY113" s="26">
        <v>10</v>
      </c>
      <c r="AZ113" s="18">
        <v>4</v>
      </c>
      <c r="BA113" s="15">
        <f t="shared" si="34"/>
        <v>1760</v>
      </c>
      <c r="BB113" s="15">
        <f t="shared" si="35"/>
        <v>5400</v>
      </c>
      <c r="BC113" s="15">
        <f t="shared" si="36"/>
        <v>55440</v>
      </c>
    </row>
    <row r="114" spans="34:55" ht="16.5" x14ac:dyDescent="0.2">
      <c r="AH114" s="26">
        <v>110</v>
      </c>
      <c r="AI114" s="26">
        <v>9</v>
      </c>
      <c r="AJ114" s="26">
        <v>8</v>
      </c>
      <c r="AK114" s="26">
        <f t="shared" si="28"/>
        <v>36</v>
      </c>
      <c r="AL114" s="26">
        <f t="shared" si="29"/>
        <v>66</v>
      </c>
      <c r="AM114" s="26">
        <f t="shared" si="30"/>
        <v>417</v>
      </c>
      <c r="AP114" s="18">
        <v>110</v>
      </c>
      <c r="AQ114" s="26">
        <v>10</v>
      </c>
      <c r="AR114" s="18">
        <v>4</v>
      </c>
      <c r="AS114" s="15">
        <f t="shared" si="31"/>
        <v>880</v>
      </c>
      <c r="AT114" s="15">
        <f t="shared" si="32"/>
        <v>2700</v>
      </c>
      <c r="AU114" s="15">
        <f t="shared" si="33"/>
        <v>36960</v>
      </c>
      <c r="AX114" s="18">
        <v>110</v>
      </c>
      <c r="AY114" s="26">
        <v>10</v>
      </c>
      <c r="AZ114" s="18">
        <v>5</v>
      </c>
      <c r="BA114" s="15">
        <f t="shared" si="34"/>
        <v>1760</v>
      </c>
      <c r="BB114" s="15">
        <f t="shared" si="35"/>
        <v>5400</v>
      </c>
      <c r="BC114" s="15">
        <f t="shared" si="36"/>
        <v>55440</v>
      </c>
    </row>
    <row r="115" spans="34:55" ht="16.5" x14ac:dyDescent="0.2">
      <c r="AH115" s="26">
        <v>111</v>
      </c>
      <c r="AI115" s="26">
        <v>9</v>
      </c>
      <c r="AJ115" s="26">
        <v>9</v>
      </c>
      <c r="AK115" s="26">
        <f t="shared" si="28"/>
        <v>36</v>
      </c>
      <c r="AL115" s="26">
        <f t="shared" si="29"/>
        <v>67</v>
      </c>
      <c r="AM115" s="26">
        <f t="shared" si="30"/>
        <v>424</v>
      </c>
      <c r="AP115" s="18">
        <v>111</v>
      </c>
      <c r="AQ115" s="26">
        <v>10</v>
      </c>
      <c r="AR115" s="18">
        <v>5</v>
      </c>
      <c r="AS115" s="15">
        <f t="shared" si="31"/>
        <v>880</v>
      </c>
      <c r="AT115" s="15">
        <f t="shared" si="32"/>
        <v>2700</v>
      </c>
      <c r="AU115" s="15">
        <f t="shared" si="33"/>
        <v>36960</v>
      </c>
      <c r="AX115" s="18">
        <v>111</v>
      </c>
      <c r="AY115" s="26">
        <v>10</v>
      </c>
      <c r="AZ115" s="18">
        <v>6</v>
      </c>
      <c r="BA115" s="15">
        <f t="shared" si="34"/>
        <v>1760</v>
      </c>
      <c r="BB115" s="15">
        <f t="shared" si="35"/>
        <v>5400</v>
      </c>
      <c r="BC115" s="15">
        <f t="shared" si="36"/>
        <v>55440</v>
      </c>
    </row>
    <row r="116" spans="34:55" ht="16.5" x14ac:dyDescent="0.2">
      <c r="AH116" s="26">
        <v>112</v>
      </c>
      <c r="AI116" s="26">
        <v>9</v>
      </c>
      <c r="AJ116" s="26">
        <v>10</v>
      </c>
      <c r="AK116" s="26">
        <f t="shared" si="28"/>
        <v>36</v>
      </c>
      <c r="AL116" s="26">
        <f t="shared" si="29"/>
        <v>68</v>
      </c>
      <c r="AM116" s="26">
        <f t="shared" si="30"/>
        <v>432</v>
      </c>
      <c r="AP116" s="18">
        <v>112</v>
      </c>
      <c r="AQ116" s="26">
        <v>10</v>
      </c>
      <c r="AR116" s="18">
        <v>6</v>
      </c>
      <c r="AS116" s="15">
        <f t="shared" si="31"/>
        <v>880</v>
      </c>
      <c r="AT116" s="15">
        <f t="shared" si="32"/>
        <v>2700</v>
      </c>
      <c r="AU116" s="15">
        <f t="shared" si="33"/>
        <v>36960</v>
      </c>
      <c r="AX116" s="18">
        <v>112</v>
      </c>
      <c r="AY116" s="26">
        <v>10</v>
      </c>
      <c r="AZ116" s="18">
        <v>7</v>
      </c>
      <c r="BA116" s="15">
        <f t="shared" si="34"/>
        <v>1760</v>
      </c>
      <c r="BB116" s="15">
        <f t="shared" si="35"/>
        <v>5400</v>
      </c>
      <c r="BC116" s="15">
        <f t="shared" si="36"/>
        <v>55440</v>
      </c>
    </row>
    <row r="117" spans="34:55" ht="16.5" x14ac:dyDescent="0.2">
      <c r="AH117" s="26">
        <v>113</v>
      </c>
      <c r="AI117" s="26">
        <v>9</v>
      </c>
      <c r="AJ117" s="26">
        <v>11</v>
      </c>
      <c r="AK117" s="26">
        <f t="shared" si="28"/>
        <v>36</v>
      </c>
      <c r="AL117" s="26">
        <f t="shared" si="29"/>
        <v>68</v>
      </c>
      <c r="AM117" s="26">
        <f t="shared" si="30"/>
        <v>439</v>
      </c>
      <c r="AP117" s="18">
        <v>113</v>
      </c>
      <c r="AQ117" s="26">
        <v>10</v>
      </c>
      <c r="AR117" s="18">
        <v>7</v>
      </c>
      <c r="AS117" s="15">
        <f t="shared" si="31"/>
        <v>880</v>
      </c>
      <c r="AT117" s="15">
        <f t="shared" si="32"/>
        <v>2700</v>
      </c>
      <c r="AU117" s="15">
        <f t="shared" si="33"/>
        <v>36960</v>
      </c>
      <c r="AX117" s="18">
        <v>113</v>
      </c>
      <c r="AY117" s="26">
        <v>10</v>
      </c>
      <c r="AZ117" s="18">
        <v>8</v>
      </c>
      <c r="BA117" s="15">
        <f t="shared" si="34"/>
        <v>1760</v>
      </c>
      <c r="BB117" s="15">
        <f t="shared" si="35"/>
        <v>5400</v>
      </c>
      <c r="BC117" s="15">
        <f t="shared" si="36"/>
        <v>55440</v>
      </c>
    </row>
    <row r="118" spans="34:55" ht="16.5" x14ac:dyDescent="0.2">
      <c r="AH118" s="26">
        <v>114</v>
      </c>
      <c r="AI118" s="26">
        <v>9</v>
      </c>
      <c r="AJ118" s="26">
        <v>12</v>
      </c>
      <c r="AK118" s="26">
        <f t="shared" si="28"/>
        <v>36</v>
      </c>
      <c r="AL118" s="26">
        <f t="shared" si="29"/>
        <v>69</v>
      </c>
      <c r="AM118" s="26">
        <f t="shared" si="30"/>
        <v>446</v>
      </c>
      <c r="AP118" s="18">
        <v>114</v>
      </c>
      <c r="AQ118" s="26">
        <v>10</v>
      </c>
      <c r="AR118" s="18">
        <v>8</v>
      </c>
      <c r="AS118" s="15">
        <f t="shared" si="31"/>
        <v>880</v>
      </c>
      <c r="AT118" s="15">
        <f t="shared" si="32"/>
        <v>2700</v>
      </c>
      <c r="AU118" s="15">
        <f t="shared" si="33"/>
        <v>36960</v>
      </c>
      <c r="AX118" s="18">
        <v>114</v>
      </c>
      <c r="AY118" s="26">
        <v>10</v>
      </c>
      <c r="AZ118" s="18">
        <v>9</v>
      </c>
      <c r="BA118" s="15">
        <f t="shared" si="34"/>
        <v>1760</v>
      </c>
      <c r="BB118" s="15">
        <f t="shared" si="35"/>
        <v>5400</v>
      </c>
      <c r="BC118" s="15">
        <f t="shared" si="36"/>
        <v>55440</v>
      </c>
    </row>
    <row r="119" spans="34:55" ht="16.5" x14ac:dyDescent="0.2">
      <c r="AH119" s="26">
        <v>115</v>
      </c>
      <c r="AI119" s="26">
        <v>9</v>
      </c>
      <c r="AJ119" s="26">
        <v>13</v>
      </c>
      <c r="AK119" s="26">
        <f t="shared" si="28"/>
        <v>36</v>
      </c>
      <c r="AL119" s="26">
        <f t="shared" si="29"/>
        <v>70</v>
      </c>
      <c r="AM119" s="26">
        <f t="shared" si="30"/>
        <v>453</v>
      </c>
      <c r="AP119" s="18">
        <v>115</v>
      </c>
      <c r="AQ119" s="26">
        <v>10</v>
      </c>
      <c r="AR119" s="18">
        <v>9</v>
      </c>
      <c r="AS119" s="15">
        <f t="shared" si="31"/>
        <v>880</v>
      </c>
      <c r="AT119" s="15">
        <f t="shared" si="32"/>
        <v>2700</v>
      </c>
      <c r="AU119" s="15">
        <f t="shared" si="33"/>
        <v>36960</v>
      </c>
      <c r="AX119" s="18">
        <v>115</v>
      </c>
      <c r="AY119" s="26">
        <v>10</v>
      </c>
      <c r="AZ119" s="18">
        <v>10</v>
      </c>
      <c r="BA119" s="15">
        <f t="shared" si="34"/>
        <v>1760</v>
      </c>
      <c r="BB119" s="15">
        <f t="shared" si="35"/>
        <v>5400</v>
      </c>
      <c r="BC119" s="15">
        <f t="shared" si="36"/>
        <v>55440</v>
      </c>
    </row>
    <row r="120" spans="34:55" ht="16.5" x14ac:dyDescent="0.2">
      <c r="AH120" s="26">
        <v>116</v>
      </c>
      <c r="AI120" s="26">
        <v>9</v>
      </c>
      <c r="AJ120" s="26">
        <v>14</v>
      </c>
      <c r="AK120" s="26">
        <f t="shared" si="28"/>
        <v>36</v>
      </c>
      <c r="AL120" s="26">
        <f t="shared" si="29"/>
        <v>71</v>
      </c>
      <c r="AM120" s="26">
        <f t="shared" si="30"/>
        <v>460</v>
      </c>
      <c r="AP120" s="18">
        <v>116</v>
      </c>
      <c r="AQ120" s="26">
        <v>10</v>
      </c>
      <c r="AR120" s="18">
        <v>10</v>
      </c>
      <c r="AS120" s="15">
        <f t="shared" si="31"/>
        <v>880</v>
      </c>
      <c r="AT120" s="15">
        <f t="shared" si="32"/>
        <v>2700</v>
      </c>
      <c r="AU120" s="15">
        <f t="shared" si="33"/>
        <v>36960</v>
      </c>
      <c r="AX120" s="18">
        <v>116</v>
      </c>
      <c r="AY120" s="26">
        <v>10</v>
      </c>
      <c r="AZ120" s="18">
        <v>11</v>
      </c>
      <c r="BA120" s="15">
        <f t="shared" si="34"/>
        <v>1760</v>
      </c>
      <c r="BB120" s="15">
        <f t="shared" si="35"/>
        <v>5400</v>
      </c>
      <c r="BC120" s="15">
        <f t="shared" si="36"/>
        <v>55440</v>
      </c>
    </row>
    <row r="121" spans="34:55" ht="16.5" x14ac:dyDescent="0.2">
      <c r="AH121" s="26">
        <v>117</v>
      </c>
      <c r="AI121" s="26">
        <v>9</v>
      </c>
      <c r="AJ121" s="26">
        <v>15</v>
      </c>
      <c r="AK121" s="26">
        <f t="shared" si="28"/>
        <v>36</v>
      </c>
      <c r="AL121" s="26">
        <f t="shared" si="29"/>
        <v>72</v>
      </c>
      <c r="AM121" s="26">
        <f t="shared" si="30"/>
        <v>468</v>
      </c>
      <c r="AP121" s="18">
        <v>117</v>
      </c>
      <c r="AQ121" s="26">
        <v>10</v>
      </c>
      <c r="AR121" s="18">
        <v>11</v>
      </c>
      <c r="AS121" s="15">
        <f t="shared" si="31"/>
        <v>880</v>
      </c>
      <c r="AT121" s="15">
        <f t="shared" si="32"/>
        <v>2700</v>
      </c>
      <c r="AU121" s="15">
        <f t="shared" si="33"/>
        <v>36960</v>
      </c>
      <c r="AX121" s="18">
        <v>117</v>
      </c>
      <c r="AY121" s="26">
        <v>10</v>
      </c>
      <c r="AZ121" s="18">
        <v>12</v>
      </c>
      <c r="BA121" s="15">
        <f t="shared" si="34"/>
        <v>1760</v>
      </c>
      <c r="BB121" s="15">
        <f t="shared" si="35"/>
        <v>5400</v>
      </c>
      <c r="BC121" s="15">
        <f t="shared" si="36"/>
        <v>55440</v>
      </c>
    </row>
    <row r="122" spans="34:55" ht="16.5" x14ac:dyDescent="0.2">
      <c r="AH122" s="26">
        <v>118</v>
      </c>
      <c r="AI122" s="26">
        <v>10</v>
      </c>
      <c r="AJ122" s="26">
        <v>1</v>
      </c>
      <c r="AK122" s="26">
        <f t="shared" si="28"/>
        <v>44</v>
      </c>
      <c r="AL122" s="26">
        <f t="shared" si="29"/>
        <v>73</v>
      </c>
      <c r="AM122" s="26">
        <f t="shared" si="30"/>
        <v>477</v>
      </c>
      <c r="AP122" s="18">
        <v>118</v>
      </c>
      <c r="AQ122" s="26">
        <v>10</v>
      </c>
      <c r="AR122" s="18">
        <v>12</v>
      </c>
      <c r="AS122" s="15">
        <f t="shared" si="31"/>
        <v>880</v>
      </c>
      <c r="AT122" s="15">
        <f t="shared" si="32"/>
        <v>2700</v>
      </c>
      <c r="AU122" s="15">
        <f t="shared" si="33"/>
        <v>36960</v>
      </c>
      <c r="AX122" s="18">
        <v>118</v>
      </c>
      <c r="AY122" s="26">
        <v>10</v>
      </c>
      <c r="AZ122" s="18">
        <v>13</v>
      </c>
      <c r="BA122" s="15">
        <f t="shared" si="34"/>
        <v>1760</v>
      </c>
      <c r="BB122" s="15">
        <f t="shared" si="35"/>
        <v>5400</v>
      </c>
      <c r="BC122" s="15">
        <f t="shared" si="36"/>
        <v>55440</v>
      </c>
    </row>
    <row r="123" spans="34:55" ht="16.5" x14ac:dyDescent="0.2">
      <c r="AH123" s="26">
        <v>119</v>
      </c>
      <c r="AI123" s="26">
        <v>10</v>
      </c>
      <c r="AJ123" s="26">
        <v>2</v>
      </c>
      <c r="AK123" s="26">
        <f t="shared" si="28"/>
        <v>44</v>
      </c>
      <c r="AL123" s="26">
        <f t="shared" si="29"/>
        <v>74</v>
      </c>
      <c r="AM123" s="26">
        <f t="shared" si="30"/>
        <v>487</v>
      </c>
      <c r="AP123" s="18">
        <v>119</v>
      </c>
      <c r="AQ123" s="26">
        <v>10</v>
      </c>
      <c r="AR123" s="18">
        <v>13</v>
      </c>
      <c r="AS123" s="15">
        <f t="shared" si="31"/>
        <v>880</v>
      </c>
      <c r="AT123" s="15">
        <f t="shared" si="32"/>
        <v>2700</v>
      </c>
      <c r="AU123" s="15">
        <f t="shared" si="33"/>
        <v>36960</v>
      </c>
      <c r="AX123" s="18">
        <v>119</v>
      </c>
      <c r="AY123" s="26">
        <v>10</v>
      </c>
      <c r="AZ123" s="18">
        <v>14</v>
      </c>
      <c r="BA123" s="15">
        <f t="shared" si="34"/>
        <v>1760</v>
      </c>
      <c r="BB123" s="15">
        <f t="shared" si="35"/>
        <v>5400</v>
      </c>
      <c r="BC123" s="15">
        <f t="shared" si="36"/>
        <v>55440</v>
      </c>
    </row>
    <row r="124" spans="34:55" ht="16.5" x14ac:dyDescent="0.2">
      <c r="AH124" s="26">
        <v>120</v>
      </c>
      <c r="AI124" s="26">
        <v>10</v>
      </c>
      <c r="AJ124" s="26">
        <v>3</v>
      </c>
      <c r="AK124" s="26">
        <f t="shared" si="28"/>
        <v>44</v>
      </c>
      <c r="AL124" s="26">
        <f t="shared" si="29"/>
        <v>75</v>
      </c>
      <c r="AM124" s="26">
        <f t="shared" si="30"/>
        <v>497</v>
      </c>
      <c r="AP124" s="18">
        <v>120</v>
      </c>
      <c r="AQ124" s="26">
        <v>10</v>
      </c>
      <c r="AR124" s="18">
        <v>14</v>
      </c>
      <c r="AS124" s="15">
        <f t="shared" si="31"/>
        <v>880</v>
      </c>
      <c r="AT124" s="15">
        <f t="shared" si="32"/>
        <v>2700</v>
      </c>
      <c r="AU124" s="15">
        <f t="shared" si="33"/>
        <v>36960</v>
      </c>
      <c r="AX124" s="18">
        <v>120</v>
      </c>
      <c r="AY124" s="26">
        <v>10</v>
      </c>
      <c r="AZ124" s="18">
        <v>15</v>
      </c>
      <c r="BA124" s="15">
        <f t="shared" si="34"/>
        <v>1760</v>
      </c>
      <c r="BB124" s="15">
        <f t="shared" si="35"/>
        <v>5400</v>
      </c>
      <c r="BC124" s="15">
        <f t="shared" si="36"/>
        <v>55440</v>
      </c>
    </row>
    <row r="125" spans="34:55" ht="16.5" x14ac:dyDescent="0.2">
      <c r="AH125" s="26">
        <v>121</v>
      </c>
      <c r="AI125" s="26">
        <v>10</v>
      </c>
      <c r="AJ125" s="26">
        <v>4</v>
      </c>
      <c r="AK125" s="26">
        <f t="shared" si="28"/>
        <v>44</v>
      </c>
      <c r="AL125" s="26">
        <f t="shared" si="29"/>
        <v>76</v>
      </c>
      <c r="AM125" s="26">
        <f t="shared" si="30"/>
        <v>507</v>
      </c>
      <c r="AP125" s="18">
        <v>121</v>
      </c>
      <c r="AQ125" s="26">
        <v>10</v>
      </c>
      <c r="AR125" s="18">
        <v>15</v>
      </c>
      <c r="AS125" s="15">
        <f t="shared" si="31"/>
        <v>880</v>
      </c>
      <c r="AT125" s="15">
        <f t="shared" si="32"/>
        <v>2700</v>
      </c>
      <c r="AU125" s="15">
        <f t="shared" si="33"/>
        <v>36960</v>
      </c>
      <c r="AX125" s="18">
        <v>121</v>
      </c>
      <c r="AY125" s="26">
        <v>11</v>
      </c>
      <c r="AZ125" s="18">
        <v>1</v>
      </c>
      <c r="BA125" s="15">
        <f t="shared" si="34"/>
        <v>2120</v>
      </c>
      <c r="BB125" s="15">
        <f t="shared" si="35"/>
        <v>6600</v>
      </c>
      <c r="BC125" s="15">
        <f t="shared" si="36"/>
        <v>71550</v>
      </c>
    </row>
    <row r="126" spans="34:55" ht="16.5" x14ac:dyDescent="0.2">
      <c r="AH126" s="26">
        <v>122</v>
      </c>
      <c r="AI126" s="26">
        <v>10</v>
      </c>
      <c r="AJ126" s="26">
        <v>5</v>
      </c>
      <c r="AK126" s="26">
        <f t="shared" si="28"/>
        <v>44</v>
      </c>
      <c r="AL126" s="26">
        <f t="shared" si="29"/>
        <v>78</v>
      </c>
      <c r="AM126" s="26">
        <f t="shared" si="30"/>
        <v>517</v>
      </c>
      <c r="AP126" s="18">
        <v>122</v>
      </c>
      <c r="AQ126" s="26">
        <v>11</v>
      </c>
      <c r="AR126" s="18">
        <v>1</v>
      </c>
      <c r="AS126" s="15">
        <f t="shared" si="31"/>
        <v>1060</v>
      </c>
      <c r="AT126" s="15">
        <f t="shared" si="32"/>
        <v>3300</v>
      </c>
      <c r="AU126" s="15">
        <f t="shared" si="33"/>
        <v>47700</v>
      </c>
      <c r="AX126" s="18">
        <v>122</v>
      </c>
      <c r="AY126" s="26">
        <v>11</v>
      </c>
      <c r="AZ126" s="18">
        <v>2</v>
      </c>
      <c r="BA126" s="15">
        <f t="shared" si="34"/>
        <v>2120</v>
      </c>
      <c r="BB126" s="15">
        <f t="shared" si="35"/>
        <v>6600</v>
      </c>
      <c r="BC126" s="15">
        <f t="shared" si="36"/>
        <v>71550</v>
      </c>
    </row>
    <row r="127" spans="34:55" ht="16.5" x14ac:dyDescent="0.2">
      <c r="AH127" s="26">
        <v>123</v>
      </c>
      <c r="AI127" s="26">
        <v>10</v>
      </c>
      <c r="AJ127" s="26">
        <v>6</v>
      </c>
      <c r="AK127" s="26">
        <f t="shared" si="28"/>
        <v>44</v>
      </c>
      <c r="AL127" s="26">
        <f t="shared" si="29"/>
        <v>79</v>
      </c>
      <c r="AM127" s="26">
        <f t="shared" si="30"/>
        <v>527</v>
      </c>
      <c r="AP127" s="18">
        <v>123</v>
      </c>
      <c r="AQ127" s="26">
        <v>11</v>
      </c>
      <c r="AR127" s="18">
        <v>2</v>
      </c>
      <c r="AS127" s="15">
        <f t="shared" si="31"/>
        <v>1060</v>
      </c>
      <c r="AT127" s="15">
        <f t="shared" si="32"/>
        <v>3300</v>
      </c>
      <c r="AU127" s="15">
        <f t="shared" si="33"/>
        <v>47700</v>
      </c>
      <c r="AX127" s="18">
        <v>123</v>
      </c>
      <c r="AY127" s="26">
        <v>11</v>
      </c>
      <c r="AZ127" s="18">
        <v>3</v>
      </c>
      <c r="BA127" s="15">
        <f t="shared" si="34"/>
        <v>2120</v>
      </c>
      <c r="BB127" s="15">
        <f t="shared" si="35"/>
        <v>6600</v>
      </c>
      <c r="BC127" s="15">
        <f t="shared" si="36"/>
        <v>71550</v>
      </c>
    </row>
    <row r="128" spans="34:55" ht="16.5" x14ac:dyDescent="0.2">
      <c r="AH128" s="26">
        <v>124</v>
      </c>
      <c r="AI128" s="26">
        <v>10</v>
      </c>
      <c r="AJ128" s="26">
        <v>7</v>
      </c>
      <c r="AK128" s="26">
        <f t="shared" si="28"/>
        <v>44</v>
      </c>
      <c r="AL128" s="26">
        <f t="shared" si="29"/>
        <v>80</v>
      </c>
      <c r="AM128" s="26">
        <f t="shared" si="30"/>
        <v>537</v>
      </c>
      <c r="AP128" s="18">
        <v>124</v>
      </c>
      <c r="AQ128" s="26">
        <v>11</v>
      </c>
      <c r="AR128" s="18">
        <v>3</v>
      </c>
      <c r="AS128" s="15">
        <f t="shared" si="31"/>
        <v>1060</v>
      </c>
      <c r="AT128" s="15">
        <f t="shared" si="32"/>
        <v>3300</v>
      </c>
      <c r="AU128" s="15">
        <f t="shared" si="33"/>
        <v>47700</v>
      </c>
      <c r="AX128" s="18">
        <v>124</v>
      </c>
      <c r="AY128" s="26">
        <v>11</v>
      </c>
      <c r="AZ128" s="18">
        <v>4</v>
      </c>
      <c r="BA128" s="15">
        <f t="shared" si="34"/>
        <v>2120</v>
      </c>
      <c r="BB128" s="15">
        <f t="shared" si="35"/>
        <v>6600</v>
      </c>
      <c r="BC128" s="15">
        <f t="shared" si="36"/>
        <v>71550</v>
      </c>
    </row>
    <row r="129" spans="34:55" ht="16.5" x14ac:dyDescent="0.2">
      <c r="AH129" s="26">
        <v>125</v>
      </c>
      <c r="AI129" s="26">
        <v>10</v>
      </c>
      <c r="AJ129" s="26">
        <v>8</v>
      </c>
      <c r="AK129" s="26">
        <f t="shared" si="28"/>
        <v>44</v>
      </c>
      <c r="AL129" s="26">
        <f t="shared" si="29"/>
        <v>81</v>
      </c>
      <c r="AM129" s="26">
        <f t="shared" si="30"/>
        <v>546</v>
      </c>
      <c r="AP129" s="18">
        <v>125</v>
      </c>
      <c r="AQ129" s="26">
        <v>11</v>
      </c>
      <c r="AR129" s="18">
        <v>4</v>
      </c>
      <c r="AS129" s="15">
        <f t="shared" si="31"/>
        <v>1060</v>
      </c>
      <c r="AT129" s="15">
        <f t="shared" si="32"/>
        <v>3300</v>
      </c>
      <c r="AU129" s="15">
        <f t="shared" si="33"/>
        <v>47700</v>
      </c>
      <c r="AX129" s="18">
        <v>125</v>
      </c>
      <c r="AY129" s="26">
        <v>11</v>
      </c>
      <c r="AZ129" s="18">
        <v>5</v>
      </c>
      <c r="BA129" s="15">
        <f t="shared" si="34"/>
        <v>2120</v>
      </c>
      <c r="BB129" s="15">
        <f t="shared" si="35"/>
        <v>6600</v>
      </c>
      <c r="BC129" s="15">
        <f t="shared" si="36"/>
        <v>71550</v>
      </c>
    </row>
    <row r="130" spans="34:55" ht="16.5" x14ac:dyDescent="0.2">
      <c r="AH130" s="26">
        <v>126</v>
      </c>
      <c r="AI130" s="26">
        <v>10</v>
      </c>
      <c r="AJ130" s="26">
        <v>9</v>
      </c>
      <c r="AK130" s="26">
        <f t="shared" si="28"/>
        <v>44</v>
      </c>
      <c r="AL130" s="26">
        <f t="shared" si="29"/>
        <v>82</v>
      </c>
      <c r="AM130" s="26">
        <f t="shared" si="30"/>
        <v>556</v>
      </c>
      <c r="AP130" s="18">
        <v>126</v>
      </c>
      <c r="AQ130" s="26">
        <v>11</v>
      </c>
      <c r="AR130" s="18">
        <v>5</v>
      </c>
      <c r="AS130" s="15">
        <f t="shared" si="31"/>
        <v>1060</v>
      </c>
      <c r="AT130" s="15">
        <f t="shared" si="32"/>
        <v>3300</v>
      </c>
      <c r="AU130" s="15">
        <f t="shared" si="33"/>
        <v>47700</v>
      </c>
      <c r="AX130" s="18">
        <v>126</v>
      </c>
      <c r="AY130" s="26">
        <v>11</v>
      </c>
      <c r="AZ130" s="18">
        <v>6</v>
      </c>
      <c r="BA130" s="15">
        <f t="shared" si="34"/>
        <v>2120</v>
      </c>
      <c r="BB130" s="15">
        <f t="shared" si="35"/>
        <v>6600</v>
      </c>
      <c r="BC130" s="15">
        <f t="shared" si="36"/>
        <v>71550</v>
      </c>
    </row>
    <row r="131" spans="34:55" ht="16.5" x14ac:dyDescent="0.2">
      <c r="AH131" s="26">
        <v>127</v>
      </c>
      <c r="AI131" s="26">
        <v>10</v>
      </c>
      <c r="AJ131" s="26">
        <v>10</v>
      </c>
      <c r="AK131" s="26">
        <f t="shared" si="28"/>
        <v>44</v>
      </c>
      <c r="AL131" s="26">
        <f t="shared" si="29"/>
        <v>84</v>
      </c>
      <c r="AM131" s="26">
        <f t="shared" si="30"/>
        <v>566</v>
      </c>
      <c r="AP131" s="18">
        <v>127</v>
      </c>
      <c r="AQ131" s="26">
        <v>11</v>
      </c>
      <c r="AR131" s="18">
        <v>6</v>
      </c>
      <c r="AS131" s="15">
        <f t="shared" si="31"/>
        <v>1060</v>
      </c>
      <c r="AT131" s="15">
        <f t="shared" si="32"/>
        <v>3300</v>
      </c>
      <c r="AU131" s="15">
        <f t="shared" si="33"/>
        <v>47700</v>
      </c>
      <c r="AX131" s="18">
        <v>127</v>
      </c>
      <c r="AY131" s="26">
        <v>11</v>
      </c>
      <c r="AZ131" s="18">
        <v>7</v>
      </c>
      <c r="BA131" s="15">
        <f t="shared" si="34"/>
        <v>2120</v>
      </c>
      <c r="BB131" s="15">
        <f t="shared" si="35"/>
        <v>6600</v>
      </c>
      <c r="BC131" s="15">
        <f t="shared" si="36"/>
        <v>71550</v>
      </c>
    </row>
    <row r="132" spans="34:55" ht="16.5" x14ac:dyDescent="0.2">
      <c r="AH132" s="26">
        <v>128</v>
      </c>
      <c r="AI132" s="26">
        <v>10</v>
      </c>
      <c r="AJ132" s="26">
        <v>11</v>
      </c>
      <c r="AK132" s="26">
        <f t="shared" si="28"/>
        <v>44</v>
      </c>
      <c r="AL132" s="26">
        <f t="shared" si="29"/>
        <v>85</v>
      </c>
      <c r="AM132" s="26">
        <f t="shared" si="30"/>
        <v>576</v>
      </c>
      <c r="AP132" s="18">
        <v>128</v>
      </c>
      <c r="AQ132" s="26">
        <v>11</v>
      </c>
      <c r="AR132" s="18">
        <v>7</v>
      </c>
      <c r="AS132" s="15">
        <f t="shared" si="31"/>
        <v>1060</v>
      </c>
      <c r="AT132" s="15">
        <f t="shared" si="32"/>
        <v>3300</v>
      </c>
      <c r="AU132" s="15">
        <f t="shared" si="33"/>
        <v>47700</v>
      </c>
      <c r="AX132" s="18">
        <v>128</v>
      </c>
      <c r="AY132" s="26">
        <v>11</v>
      </c>
      <c r="AZ132" s="18">
        <v>8</v>
      </c>
      <c r="BA132" s="15">
        <f t="shared" si="34"/>
        <v>2120</v>
      </c>
      <c r="BB132" s="15">
        <f t="shared" si="35"/>
        <v>6600</v>
      </c>
      <c r="BC132" s="15">
        <f t="shared" si="36"/>
        <v>71550</v>
      </c>
    </row>
    <row r="133" spans="34:55" ht="16.5" x14ac:dyDescent="0.2">
      <c r="AH133" s="26">
        <v>129</v>
      </c>
      <c r="AI133" s="26">
        <v>10</v>
      </c>
      <c r="AJ133" s="26">
        <v>12</v>
      </c>
      <c r="AK133" s="26">
        <f t="shared" ref="AK133:AK196" si="37">INDEX($C$6:$C$20,AI133)</f>
        <v>44</v>
      </c>
      <c r="AL133" s="26">
        <f t="shared" ref="AL133:AL196" si="38">INT(INDEX($E$5:$E$20,AI133)+AJ133*INDEX($F$6:$F$20,AI133))</f>
        <v>86</v>
      </c>
      <c r="AM133" s="26">
        <f t="shared" si="30"/>
        <v>586</v>
      </c>
      <c r="AP133" s="18">
        <v>129</v>
      </c>
      <c r="AQ133" s="26">
        <v>11</v>
      </c>
      <c r="AR133" s="18">
        <v>8</v>
      </c>
      <c r="AS133" s="15">
        <f t="shared" si="31"/>
        <v>1060</v>
      </c>
      <c r="AT133" s="15">
        <f t="shared" si="32"/>
        <v>3300</v>
      </c>
      <c r="AU133" s="15">
        <f t="shared" si="33"/>
        <v>47700</v>
      </c>
      <c r="AX133" s="18">
        <v>129</v>
      </c>
      <c r="AY133" s="26">
        <v>11</v>
      </c>
      <c r="AZ133" s="18">
        <v>9</v>
      </c>
      <c r="BA133" s="15">
        <f t="shared" si="34"/>
        <v>2120</v>
      </c>
      <c r="BB133" s="15">
        <f t="shared" si="35"/>
        <v>6600</v>
      </c>
      <c r="BC133" s="15">
        <f t="shared" si="36"/>
        <v>71550</v>
      </c>
    </row>
    <row r="134" spans="34:55" ht="16.5" x14ac:dyDescent="0.2">
      <c r="AH134" s="26">
        <v>130</v>
      </c>
      <c r="AI134" s="26">
        <v>10</v>
      </c>
      <c r="AJ134" s="26">
        <v>13</v>
      </c>
      <c r="AK134" s="26">
        <f t="shared" si="37"/>
        <v>44</v>
      </c>
      <c r="AL134" s="26">
        <f t="shared" si="38"/>
        <v>87</v>
      </c>
      <c r="AM134" s="26">
        <f t="shared" ref="AM134:AM197" si="39">INT(INDEX($H$5:$H$20,AI134)+AJ134*INDEX($I$6:$I$20,AI134))</f>
        <v>596</v>
      </c>
      <c r="AP134" s="18">
        <v>130</v>
      </c>
      <c r="AQ134" s="26">
        <v>11</v>
      </c>
      <c r="AR134" s="18">
        <v>9</v>
      </c>
      <c r="AS134" s="15">
        <f t="shared" ref="AS134:AS197" si="40">INDEX($N$6:$N$20,AQ134)</f>
        <v>1060</v>
      </c>
      <c r="AT134" s="15">
        <f t="shared" ref="AT134:AT197" si="41">INDEX($P$6:$P$20,AQ134)</f>
        <v>3300</v>
      </c>
      <c r="AU134" s="15">
        <f t="shared" ref="AU134:AU197" si="42">INDEX($R$6:$R$20,AQ134)</f>
        <v>47700</v>
      </c>
      <c r="AX134" s="18">
        <v>130</v>
      </c>
      <c r="AY134" s="26">
        <v>11</v>
      </c>
      <c r="AZ134" s="18">
        <v>10</v>
      </c>
      <c r="BA134" s="15">
        <f t="shared" ref="BA134:BA197" si="43">INDEX($Y$6:$Y$20,AY134)</f>
        <v>2120</v>
      </c>
      <c r="BB134" s="15">
        <f t="shared" ref="BB134:BB197" si="44">INDEX($AA$6:$AA$20,AY134)</f>
        <v>6600</v>
      </c>
      <c r="BC134" s="15">
        <f t="shared" ref="BC134:BC197" si="45">INDEX($AC$6:$AC$20,AY134)</f>
        <v>71550</v>
      </c>
    </row>
    <row r="135" spans="34:55" ht="16.5" x14ac:dyDescent="0.2">
      <c r="AH135" s="26">
        <v>131</v>
      </c>
      <c r="AI135" s="26">
        <v>10</v>
      </c>
      <c r="AJ135" s="26">
        <v>14</v>
      </c>
      <c r="AK135" s="26">
        <f t="shared" si="37"/>
        <v>44</v>
      </c>
      <c r="AL135" s="26">
        <f t="shared" si="38"/>
        <v>88</v>
      </c>
      <c r="AM135" s="26">
        <f t="shared" si="39"/>
        <v>606</v>
      </c>
      <c r="AP135" s="18">
        <v>131</v>
      </c>
      <c r="AQ135" s="26">
        <v>11</v>
      </c>
      <c r="AR135" s="18">
        <v>10</v>
      </c>
      <c r="AS135" s="15">
        <f t="shared" si="40"/>
        <v>1060</v>
      </c>
      <c r="AT135" s="15">
        <f t="shared" si="41"/>
        <v>3300</v>
      </c>
      <c r="AU135" s="15">
        <f t="shared" si="42"/>
        <v>47700</v>
      </c>
      <c r="AX135" s="18">
        <v>131</v>
      </c>
      <c r="AY135" s="26">
        <v>11</v>
      </c>
      <c r="AZ135" s="18">
        <v>11</v>
      </c>
      <c r="BA135" s="15">
        <f t="shared" si="43"/>
        <v>2120</v>
      </c>
      <c r="BB135" s="15">
        <f t="shared" si="44"/>
        <v>6600</v>
      </c>
      <c r="BC135" s="15">
        <f t="shared" si="45"/>
        <v>71550</v>
      </c>
    </row>
    <row r="136" spans="34:55" ht="16.5" x14ac:dyDescent="0.2">
      <c r="AH136" s="26">
        <v>132</v>
      </c>
      <c r="AI136" s="26">
        <v>10</v>
      </c>
      <c r="AJ136" s="26">
        <v>15</v>
      </c>
      <c r="AK136" s="26">
        <f t="shared" si="37"/>
        <v>44</v>
      </c>
      <c r="AL136" s="26">
        <f t="shared" si="38"/>
        <v>90</v>
      </c>
      <c r="AM136" s="26">
        <f t="shared" si="39"/>
        <v>616</v>
      </c>
      <c r="AP136" s="18">
        <v>132</v>
      </c>
      <c r="AQ136" s="26">
        <v>11</v>
      </c>
      <c r="AR136" s="18">
        <v>11</v>
      </c>
      <c r="AS136" s="15">
        <f t="shared" si="40"/>
        <v>1060</v>
      </c>
      <c r="AT136" s="15">
        <f t="shared" si="41"/>
        <v>3300</v>
      </c>
      <c r="AU136" s="15">
        <f t="shared" si="42"/>
        <v>47700</v>
      </c>
      <c r="AX136" s="18">
        <v>132</v>
      </c>
      <c r="AY136" s="26">
        <v>11</v>
      </c>
      <c r="AZ136" s="18">
        <v>12</v>
      </c>
      <c r="BA136" s="15">
        <f t="shared" si="43"/>
        <v>2120</v>
      </c>
      <c r="BB136" s="15">
        <f t="shared" si="44"/>
        <v>6600</v>
      </c>
      <c r="BC136" s="15">
        <f t="shared" si="45"/>
        <v>71550</v>
      </c>
    </row>
    <row r="137" spans="34:55" ht="16.5" x14ac:dyDescent="0.2">
      <c r="AH137" s="26">
        <v>133</v>
      </c>
      <c r="AI137" s="26">
        <v>11</v>
      </c>
      <c r="AJ137" s="26">
        <v>1</v>
      </c>
      <c r="AK137" s="26">
        <f t="shared" si="37"/>
        <v>53</v>
      </c>
      <c r="AL137" s="26">
        <f t="shared" si="38"/>
        <v>91</v>
      </c>
      <c r="AM137" s="26">
        <f t="shared" si="39"/>
        <v>627</v>
      </c>
      <c r="AP137" s="18">
        <v>133</v>
      </c>
      <c r="AQ137" s="26">
        <v>11</v>
      </c>
      <c r="AR137" s="18">
        <v>12</v>
      </c>
      <c r="AS137" s="15">
        <f t="shared" si="40"/>
        <v>1060</v>
      </c>
      <c r="AT137" s="15">
        <f t="shared" si="41"/>
        <v>3300</v>
      </c>
      <c r="AU137" s="15">
        <f t="shared" si="42"/>
        <v>47700</v>
      </c>
      <c r="AX137" s="18">
        <v>133</v>
      </c>
      <c r="AY137" s="26">
        <v>11</v>
      </c>
      <c r="AZ137" s="18">
        <v>13</v>
      </c>
      <c r="BA137" s="15">
        <f t="shared" si="43"/>
        <v>2120</v>
      </c>
      <c r="BB137" s="15">
        <f t="shared" si="44"/>
        <v>6600</v>
      </c>
      <c r="BC137" s="15">
        <f t="shared" si="45"/>
        <v>71550</v>
      </c>
    </row>
    <row r="138" spans="34:55" ht="16.5" x14ac:dyDescent="0.2">
      <c r="AH138" s="26">
        <v>134</v>
      </c>
      <c r="AI138" s="26">
        <v>11</v>
      </c>
      <c r="AJ138" s="26">
        <v>2</v>
      </c>
      <c r="AK138" s="26">
        <f t="shared" si="37"/>
        <v>53</v>
      </c>
      <c r="AL138" s="26">
        <f t="shared" si="38"/>
        <v>92</v>
      </c>
      <c r="AM138" s="26">
        <f t="shared" si="39"/>
        <v>639</v>
      </c>
      <c r="AP138" s="18">
        <v>134</v>
      </c>
      <c r="AQ138" s="26">
        <v>11</v>
      </c>
      <c r="AR138" s="18">
        <v>13</v>
      </c>
      <c r="AS138" s="15">
        <f t="shared" si="40"/>
        <v>1060</v>
      </c>
      <c r="AT138" s="15">
        <f t="shared" si="41"/>
        <v>3300</v>
      </c>
      <c r="AU138" s="15">
        <f t="shared" si="42"/>
        <v>47700</v>
      </c>
      <c r="AX138" s="18">
        <v>134</v>
      </c>
      <c r="AY138" s="26">
        <v>11</v>
      </c>
      <c r="AZ138" s="18">
        <v>14</v>
      </c>
      <c r="BA138" s="15">
        <f t="shared" si="43"/>
        <v>2120</v>
      </c>
      <c r="BB138" s="15">
        <f t="shared" si="44"/>
        <v>6600</v>
      </c>
      <c r="BC138" s="15">
        <f t="shared" si="45"/>
        <v>71550</v>
      </c>
    </row>
    <row r="139" spans="34:55" ht="16.5" x14ac:dyDescent="0.2">
      <c r="AH139" s="26">
        <v>135</v>
      </c>
      <c r="AI139" s="26">
        <v>11</v>
      </c>
      <c r="AJ139" s="26">
        <v>3</v>
      </c>
      <c r="AK139" s="26">
        <f t="shared" si="37"/>
        <v>53</v>
      </c>
      <c r="AL139" s="26">
        <f t="shared" si="38"/>
        <v>94</v>
      </c>
      <c r="AM139" s="26">
        <f t="shared" si="39"/>
        <v>651</v>
      </c>
      <c r="AP139" s="18">
        <v>135</v>
      </c>
      <c r="AQ139" s="26">
        <v>11</v>
      </c>
      <c r="AR139" s="18">
        <v>14</v>
      </c>
      <c r="AS139" s="15">
        <f t="shared" si="40"/>
        <v>1060</v>
      </c>
      <c r="AT139" s="15">
        <f t="shared" si="41"/>
        <v>3300</v>
      </c>
      <c r="AU139" s="15">
        <f t="shared" si="42"/>
        <v>47700</v>
      </c>
      <c r="AX139" s="18">
        <v>135</v>
      </c>
      <c r="AY139" s="26">
        <v>11</v>
      </c>
      <c r="AZ139" s="18">
        <v>15</v>
      </c>
      <c r="BA139" s="15">
        <f t="shared" si="43"/>
        <v>2120</v>
      </c>
      <c r="BB139" s="15">
        <f t="shared" si="44"/>
        <v>6600</v>
      </c>
      <c r="BC139" s="15">
        <f t="shared" si="45"/>
        <v>71550</v>
      </c>
    </row>
    <row r="140" spans="34:55" ht="16.5" x14ac:dyDescent="0.2">
      <c r="AH140" s="26">
        <v>136</v>
      </c>
      <c r="AI140" s="26">
        <v>11</v>
      </c>
      <c r="AJ140" s="26">
        <v>4</v>
      </c>
      <c r="AK140" s="26">
        <f t="shared" si="37"/>
        <v>53</v>
      </c>
      <c r="AL140" s="26">
        <f t="shared" si="38"/>
        <v>95</v>
      </c>
      <c r="AM140" s="26">
        <f t="shared" si="39"/>
        <v>663</v>
      </c>
      <c r="AP140" s="18">
        <v>136</v>
      </c>
      <c r="AQ140" s="26">
        <v>11</v>
      </c>
      <c r="AR140" s="18">
        <v>15</v>
      </c>
      <c r="AS140" s="15">
        <f t="shared" si="40"/>
        <v>1060</v>
      </c>
      <c r="AT140" s="15">
        <f t="shared" si="41"/>
        <v>3300</v>
      </c>
      <c r="AU140" s="15">
        <f t="shared" si="42"/>
        <v>47700</v>
      </c>
      <c r="AX140" s="18">
        <v>136</v>
      </c>
      <c r="AY140" s="26">
        <v>12</v>
      </c>
      <c r="AZ140" s="18">
        <v>1</v>
      </c>
      <c r="BA140" s="15">
        <f t="shared" si="43"/>
        <v>2600</v>
      </c>
      <c r="BB140" s="15">
        <f t="shared" si="44"/>
        <v>7800</v>
      </c>
      <c r="BC140" s="15">
        <f t="shared" si="45"/>
        <v>93600</v>
      </c>
    </row>
    <row r="141" spans="34:55" ht="16.5" x14ac:dyDescent="0.2">
      <c r="AH141" s="26">
        <v>137</v>
      </c>
      <c r="AI141" s="26">
        <v>11</v>
      </c>
      <c r="AJ141" s="26">
        <v>5</v>
      </c>
      <c r="AK141" s="26">
        <f t="shared" si="37"/>
        <v>53</v>
      </c>
      <c r="AL141" s="26">
        <f t="shared" si="38"/>
        <v>96</v>
      </c>
      <c r="AM141" s="26">
        <f t="shared" si="39"/>
        <v>675</v>
      </c>
      <c r="AP141" s="18">
        <v>137</v>
      </c>
      <c r="AQ141" s="26">
        <v>12</v>
      </c>
      <c r="AR141" s="18">
        <v>1</v>
      </c>
      <c r="AS141" s="15">
        <f t="shared" si="40"/>
        <v>1300</v>
      </c>
      <c r="AT141" s="15">
        <f t="shared" si="41"/>
        <v>3900</v>
      </c>
      <c r="AU141" s="15">
        <f t="shared" si="42"/>
        <v>62400</v>
      </c>
      <c r="AX141" s="18">
        <v>137</v>
      </c>
      <c r="AY141" s="26">
        <v>12</v>
      </c>
      <c r="AZ141" s="18">
        <v>2</v>
      </c>
      <c r="BA141" s="15">
        <f t="shared" si="43"/>
        <v>2600</v>
      </c>
      <c r="BB141" s="15">
        <f t="shared" si="44"/>
        <v>7800</v>
      </c>
      <c r="BC141" s="15">
        <f t="shared" si="45"/>
        <v>93600</v>
      </c>
    </row>
    <row r="142" spans="34:55" ht="16.5" x14ac:dyDescent="0.2">
      <c r="AH142" s="26">
        <v>138</v>
      </c>
      <c r="AI142" s="26">
        <v>11</v>
      </c>
      <c r="AJ142" s="26">
        <v>6</v>
      </c>
      <c r="AK142" s="26">
        <f t="shared" si="37"/>
        <v>53</v>
      </c>
      <c r="AL142" s="26">
        <f t="shared" si="38"/>
        <v>98</v>
      </c>
      <c r="AM142" s="26">
        <f t="shared" si="39"/>
        <v>687</v>
      </c>
      <c r="AP142" s="18">
        <v>138</v>
      </c>
      <c r="AQ142" s="26">
        <v>12</v>
      </c>
      <c r="AR142" s="18">
        <v>2</v>
      </c>
      <c r="AS142" s="15">
        <f t="shared" si="40"/>
        <v>1300</v>
      </c>
      <c r="AT142" s="15">
        <f t="shared" si="41"/>
        <v>3900</v>
      </c>
      <c r="AU142" s="15">
        <f t="shared" si="42"/>
        <v>62400</v>
      </c>
      <c r="AX142" s="18">
        <v>138</v>
      </c>
      <c r="AY142" s="26">
        <v>12</v>
      </c>
      <c r="AZ142" s="18">
        <v>3</v>
      </c>
      <c r="BA142" s="15">
        <f t="shared" si="43"/>
        <v>2600</v>
      </c>
      <c r="BB142" s="15">
        <f t="shared" si="44"/>
        <v>7800</v>
      </c>
      <c r="BC142" s="15">
        <f t="shared" si="45"/>
        <v>93600</v>
      </c>
    </row>
    <row r="143" spans="34:55" ht="16.5" x14ac:dyDescent="0.2">
      <c r="AH143" s="26">
        <v>139</v>
      </c>
      <c r="AI143" s="26">
        <v>11</v>
      </c>
      <c r="AJ143" s="26">
        <v>7</v>
      </c>
      <c r="AK143" s="26">
        <f t="shared" si="37"/>
        <v>53</v>
      </c>
      <c r="AL143" s="26">
        <f t="shared" si="38"/>
        <v>99</v>
      </c>
      <c r="AM143" s="26">
        <f t="shared" si="39"/>
        <v>699</v>
      </c>
      <c r="AP143" s="18">
        <v>139</v>
      </c>
      <c r="AQ143" s="26">
        <v>12</v>
      </c>
      <c r="AR143" s="18">
        <v>3</v>
      </c>
      <c r="AS143" s="15">
        <f t="shared" si="40"/>
        <v>1300</v>
      </c>
      <c r="AT143" s="15">
        <f t="shared" si="41"/>
        <v>3900</v>
      </c>
      <c r="AU143" s="15">
        <f t="shared" si="42"/>
        <v>62400</v>
      </c>
      <c r="AX143" s="18">
        <v>139</v>
      </c>
      <c r="AY143" s="26">
        <v>12</v>
      </c>
      <c r="AZ143" s="18">
        <v>4</v>
      </c>
      <c r="BA143" s="15">
        <f t="shared" si="43"/>
        <v>2600</v>
      </c>
      <c r="BB143" s="15">
        <f t="shared" si="44"/>
        <v>7800</v>
      </c>
      <c r="BC143" s="15">
        <f t="shared" si="45"/>
        <v>93600</v>
      </c>
    </row>
    <row r="144" spans="34:55" ht="16.5" x14ac:dyDescent="0.2">
      <c r="AH144" s="26">
        <v>140</v>
      </c>
      <c r="AI144" s="26">
        <v>11</v>
      </c>
      <c r="AJ144" s="26">
        <v>8</v>
      </c>
      <c r="AK144" s="26">
        <f t="shared" si="37"/>
        <v>53</v>
      </c>
      <c r="AL144" s="26">
        <f t="shared" si="38"/>
        <v>100</v>
      </c>
      <c r="AM144" s="26">
        <f t="shared" si="39"/>
        <v>711</v>
      </c>
      <c r="AP144" s="18">
        <v>140</v>
      </c>
      <c r="AQ144" s="26">
        <v>12</v>
      </c>
      <c r="AR144" s="18">
        <v>4</v>
      </c>
      <c r="AS144" s="15">
        <f t="shared" si="40"/>
        <v>1300</v>
      </c>
      <c r="AT144" s="15">
        <f t="shared" si="41"/>
        <v>3900</v>
      </c>
      <c r="AU144" s="15">
        <f t="shared" si="42"/>
        <v>62400</v>
      </c>
      <c r="AX144" s="18">
        <v>140</v>
      </c>
      <c r="AY144" s="26">
        <v>12</v>
      </c>
      <c r="AZ144" s="18">
        <v>5</v>
      </c>
      <c r="BA144" s="15">
        <f t="shared" si="43"/>
        <v>2600</v>
      </c>
      <c r="BB144" s="15">
        <f t="shared" si="44"/>
        <v>7800</v>
      </c>
      <c r="BC144" s="15">
        <f t="shared" si="45"/>
        <v>93600</v>
      </c>
    </row>
    <row r="145" spans="34:55" ht="16.5" x14ac:dyDescent="0.2">
      <c r="AH145" s="26">
        <v>141</v>
      </c>
      <c r="AI145" s="26">
        <v>11</v>
      </c>
      <c r="AJ145" s="26">
        <v>9</v>
      </c>
      <c r="AK145" s="26">
        <f t="shared" si="37"/>
        <v>53</v>
      </c>
      <c r="AL145" s="26">
        <f t="shared" si="38"/>
        <v>102</v>
      </c>
      <c r="AM145" s="26">
        <f t="shared" si="39"/>
        <v>723</v>
      </c>
      <c r="AP145" s="18">
        <v>141</v>
      </c>
      <c r="AQ145" s="26">
        <v>12</v>
      </c>
      <c r="AR145" s="18">
        <v>5</v>
      </c>
      <c r="AS145" s="15">
        <f t="shared" si="40"/>
        <v>1300</v>
      </c>
      <c r="AT145" s="15">
        <f t="shared" si="41"/>
        <v>3900</v>
      </c>
      <c r="AU145" s="15">
        <f t="shared" si="42"/>
        <v>62400</v>
      </c>
      <c r="AX145" s="18">
        <v>141</v>
      </c>
      <c r="AY145" s="26">
        <v>12</v>
      </c>
      <c r="AZ145" s="18">
        <v>6</v>
      </c>
      <c r="BA145" s="15">
        <f t="shared" si="43"/>
        <v>2600</v>
      </c>
      <c r="BB145" s="15">
        <f t="shared" si="44"/>
        <v>7800</v>
      </c>
      <c r="BC145" s="15">
        <f t="shared" si="45"/>
        <v>93600</v>
      </c>
    </row>
    <row r="146" spans="34:55" ht="16.5" x14ac:dyDescent="0.2">
      <c r="AH146" s="26">
        <v>142</v>
      </c>
      <c r="AI146" s="26">
        <v>11</v>
      </c>
      <c r="AJ146" s="26">
        <v>10</v>
      </c>
      <c r="AK146" s="26">
        <f t="shared" si="37"/>
        <v>53</v>
      </c>
      <c r="AL146" s="26">
        <f t="shared" si="38"/>
        <v>103</v>
      </c>
      <c r="AM146" s="26">
        <f t="shared" si="39"/>
        <v>735</v>
      </c>
      <c r="AP146" s="18">
        <v>142</v>
      </c>
      <c r="AQ146" s="26">
        <v>12</v>
      </c>
      <c r="AR146" s="18">
        <v>6</v>
      </c>
      <c r="AS146" s="15">
        <f t="shared" si="40"/>
        <v>1300</v>
      </c>
      <c r="AT146" s="15">
        <f t="shared" si="41"/>
        <v>3900</v>
      </c>
      <c r="AU146" s="15">
        <f t="shared" si="42"/>
        <v>62400</v>
      </c>
      <c r="AX146" s="18">
        <v>142</v>
      </c>
      <c r="AY146" s="26">
        <v>12</v>
      </c>
      <c r="AZ146" s="18">
        <v>7</v>
      </c>
      <c r="BA146" s="15">
        <f t="shared" si="43"/>
        <v>2600</v>
      </c>
      <c r="BB146" s="15">
        <f t="shared" si="44"/>
        <v>7800</v>
      </c>
      <c r="BC146" s="15">
        <f t="shared" si="45"/>
        <v>93600</v>
      </c>
    </row>
    <row r="147" spans="34:55" ht="16.5" x14ac:dyDescent="0.2">
      <c r="AH147" s="26">
        <v>143</v>
      </c>
      <c r="AI147" s="26">
        <v>11</v>
      </c>
      <c r="AJ147" s="26">
        <v>11</v>
      </c>
      <c r="AK147" s="26">
        <f t="shared" si="37"/>
        <v>53</v>
      </c>
      <c r="AL147" s="26">
        <f t="shared" si="38"/>
        <v>104</v>
      </c>
      <c r="AM147" s="26">
        <f t="shared" si="39"/>
        <v>747</v>
      </c>
      <c r="AP147" s="18">
        <v>143</v>
      </c>
      <c r="AQ147" s="26">
        <v>12</v>
      </c>
      <c r="AR147" s="18">
        <v>7</v>
      </c>
      <c r="AS147" s="15">
        <f t="shared" si="40"/>
        <v>1300</v>
      </c>
      <c r="AT147" s="15">
        <f t="shared" si="41"/>
        <v>3900</v>
      </c>
      <c r="AU147" s="15">
        <f t="shared" si="42"/>
        <v>62400</v>
      </c>
      <c r="AX147" s="18">
        <v>143</v>
      </c>
      <c r="AY147" s="26">
        <v>12</v>
      </c>
      <c r="AZ147" s="18">
        <v>8</v>
      </c>
      <c r="BA147" s="15">
        <f t="shared" si="43"/>
        <v>2600</v>
      </c>
      <c r="BB147" s="15">
        <f t="shared" si="44"/>
        <v>7800</v>
      </c>
      <c r="BC147" s="15">
        <f t="shared" si="45"/>
        <v>93600</v>
      </c>
    </row>
    <row r="148" spans="34:55" ht="16.5" x14ac:dyDescent="0.2">
      <c r="AH148" s="26">
        <v>144</v>
      </c>
      <c r="AI148" s="26">
        <v>11</v>
      </c>
      <c r="AJ148" s="26">
        <v>12</v>
      </c>
      <c r="AK148" s="26">
        <f t="shared" si="37"/>
        <v>53</v>
      </c>
      <c r="AL148" s="26">
        <f t="shared" si="38"/>
        <v>106</v>
      </c>
      <c r="AM148" s="26">
        <f t="shared" si="39"/>
        <v>759</v>
      </c>
      <c r="AP148" s="18">
        <v>144</v>
      </c>
      <c r="AQ148" s="26">
        <v>12</v>
      </c>
      <c r="AR148" s="18">
        <v>8</v>
      </c>
      <c r="AS148" s="15">
        <f t="shared" si="40"/>
        <v>1300</v>
      </c>
      <c r="AT148" s="15">
        <f t="shared" si="41"/>
        <v>3900</v>
      </c>
      <c r="AU148" s="15">
        <f t="shared" si="42"/>
        <v>62400</v>
      </c>
      <c r="AX148" s="18">
        <v>144</v>
      </c>
      <c r="AY148" s="26">
        <v>12</v>
      </c>
      <c r="AZ148" s="18">
        <v>9</v>
      </c>
      <c r="BA148" s="15">
        <f t="shared" si="43"/>
        <v>2600</v>
      </c>
      <c r="BB148" s="15">
        <f t="shared" si="44"/>
        <v>7800</v>
      </c>
      <c r="BC148" s="15">
        <f t="shared" si="45"/>
        <v>93600</v>
      </c>
    </row>
    <row r="149" spans="34:55" ht="16.5" x14ac:dyDescent="0.2">
      <c r="AH149" s="26">
        <v>145</v>
      </c>
      <c r="AI149" s="26">
        <v>11</v>
      </c>
      <c r="AJ149" s="26">
        <v>13</v>
      </c>
      <c r="AK149" s="26">
        <f t="shared" si="37"/>
        <v>53</v>
      </c>
      <c r="AL149" s="26">
        <f t="shared" si="38"/>
        <v>107</v>
      </c>
      <c r="AM149" s="26">
        <f t="shared" si="39"/>
        <v>771</v>
      </c>
      <c r="AP149" s="18">
        <v>145</v>
      </c>
      <c r="AQ149" s="26">
        <v>12</v>
      </c>
      <c r="AR149" s="18">
        <v>9</v>
      </c>
      <c r="AS149" s="15">
        <f t="shared" si="40"/>
        <v>1300</v>
      </c>
      <c r="AT149" s="15">
        <f t="shared" si="41"/>
        <v>3900</v>
      </c>
      <c r="AU149" s="15">
        <f t="shared" si="42"/>
        <v>62400</v>
      </c>
      <c r="AX149" s="18">
        <v>145</v>
      </c>
      <c r="AY149" s="26">
        <v>12</v>
      </c>
      <c r="AZ149" s="18">
        <v>10</v>
      </c>
      <c r="BA149" s="15">
        <f t="shared" si="43"/>
        <v>2600</v>
      </c>
      <c r="BB149" s="15">
        <f t="shared" si="44"/>
        <v>7800</v>
      </c>
      <c r="BC149" s="15">
        <f t="shared" si="45"/>
        <v>93600</v>
      </c>
    </row>
    <row r="150" spans="34:55" ht="16.5" x14ac:dyDescent="0.2">
      <c r="AH150" s="26">
        <v>146</v>
      </c>
      <c r="AI150" s="26">
        <v>11</v>
      </c>
      <c r="AJ150" s="26">
        <v>14</v>
      </c>
      <c r="AK150" s="26">
        <f t="shared" si="37"/>
        <v>53</v>
      </c>
      <c r="AL150" s="26">
        <f t="shared" si="38"/>
        <v>108</v>
      </c>
      <c r="AM150" s="26">
        <f t="shared" si="39"/>
        <v>783</v>
      </c>
      <c r="AP150" s="18">
        <v>146</v>
      </c>
      <c r="AQ150" s="26">
        <v>12</v>
      </c>
      <c r="AR150" s="18">
        <v>10</v>
      </c>
      <c r="AS150" s="15">
        <f t="shared" si="40"/>
        <v>1300</v>
      </c>
      <c r="AT150" s="15">
        <f t="shared" si="41"/>
        <v>3900</v>
      </c>
      <c r="AU150" s="15">
        <f t="shared" si="42"/>
        <v>62400</v>
      </c>
      <c r="AX150" s="18">
        <v>146</v>
      </c>
      <c r="AY150" s="26">
        <v>12</v>
      </c>
      <c r="AZ150" s="18">
        <v>11</v>
      </c>
      <c r="BA150" s="15">
        <f t="shared" si="43"/>
        <v>2600</v>
      </c>
      <c r="BB150" s="15">
        <f t="shared" si="44"/>
        <v>7800</v>
      </c>
      <c r="BC150" s="15">
        <f t="shared" si="45"/>
        <v>93600</v>
      </c>
    </row>
    <row r="151" spans="34:55" ht="16.5" x14ac:dyDescent="0.2">
      <c r="AH151" s="26">
        <v>147</v>
      </c>
      <c r="AI151" s="26">
        <v>11</v>
      </c>
      <c r="AJ151" s="26">
        <v>15</v>
      </c>
      <c r="AK151" s="26">
        <f t="shared" si="37"/>
        <v>53</v>
      </c>
      <c r="AL151" s="26">
        <f t="shared" si="38"/>
        <v>110</v>
      </c>
      <c r="AM151" s="26">
        <f t="shared" si="39"/>
        <v>795</v>
      </c>
      <c r="AP151" s="18">
        <v>147</v>
      </c>
      <c r="AQ151" s="26">
        <v>12</v>
      </c>
      <c r="AR151" s="18">
        <v>11</v>
      </c>
      <c r="AS151" s="15">
        <f t="shared" si="40"/>
        <v>1300</v>
      </c>
      <c r="AT151" s="15">
        <f t="shared" si="41"/>
        <v>3900</v>
      </c>
      <c r="AU151" s="15">
        <f t="shared" si="42"/>
        <v>62400</v>
      </c>
      <c r="AX151" s="18">
        <v>147</v>
      </c>
      <c r="AY151" s="26">
        <v>12</v>
      </c>
      <c r="AZ151" s="18">
        <v>12</v>
      </c>
      <c r="BA151" s="15">
        <f t="shared" si="43"/>
        <v>2600</v>
      </c>
      <c r="BB151" s="15">
        <f t="shared" si="44"/>
        <v>7800</v>
      </c>
      <c r="BC151" s="15">
        <f t="shared" si="45"/>
        <v>93600</v>
      </c>
    </row>
    <row r="152" spans="34:55" ht="16.5" x14ac:dyDescent="0.2">
      <c r="AH152" s="26">
        <v>148</v>
      </c>
      <c r="AI152" s="26">
        <v>12</v>
      </c>
      <c r="AJ152" s="26">
        <v>1</v>
      </c>
      <c r="AK152" s="26">
        <f t="shared" si="37"/>
        <v>65</v>
      </c>
      <c r="AL152" s="26">
        <f t="shared" si="38"/>
        <v>111</v>
      </c>
      <c r="AM152" s="26">
        <f t="shared" si="39"/>
        <v>811</v>
      </c>
      <c r="AP152" s="18">
        <v>148</v>
      </c>
      <c r="AQ152" s="26">
        <v>12</v>
      </c>
      <c r="AR152" s="18">
        <v>12</v>
      </c>
      <c r="AS152" s="15">
        <f t="shared" si="40"/>
        <v>1300</v>
      </c>
      <c r="AT152" s="15">
        <f t="shared" si="41"/>
        <v>3900</v>
      </c>
      <c r="AU152" s="15">
        <f t="shared" si="42"/>
        <v>62400</v>
      </c>
      <c r="AX152" s="18">
        <v>148</v>
      </c>
      <c r="AY152" s="26">
        <v>12</v>
      </c>
      <c r="AZ152" s="18">
        <v>13</v>
      </c>
      <c r="BA152" s="15">
        <f t="shared" si="43"/>
        <v>2600</v>
      </c>
      <c r="BB152" s="15">
        <f t="shared" si="44"/>
        <v>7800</v>
      </c>
      <c r="BC152" s="15">
        <f t="shared" si="45"/>
        <v>93600</v>
      </c>
    </row>
    <row r="153" spans="34:55" ht="16.5" x14ac:dyDescent="0.2">
      <c r="AH153" s="26">
        <v>149</v>
      </c>
      <c r="AI153" s="26">
        <v>12</v>
      </c>
      <c r="AJ153" s="26">
        <v>2</v>
      </c>
      <c r="AK153" s="26">
        <f t="shared" si="37"/>
        <v>65</v>
      </c>
      <c r="AL153" s="26">
        <f t="shared" si="38"/>
        <v>112</v>
      </c>
      <c r="AM153" s="26">
        <f t="shared" si="39"/>
        <v>827</v>
      </c>
      <c r="AP153" s="18">
        <v>149</v>
      </c>
      <c r="AQ153" s="26">
        <v>12</v>
      </c>
      <c r="AR153" s="18">
        <v>13</v>
      </c>
      <c r="AS153" s="15">
        <f t="shared" si="40"/>
        <v>1300</v>
      </c>
      <c r="AT153" s="15">
        <f t="shared" si="41"/>
        <v>3900</v>
      </c>
      <c r="AU153" s="15">
        <f t="shared" si="42"/>
        <v>62400</v>
      </c>
      <c r="AX153" s="18">
        <v>149</v>
      </c>
      <c r="AY153" s="26">
        <v>12</v>
      </c>
      <c r="AZ153" s="18">
        <v>14</v>
      </c>
      <c r="BA153" s="15">
        <f t="shared" si="43"/>
        <v>2600</v>
      </c>
      <c r="BB153" s="15">
        <f t="shared" si="44"/>
        <v>7800</v>
      </c>
      <c r="BC153" s="15">
        <f t="shared" si="45"/>
        <v>93600</v>
      </c>
    </row>
    <row r="154" spans="34:55" ht="16.5" x14ac:dyDescent="0.2">
      <c r="AH154" s="26">
        <v>150</v>
      </c>
      <c r="AI154" s="26">
        <v>12</v>
      </c>
      <c r="AJ154" s="26">
        <v>3</v>
      </c>
      <c r="AK154" s="26">
        <f t="shared" si="37"/>
        <v>65</v>
      </c>
      <c r="AL154" s="26">
        <f t="shared" si="38"/>
        <v>114</v>
      </c>
      <c r="AM154" s="26">
        <f t="shared" si="39"/>
        <v>844</v>
      </c>
      <c r="AP154" s="18">
        <v>150</v>
      </c>
      <c r="AQ154" s="26">
        <v>12</v>
      </c>
      <c r="AR154" s="18">
        <v>14</v>
      </c>
      <c r="AS154" s="15">
        <f t="shared" si="40"/>
        <v>1300</v>
      </c>
      <c r="AT154" s="15">
        <f t="shared" si="41"/>
        <v>3900</v>
      </c>
      <c r="AU154" s="15">
        <f t="shared" si="42"/>
        <v>62400</v>
      </c>
      <c r="AX154" s="18">
        <v>150</v>
      </c>
      <c r="AY154" s="26">
        <v>12</v>
      </c>
      <c r="AZ154" s="18">
        <v>15</v>
      </c>
      <c r="BA154" s="15">
        <f t="shared" si="43"/>
        <v>2600</v>
      </c>
      <c r="BB154" s="15">
        <f t="shared" si="44"/>
        <v>7800</v>
      </c>
      <c r="BC154" s="15">
        <f t="shared" si="45"/>
        <v>93600</v>
      </c>
    </row>
    <row r="155" spans="34:55" ht="16.5" x14ac:dyDescent="0.2">
      <c r="AH155" s="26">
        <v>151</v>
      </c>
      <c r="AI155" s="26">
        <v>12</v>
      </c>
      <c r="AJ155" s="26">
        <v>4</v>
      </c>
      <c r="AK155" s="26">
        <f t="shared" si="37"/>
        <v>65</v>
      </c>
      <c r="AL155" s="26">
        <f t="shared" si="38"/>
        <v>115</v>
      </c>
      <c r="AM155" s="26">
        <f t="shared" si="39"/>
        <v>860</v>
      </c>
      <c r="AP155" s="18">
        <v>151</v>
      </c>
      <c r="AQ155" s="26">
        <v>12</v>
      </c>
      <c r="AR155" s="18">
        <v>15</v>
      </c>
      <c r="AS155" s="15">
        <f t="shared" si="40"/>
        <v>1300</v>
      </c>
      <c r="AT155" s="15">
        <f t="shared" si="41"/>
        <v>3900</v>
      </c>
      <c r="AU155" s="15">
        <f t="shared" si="42"/>
        <v>62400</v>
      </c>
      <c r="AX155" s="18">
        <v>151</v>
      </c>
      <c r="AY155" s="26">
        <v>13</v>
      </c>
      <c r="AZ155" s="18">
        <v>1</v>
      </c>
      <c r="BA155" s="15">
        <f t="shared" si="43"/>
        <v>3200</v>
      </c>
      <c r="BB155" s="15">
        <f t="shared" si="44"/>
        <v>9000</v>
      </c>
      <c r="BC155" s="15">
        <f t="shared" si="45"/>
        <v>122400</v>
      </c>
    </row>
    <row r="156" spans="34:55" ht="16.5" x14ac:dyDescent="0.2">
      <c r="AH156" s="26">
        <v>152</v>
      </c>
      <c r="AI156" s="26">
        <v>12</v>
      </c>
      <c r="AJ156" s="26">
        <v>5</v>
      </c>
      <c r="AK156" s="26">
        <f t="shared" si="37"/>
        <v>65</v>
      </c>
      <c r="AL156" s="26">
        <f t="shared" si="38"/>
        <v>116</v>
      </c>
      <c r="AM156" s="26">
        <f t="shared" si="39"/>
        <v>876</v>
      </c>
      <c r="AP156" s="18">
        <v>152</v>
      </c>
      <c r="AQ156" s="26">
        <v>13</v>
      </c>
      <c r="AR156" s="18">
        <v>1</v>
      </c>
      <c r="AS156" s="15">
        <f t="shared" si="40"/>
        <v>1600</v>
      </c>
      <c r="AT156" s="15">
        <f t="shared" si="41"/>
        <v>4500</v>
      </c>
      <c r="AU156" s="15">
        <f t="shared" si="42"/>
        <v>81600</v>
      </c>
      <c r="AX156" s="18">
        <v>152</v>
      </c>
      <c r="AY156" s="26">
        <v>13</v>
      </c>
      <c r="AZ156" s="18">
        <v>2</v>
      </c>
      <c r="BA156" s="15">
        <f t="shared" si="43"/>
        <v>3200</v>
      </c>
      <c r="BB156" s="15">
        <f t="shared" si="44"/>
        <v>9000</v>
      </c>
      <c r="BC156" s="15">
        <f t="shared" si="45"/>
        <v>122400</v>
      </c>
    </row>
    <row r="157" spans="34:55" ht="16.5" x14ac:dyDescent="0.2">
      <c r="AH157" s="26">
        <v>153</v>
      </c>
      <c r="AI157" s="26">
        <v>12</v>
      </c>
      <c r="AJ157" s="26">
        <v>6</v>
      </c>
      <c r="AK157" s="26">
        <f t="shared" si="37"/>
        <v>65</v>
      </c>
      <c r="AL157" s="26">
        <f t="shared" si="38"/>
        <v>118</v>
      </c>
      <c r="AM157" s="26">
        <f t="shared" si="39"/>
        <v>893</v>
      </c>
      <c r="AP157" s="18">
        <v>153</v>
      </c>
      <c r="AQ157" s="26">
        <v>13</v>
      </c>
      <c r="AR157" s="18">
        <v>2</v>
      </c>
      <c r="AS157" s="15">
        <f t="shared" si="40"/>
        <v>1600</v>
      </c>
      <c r="AT157" s="15">
        <f t="shared" si="41"/>
        <v>4500</v>
      </c>
      <c r="AU157" s="15">
        <f t="shared" si="42"/>
        <v>81600</v>
      </c>
      <c r="AX157" s="18">
        <v>153</v>
      </c>
      <c r="AY157" s="26">
        <v>13</v>
      </c>
      <c r="AZ157" s="18">
        <v>3</v>
      </c>
      <c r="BA157" s="15">
        <f t="shared" si="43"/>
        <v>3200</v>
      </c>
      <c r="BB157" s="15">
        <f t="shared" si="44"/>
        <v>9000</v>
      </c>
      <c r="BC157" s="15">
        <f t="shared" si="45"/>
        <v>122400</v>
      </c>
    </row>
    <row r="158" spans="34:55" ht="16.5" x14ac:dyDescent="0.2">
      <c r="AH158" s="26">
        <v>154</v>
      </c>
      <c r="AI158" s="26">
        <v>12</v>
      </c>
      <c r="AJ158" s="26">
        <v>7</v>
      </c>
      <c r="AK158" s="26">
        <f t="shared" si="37"/>
        <v>65</v>
      </c>
      <c r="AL158" s="26">
        <f t="shared" si="38"/>
        <v>119</v>
      </c>
      <c r="AM158" s="26">
        <f t="shared" si="39"/>
        <v>909</v>
      </c>
      <c r="AP158" s="18">
        <v>154</v>
      </c>
      <c r="AQ158" s="26">
        <v>13</v>
      </c>
      <c r="AR158" s="18">
        <v>3</v>
      </c>
      <c r="AS158" s="15">
        <f t="shared" si="40"/>
        <v>1600</v>
      </c>
      <c r="AT158" s="15">
        <f t="shared" si="41"/>
        <v>4500</v>
      </c>
      <c r="AU158" s="15">
        <f t="shared" si="42"/>
        <v>81600</v>
      </c>
      <c r="AX158" s="18">
        <v>154</v>
      </c>
      <c r="AY158" s="26">
        <v>13</v>
      </c>
      <c r="AZ158" s="18">
        <v>4</v>
      </c>
      <c r="BA158" s="15">
        <f t="shared" si="43"/>
        <v>3200</v>
      </c>
      <c r="BB158" s="15">
        <f t="shared" si="44"/>
        <v>9000</v>
      </c>
      <c r="BC158" s="15">
        <f t="shared" si="45"/>
        <v>122400</v>
      </c>
    </row>
    <row r="159" spans="34:55" ht="16.5" x14ac:dyDescent="0.2">
      <c r="AH159" s="26">
        <v>155</v>
      </c>
      <c r="AI159" s="26">
        <v>12</v>
      </c>
      <c r="AJ159" s="26">
        <v>8</v>
      </c>
      <c r="AK159" s="26">
        <f t="shared" si="37"/>
        <v>65</v>
      </c>
      <c r="AL159" s="26">
        <f t="shared" si="38"/>
        <v>120</v>
      </c>
      <c r="AM159" s="26">
        <f t="shared" si="39"/>
        <v>925</v>
      </c>
      <c r="AP159" s="18">
        <v>155</v>
      </c>
      <c r="AQ159" s="26">
        <v>13</v>
      </c>
      <c r="AR159" s="18">
        <v>4</v>
      </c>
      <c r="AS159" s="15">
        <f t="shared" si="40"/>
        <v>1600</v>
      </c>
      <c r="AT159" s="15">
        <f t="shared" si="41"/>
        <v>4500</v>
      </c>
      <c r="AU159" s="15">
        <f t="shared" si="42"/>
        <v>81600</v>
      </c>
      <c r="AX159" s="18">
        <v>155</v>
      </c>
      <c r="AY159" s="26">
        <v>13</v>
      </c>
      <c r="AZ159" s="18">
        <v>5</v>
      </c>
      <c r="BA159" s="15">
        <f t="shared" si="43"/>
        <v>3200</v>
      </c>
      <c r="BB159" s="15">
        <f t="shared" si="44"/>
        <v>9000</v>
      </c>
      <c r="BC159" s="15">
        <f t="shared" si="45"/>
        <v>122400</v>
      </c>
    </row>
    <row r="160" spans="34:55" ht="16.5" x14ac:dyDescent="0.2">
      <c r="AH160" s="26">
        <v>156</v>
      </c>
      <c r="AI160" s="26">
        <v>12</v>
      </c>
      <c r="AJ160" s="26">
        <v>9</v>
      </c>
      <c r="AK160" s="26">
        <f t="shared" si="37"/>
        <v>65</v>
      </c>
      <c r="AL160" s="26">
        <f t="shared" si="38"/>
        <v>122</v>
      </c>
      <c r="AM160" s="26">
        <f t="shared" si="39"/>
        <v>942</v>
      </c>
      <c r="AP160" s="18">
        <v>156</v>
      </c>
      <c r="AQ160" s="26">
        <v>13</v>
      </c>
      <c r="AR160" s="18">
        <v>5</v>
      </c>
      <c r="AS160" s="15">
        <f t="shared" si="40"/>
        <v>1600</v>
      </c>
      <c r="AT160" s="15">
        <f t="shared" si="41"/>
        <v>4500</v>
      </c>
      <c r="AU160" s="15">
        <f t="shared" si="42"/>
        <v>81600</v>
      </c>
      <c r="AX160" s="18">
        <v>156</v>
      </c>
      <c r="AY160" s="26">
        <v>13</v>
      </c>
      <c r="AZ160" s="18">
        <v>6</v>
      </c>
      <c r="BA160" s="15">
        <f t="shared" si="43"/>
        <v>3200</v>
      </c>
      <c r="BB160" s="15">
        <f t="shared" si="44"/>
        <v>9000</v>
      </c>
      <c r="BC160" s="15">
        <f t="shared" si="45"/>
        <v>122400</v>
      </c>
    </row>
    <row r="161" spans="34:55" ht="16.5" x14ac:dyDescent="0.2">
      <c r="AH161" s="26">
        <v>157</v>
      </c>
      <c r="AI161" s="26">
        <v>12</v>
      </c>
      <c r="AJ161" s="26">
        <v>10</v>
      </c>
      <c r="AK161" s="26">
        <f t="shared" si="37"/>
        <v>65</v>
      </c>
      <c r="AL161" s="26">
        <f t="shared" si="38"/>
        <v>123</v>
      </c>
      <c r="AM161" s="26">
        <f t="shared" si="39"/>
        <v>958</v>
      </c>
      <c r="AP161" s="18">
        <v>157</v>
      </c>
      <c r="AQ161" s="26">
        <v>13</v>
      </c>
      <c r="AR161" s="18">
        <v>6</v>
      </c>
      <c r="AS161" s="15">
        <f t="shared" si="40"/>
        <v>1600</v>
      </c>
      <c r="AT161" s="15">
        <f t="shared" si="41"/>
        <v>4500</v>
      </c>
      <c r="AU161" s="15">
        <f t="shared" si="42"/>
        <v>81600</v>
      </c>
      <c r="AX161" s="18">
        <v>157</v>
      </c>
      <c r="AY161" s="26">
        <v>13</v>
      </c>
      <c r="AZ161" s="18">
        <v>7</v>
      </c>
      <c r="BA161" s="15">
        <f t="shared" si="43"/>
        <v>3200</v>
      </c>
      <c r="BB161" s="15">
        <f t="shared" si="44"/>
        <v>9000</v>
      </c>
      <c r="BC161" s="15">
        <f t="shared" si="45"/>
        <v>122400</v>
      </c>
    </row>
    <row r="162" spans="34:55" ht="16.5" x14ac:dyDescent="0.2">
      <c r="AH162" s="26">
        <v>158</v>
      </c>
      <c r="AI162" s="26">
        <v>12</v>
      </c>
      <c r="AJ162" s="26">
        <v>11</v>
      </c>
      <c r="AK162" s="26">
        <f t="shared" si="37"/>
        <v>65</v>
      </c>
      <c r="AL162" s="26">
        <f t="shared" si="38"/>
        <v>124</v>
      </c>
      <c r="AM162" s="26">
        <f t="shared" si="39"/>
        <v>974</v>
      </c>
      <c r="AP162" s="18">
        <v>158</v>
      </c>
      <c r="AQ162" s="26">
        <v>13</v>
      </c>
      <c r="AR162" s="18">
        <v>7</v>
      </c>
      <c r="AS162" s="15">
        <f t="shared" si="40"/>
        <v>1600</v>
      </c>
      <c r="AT162" s="15">
        <f t="shared" si="41"/>
        <v>4500</v>
      </c>
      <c r="AU162" s="15">
        <f t="shared" si="42"/>
        <v>81600</v>
      </c>
      <c r="AX162" s="18">
        <v>158</v>
      </c>
      <c r="AY162" s="26">
        <v>13</v>
      </c>
      <c r="AZ162" s="18">
        <v>8</v>
      </c>
      <c r="BA162" s="15">
        <f t="shared" si="43"/>
        <v>3200</v>
      </c>
      <c r="BB162" s="15">
        <f t="shared" si="44"/>
        <v>9000</v>
      </c>
      <c r="BC162" s="15">
        <f t="shared" si="45"/>
        <v>122400</v>
      </c>
    </row>
    <row r="163" spans="34:55" ht="16.5" x14ac:dyDescent="0.2">
      <c r="AH163" s="26">
        <v>159</v>
      </c>
      <c r="AI163" s="26">
        <v>12</v>
      </c>
      <c r="AJ163" s="26">
        <v>12</v>
      </c>
      <c r="AK163" s="26">
        <f t="shared" si="37"/>
        <v>65</v>
      </c>
      <c r="AL163" s="26">
        <f t="shared" si="38"/>
        <v>126</v>
      </c>
      <c r="AM163" s="26">
        <f t="shared" si="39"/>
        <v>991</v>
      </c>
      <c r="AP163" s="18">
        <v>159</v>
      </c>
      <c r="AQ163" s="26">
        <v>13</v>
      </c>
      <c r="AR163" s="18">
        <v>8</v>
      </c>
      <c r="AS163" s="15">
        <f t="shared" si="40"/>
        <v>1600</v>
      </c>
      <c r="AT163" s="15">
        <f t="shared" si="41"/>
        <v>4500</v>
      </c>
      <c r="AU163" s="15">
        <f t="shared" si="42"/>
        <v>81600</v>
      </c>
      <c r="AX163" s="18">
        <v>159</v>
      </c>
      <c r="AY163" s="26">
        <v>13</v>
      </c>
      <c r="AZ163" s="18">
        <v>9</v>
      </c>
      <c r="BA163" s="15">
        <f t="shared" si="43"/>
        <v>3200</v>
      </c>
      <c r="BB163" s="15">
        <f t="shared" si="44"/>
        <v>9000</v>
      </c>
      <c r="BC163" s="15">
        <f t="shared" si="45"/>
        <v>122400</v>
      </c>
    </row>
    <row r="164" spans="34:55" ht="16.5" x14ac:dyDescent="0.2">
      <c r="AH164" s="26">
        <v>160</v>
      </c>
      <c r="AI164" s="26">
        <v>12</v>
      </c>
      <c r="AJ164" s="26">
        <v>13</v>
      </c>
      <c r="AK164" s="26">
        <f t="shared" si="37"/>
        <v>65</v>
      </c>
      <c r="AL164" s="26">
        <f t="shared" si="38"/>
        <v>127</v>
      </c>
      <c r="AM164" s="26">
        <f t="shared" si="39"/>
        <v>1007</v>
      </c>
      <c r="AP164" s="18">
        <v>160</v>
      </c>
      <c r="AQ164" s="26">
        <v>13</v>
      </c>
      <c r="AR164" s="18">
        <v>9</v>
      </c>
      <c r="AS164" s="15">
        <f t="shared" si="40"/>
        <v>1600</v>
      </c>
      <c r="AT164" s="15">
        <f t="shared" si="41"/>
        <v>4500</v>
      </c>
      <c r="AU164" s="15">
        <f t="shared" si="42"/>
        <v>81600</v>
      </c>
      <c r="AX164" s="18">
        <v>160</v>
      </c>
      <c r="AY164" s="26">
        <v>13</v>
      </c>
      <c r="AZ164" s="18">
        <v>10</v>
      </c>
      <c r="BA164" s="15">
        <f t="shared" si="43"/>
        <v>3200</v>
      </c>
      <c r="BB164" s="15">
        <f t="shared" si="44"/>
        <v>9000</v>
      </c>
      <c r="BC164" s="15">
        <f t="shared" si="45"/>
        <v>122400</v>
      </c>
    </row>
    <row r="165" spans="34:55" ht="16.5" x14ac:dyDescent="0.2">
      <c r="AH165" s="26">
        <v>161</v>
      </c>
      <c r="AI165" s="26">
        <v>12</v>
      </c>
      <c r="AJ165" s="26">
        <v>14</v>
      </c>
      <c r="AK165" s="26">
        <f t="shared" si="37"/>
        <v>65</v>
      </c>
      <c r="AL165" s="26">
        <f t="shared" si="38"/>
        <v>128</v>
      </c>
      <c r="AM165" s="26">
        <f t="shared" si="39"/>
        <v>1023</v>
      </c>
      <c r="AP165" s="18">
        <v>161</v>
      </c>
      <c r="AQ165" s="26">
        <v>13</v>
      </c>
      <c r="AR165" s="18">
        <v>10</v>
      </c>
      <c r="AS165" s="15">
        <f t="shared" si="40"/>
        <v>1600</v>
      </c>
      <c r="AT165" s="15">
        <f t="shared" si="41"/>
        <v>4500</v>
      </c>
      <c r="AU165" s="15">
        <f t="shared" si="42"/>
        <v>81600</v>
      </c>
      <c r="AX165" s="18">
        <v>161</v>
      </c>
      <c r="AY165" s="26">
        <v>13</v>
      </c>
      <c r="AZ165" s="18">
        <v>11</v>
      </c>
      <c r="BA165" s="15">
        <f t="shared" si="43"/>
        <v>3200</v>
      </c>
      <c r="BB165" s="15">
        <f t="shared" si="44"/>
        <v>9000</v>
      </c>
      <c r="BC165" s="15">
        <f t="shared" si="45"/>
        <v>122400</v>
      </c>
    </row>
    <row r="166" spans="34:55" ht="16.5" x14ac:dyDescent="0.2">
      <c r="AH166" s="26">
        <v>162</v>
      </c>
      <c r="AI166" s="26">
        <v>12</v>
      </c>
      <c r="AJ166" s="26">
        <v>15</v>
      </c>
      <c r="AK166" s="26">
        <f t="shared" si="37"/>
        <v>65</v>
      </c>
      <c r="AL166" s="26">
        <f t="shared" si="38"/>
        <v>130</v>
      </c>
      <c r="AM166" s="26">
        <f t="shared" si="39"/>
        <v>1040</v>
      </c>
      <c r="AP166" s="18">
        <v>162</v>
      </c>
      <c r="AQ166" s="26">
        <v>13</v>
      </c>
      <c r="AR166" s="18">
        <v>11</v>
      </c>
      <c r="AS166" s="15">
        <f t="shared" si="40"/>
        <v>1600</v>
      </c>
      <c r="AT166" s="15">
        <f t="shared" si="41"/>
        <v>4500</v>
      </c>
      <c r="AU166" s="15">
        <f t="shared" si="42"/>
        <v>81600</v>
      </c>
      <c r="AX166" s="18">
        <v>162</v>
      </c>
      <c r="AY166" s="26">
        <v>13</v>
      </c>
      <c r="AZ166" s="18">
        <v>12</v>
      </c>
      <c r="BA166" s="15">
        <f t="shared" si="43"/>
        <v>3200</v>
      </c>
      <c r="BB166" s="15">
        <f t="shared" si="44"/>
        <v>9000</v>
      </c>
      <c r="BC166" s="15">
        <f t="shared" si="45"/>
        <v>122400</v>
      </c>
    </row>
    <row r="167" spans="34:55" ht="16.5" x14ac:dyDescent="0.2">
      <c r="AH167" s="26">
        <v>163</v>
      </c>
      <c r="AI167" s="26">
        <v>13</v>
      </c>
      <c r="AJ167" s="26">
        <v>1</v>
      </c>
      <c r="AK167" s="26">
        <f t="shared" si="37"/>
        <v>80</v>
      </c>
      <c r="AL167" s="26">
        <f t="shared" si="38"/>
        <v>131</v>
      </c>
      <c r="AM167" s="26">
        <f t="shared" si="39"/>
        <v>1061</v>
      </c>
      <c r="AP167" s="18">
        <v>163</v>
      </c>
      <c r="AQ167" s="26">
        <v>13</v>
      </c>
      <c r="AR167" s="18">
        <v>12</v>
      </c>
      <c r="AS167" s="15">
        <f t="shared" si="40"/>
        <v>1600</v>
      </c>
      <c r="AT167" s="15">
        <f t="shared" si="41"/>
        <v>4500</v>
      </c>
      <c r="AU167" s="15">
        <f t="shared" si="42"/>
        <v>81600</v>
      </c>
      <c r="AX167" s="18">
        <v>163</v>
      </c>
      <c r="AY167" s="26">
        <v>13</v>
      </c>
      <c r="AZ167" s="18">
        <v>13</v>
      </c>
      <c r="BA167" s="15">
        <f t="shared" si="43"/>
        <v>3200</v>
      </c>
      <c r="BB167" s="15">
        <f t="shared" si="44"/>
        <v>9000</v>
      </c>
      <c r="BC167" s="15">
        <f t="shared" si="45"/>
        <v>122400</v>
      </c>
    </row>
    <row r="168" spans="34:55" ht="16.5" x14ac:dyDescent="0.2">
      <c r="AH168" s="26">
        <v>164</v>
      </c>
      <c r="AI168" s="26">
        <v>13</v>
      </c>
      <c r="AJ168" s="26">
        <v>2</v>
      </c>
      <c r="AK168" s="26">
        <f t="shared" si="37"/>
        <v>80</v>
      </c>
      <c r="AL168" s="26">
        <f t="shared" si="38"/>
        <v>132</v>
      </c>
      <c r="AM168" s="26">
        <f t="shared" si="39"/>
        <v>1082</v>
      </c>
      <c r="AP168" s="18">
        <v>164</v>
      </c>
      <c r="AQ168" s="26">
        <v>13</v>
      </c>
      <c r="AR168" s="18">
        <v>13</v>
      </c>
      <c r="AS168" s="15">
        <f t="shared" si="40"/>
        <v>1600</v>
      </c>
      <c r="AT168" s="15">
        <f t="shared" si="41"/>
        <v>4500</v>
      </c>
      <c r="AU168" s="15">
        <f t="shared" si="42"/>
        <v>81600</v>
      </c>
      <c r="AX168" s="18">
        <v>164</v>
      </c>
      <c r="AY168" s="26">
        <v>13</v>
      </c>
      <c r="AZ168" s="18">
        <v>14</v>
      </c>
      <c r="BA168" s="15">
        <f t="shared" si="43"/>
        <v>3200</v>
      </c>
      <c r="BB168" s="15">
        <f t="shared" si="44"/>
        <v>9000</v>
      </c>
      <c r="BC168" s="15">
        <f t="shared" si="45"/>
        <v>122400</v>
      </c>
    </row>
    <row r="169" spans="34:55" ht="16.5" x14ac:dyDescent="0.2">
      <c r="AH169" s="26">
        <v>165</v>
      </c>
      <c r="AI169" s="26">
        <v>13</v>
      </c>
      <c r="AJ169" s="26">
        <v>3</v>
      </c>
      <c r="AK169" s="26">
        <f t="shared" si="37"/>
        <v>80</v>
      </c>
      <c r="AL169" s="26">
        <f t="shared" si="38"/>
        <v>134</v>
      </c>
      <c r="AM169" s="26">
        <f t="shared" si="39"/>
        <v>1104</v>
      </c>
      <c r="AP169" s="18">
        <v>165</v>
      </c>
      <c r="AQ169" s="26">
        <v>13</v>
      </c>
      <c r="AR169" s="18">
        <v>14</v>
      </c>
      <c r="AS169" s="15">
        <f t="shared" si="40"/>
        <v>1600</v>
      </c>
      <c r="AT169" s="15">
        <f t="shared" si="41"/>
        <v>4500</v>
      </c>
      <c r="AU169" s="15">
        <f t="shared" si="42"/>
        <v>81600</v>
      </c>
      <c r="AX169" s="18">
        <v>165</v>
      </c>
      <c r="AY169" s="26">
        <v>13</v>
      </c>
      <c r="AZ169" s="18">
        <v>15</v>
      </c>
      <c r="BA169" s="15">
        <f t="shared" si="43"/>
        <v>3200</v>
      </c>
      <c r="BB169" s="15">
        <f t="shared" si="44"/>
        <v>9000</v>
      </c>
      <c r="BC169" s="15">
        <f t="shared" si="45"/>
        <v>122400</v>
      </c>
    </row>
    <row r="170" spans="34:55" ht="16.5" x14ac:dyDescent="0.2">
      <c r="AH170" s="26">
        <v>166</v>
      </c>
      <c r="AI170" s="26">
        <v>13</v>
      </c>
      <c r="AJ170" s="26">
        <v>4</v>
      </c>
      <c r="AK170" s="26">
        <f t="shared" si="37"/>
        <v>80</v>
      </c>
      <c r="AL170" s="26">
        <f t="shared" si="38"/>
        <v>135</v>
      </c>
      <c r="AM170" s="26">
        <f t="shared" si="39"/>
        <v>1125</v>
      </c>
      <c r="AP170" s="18">
        <v>166</v>
      </c>
      <c r="AQ170" s="26">
        <v>13</v>
      </c>
      <c r="AR170" s="18">
        <v>15</v>
      </c>
      <c r="AS170" s="15">
        <f t="shared" si="40"/>
        <v>1600</v>
      </c>
      <c r="AT170" s="15">
        <f t="shared" si="41"/>
        <v>4500</v>
      </c>
      <c r="AU170" s="15">
        <f t="shared" si="42"/>
        <v>81600</v>
      </c>
      <c r="AX170" s="18">
        <v>166</v>
      </c>
      <c r="AY170" s="26">
        <v>14</v>
      </c>
      <c r="AZ170" s="18">
        <v>1</v>
      </c>
      <c r="BA170" s="15">
        <f t="shared" si="43"/>
        <v>4000</v>
      </c>
      <c r="BB170" s="15">
        <f t="shared" si="44"/>
        <v>10500</v>
      </c>
      <c r="BC170" s="15">
        <f t="shared" si="45"/>
        <v>162000</v>
      </c>
    </row>
    <row r="171" spans="34:55" ht="16.5" x14ac:dyDescent="0.2">
      <c r="AH171" s="26">
        <v>167</v>
      </c>
      <c r="AI171" s="26">
        <v>13</v>
      </c>
      <c r="AJ171" s="26">
        <v>5</v>
      </c>
      <c r="AK171" s="26">
        <f t="shared" si="37"/>
        <v>80</v>
      </c>
      <c r="AL171" s="26">
        <f t="shared" si="38"/>
        <v>136</v>
      </c>
      <c r="AM171" s="26">
        <f t="shared" si="39"/>
        <v>1146</v>
      </c>
      <c r="AP171" s="18">
        <v>167</v>
      </c>
      <c r="AQ171" s="26">
        <v>14</v>
      </c>
      <c r="AR171" s="18">
        <v>1</v>
      </c>
      <c r="AS171" s="15">
        <f t="shared" si="40"/>
        <v>2000</v>
      </c>
      <c r="AT171" s="15">
        <f t="shared" si="41"/>
        <v>5250</v>
      </c>
      <c r="AU171" s="15">
        <f t="shared" si="42"/>
        <v>108000</v>
      </c>
      <c r="AX171" s="18">
        <v>167</v>
      </c>
      <c r="AY171" s="26">
        <v>14</v>
      </c>
      <c r="AZ171" s="18">
        <v>2</v>
      </c>
      <c r="BA171" s="15">
        <f t="shared" si="43"/>
        <v>4000</v>
      </c>
      <c r="BB171" s="15">
        <f t="shared" si="44"/>
        <v>10500</v>
      </c>
      <c r="BC171" s="15">
        <f t="shared" si="45"/>
        <v>162000</v>
      </c>
    </row>
    <row r="172" spans="34:55" ht="16.5" x14ac:dyDescent="0.2">
      <c r="AH172" s="26">
        <v>168</v>
      </c>
      <c r="AI172" s="26">
        <v>13</v>
      </c>
      <c r="AJ172" s="26">
        <v>6</v>
      </c>
      <c r="AK172" s="26">
        <f t="shared" si="37"/>
        <v>80</v>
      </c>
      <c r="AL172" s="26">
        <f t="shared" si="38"/>
        <v>138</v>
      </c>
      <c r="AM172" s="26">
        <f t="shared" si="39"/>
        <v>1168</v>
      </c>
      <c r="AP172" s="18">
        <v>168</v>
      </c>
      <c r="AQ172" s="26">
        <v>14</v>
      </c>
      <c r="AR172" s="18">
        <v>2</v>
      </c>
      <c r="AS172" s="15">
        <f t="shared" si="40"/>
        <v>2000</v>
      </c>
      <c r="AT172" s="15">
        <f t="shared" si="41"/>
        <v>5250</v>
      </c>
      <c r="AU172" s="15">
        <f t="shared" si="42"/>
        <v>108000</v>
      </c>
      <c r="AX172" s="18">
        <v>168</v>
      </c>
      <c r="AY172" s="26">
        <v>14</v>
      </c>
      <c r="AZ172" s="18">
        <v>3</v>
      </c>
      <c r="BA172" s="15">
        <f t="shared" si="43"/>
        <v>4000</v>
      </c>
      <c r="BB172" s="15">
        <f t="shared" si="44"/>
        <v>10500</v>
      </c>
      <c r="BC172" s="15">
        <f t="shared" si="45"/>
        <v>162000</v>
      </c>
    </row>
    <row r="173" spans="34:55" ht="16.5" x14ac:dyDescent="0.2">
      <c r="AH173" s="26">
        <v>169</v>
      </c>
      <c r="AI173" s="26">
        <v>13</v>
      </c>
      <c r="AJ173" s="26">
        <v>7</v>
      </c>
      <c r="AK173" s="26">
        <f t="shared" si="37"/>
        <v>80</v>
      </c>
      <c r="AL173" s="26">
        <f t="shared" si="38"/>
        <v>139</v>
      </c>
      <c r="AM173" s="26">
        <f t="shared" si="39"/>
        <v>1189</v>
      </c>
      <c r="AP173" s="18">
        <v>169</v>
      </c>
      <c r="AQ173" s="26">
        <v>14</v>
      </c>
      <c r="AR173" s="18">
        <v>3</v>
      </c>
      <c r="AS173" s="15">
        <f t="shared" si="40"/>
        <v>2000</v>
      </c>
      <c r="AT173" s="15">
        <f t="shared" si="41"/>
        <v>5250</v>
      </c>
      <c r="AU173" s="15">
        <f t="shared" si="42"/>
        <v>108000</v>
      </c>
      <c r="AX173" s="18">
        <v>169</v>
      </c>
      <c r="AY173" s="26">
        <v>14</v>
      </c>
      <c r="AZ173" s="18">
        <v>4</v>
      </c>
      <c r="BA173" s="15">
        <f t="shared" si="43"/>
        <v>4000</v>
      </c>
      <c r="BB173" s="15">
        <f t="shared" si="44"/>
        <v>10500</v>
      </c>
      <c r="BC173" s="15">
        <f t="shared" si="45"/>
        <v>162000</v>
      </c>
    </row>
    <row r="174" spans="34:55" ht="16.5" x14ac:dyDescent="0.2">
      <c r="AH174" s="26">
        <v>170</v>
      </c>
      <c r="AI174" s="26">
        <v>13</v>
      </c>
      <c r="AJ174" s="26">
        <v>8</v>
      </c>
      <c r="AK174" s="26">
        <f t="shared" si="37"/>
        <v>80</v>
      </c>
      <c r="AL174" s="26">
        <f t="shared" si="38"/>
        <v>140</v>
      </c>
      <c r="AM174" s="26">
        <f t="shared" si="39"/>
        <v>1210</v>
      </c>
      <c r="AP174" s="18">
        <v>170</v>
      </c>
      <c r="AQ174" s="26">
        <v>14</v>
      </c>
      <c r="AR174" s="18">
        <v>4</v>
      </c>
      <c r="AS174" s="15">
        <f t="shared" si="40"/>
        <v>2000</v>
      </c>
      <c r="AT174" s="15">
        <f t="shared" si="41"/>
        <v>5250</v>
      </c>
      <c r="AU174" s="15">
        <f t="shared" si="42"/>
        <v>108000</v>
      </c>
      <c r="AX174" s="18">
        <v>170</v>
      </c>
      <c r="AY174" s="26">
        <v>14</v>
      </c>
      <c r="AZ174" s="18">
        <v>5</v>
      </c>
      <c r="BA174" s="15">
        <f t="shared" si="43"/>
        <v>4000</v>
      </c>
      <c r="BB174" s="15">
        <f t="shared" si="44"/>
        <v>10500</v>
      </c>
      <c r="BC174" s="15">
        <f t="shared" si="45"/>
        <v>162000</v>
      </c>
    </row>
    <row r="175" spans="34:55" ht="16.5" x14ac:dyDescent="0.2">
      <c r="AH175" s="26">
        <v>171</v>
      </c>
      <c r="AI175" s="26">
        <v>13</v>
      </c>
      <c r="AJ175" s="26">
        <v>9</v>
      </c>
      <c r="AK175" s="26">
        <f t="shared" si="37"/>
        <v>80</v>
      </c>
      <c r="AL175" s="26">
        <f t="shared" si="38"/>
        <v>142</v>
      </c>
      <c r="AM175" s="26">
        <f t="shared" si="39"/>
        <v>1232</v>
      </c>
      <c r="AP175" s="18">
        <v>171</v>
      </c>
      <c r="AQ175" s="26">
        <v>14</v>
      </c>
      <c r="AR175" s="18">
        <v>5</v>
      </c>
      <c r="AS175" s="15">
        <f t="shared" si="40"/>
        <v>2000</v>
      </c>
      <c r="AT175" s="15">
        <f t="shared" si="41"/>
        <v>5250</v>
      </c>
      <c r="AU175" s="15">
        <f t="shared" si="42"/>
        <v>108000</v>
      </c>
      <c r="AX175" s="18">
        <v>171</v>
      </c>
      <c r="AY175" s="26">
        <v>14</v>
      </c>
      <c r="AZ175" s="18">
        <v>6</v>
      </c>
      <c r="BA175" s="15">
        <f t="shared" si="43"/>
        <v>4000</v>
      </c>
      <c r="BB175" s="15">
        <f t="shared" si="44"/>
        <v>10500</v>
      </c>
      <c r="BC175" s="15">
        <f t="shared" si="45"/>
        <v>162000</v>
      </c>
    </row>
    <row r="176" spans="34:55" ht="16.5" x14ac:dyDescent="0.2">
      <c r="AH176" s="26">
        <v>172</v>
      </c>
      <c r="AI176" s="26">
        <v>13</v>
      </c>
      <c r="AJ176" s="26">
        <v>10</v>
      </c>
      <c r="AK176" s="26">
        <f t="shared" si="37"/>
        <v>80</v>
      </c>
      <c r="AL176" s="26">
        <f t="shared" si="38"/>
        <v>143</v>
      </c>
      <c r="AM176" s="26">
        <f t="shared" si="39"/>
        <v>1253</v>
      </c>
      <c r="AP176" s="18">
        <v>172</v>
      </c>
      <c r="AQ176" s="26">
        <v>14</v>
      </c>
      <c r="AR176" s="18">
        <v>6</v>
      </c>
      <c r="AS176" s="15">
        <f t="shared" si="40"/>
        <v>2000</v>
      </c>
      <c r="AT176" s="15">
        <f t="shared" si="41"/>
        <v>5250</v>
      </c>
      <c r="AU176" s="15">
        <f t="shared" si="42"/>
        <v>108000</v>
      </c>
      <c r="AX176" s="18">
        <v>172</v>
      </c>
      <c r="AY176" s="26">
        <v>14</v>
      </c>
      <c r="AZ176" s="18">
        <v>7</v>
      </c>
      <c r="BA176" s="15">
        <f t="shared" si="43"/>
        <v>4000</v>
      </c>
      <c r="BB176" s="15">
        <f t="shared" si="44"/>
        <v>10500</v>
      </c>
      <c r="BC176" s="15">
        <f t="shared" si="45"/>
        <v>162000</v>
      </c>
    </row>
    <row r="177" spans="34:55" ht="16.5" x14ac:dyDescent="0.2">
      <c r="AH177" s="26">
        <v>173</v>
      </c>
      <c r="AI177" s="26">
        <v>13</v>
      </c>
      <c r="AJ177" s="26">
        <v>11</v>
      </c>
      <c r="AK177" s="26">
        <f t="shared" si="37"/>
        <v>80</v>
      </c>
      <c r="AL177" s="26">
        <f t="shared" si="38"/>
        <v>144</v>
      </c>
      <c r="AM177" s="26">
        <f t="shared" si="39"/>
        <v>1274</v>
      </c>
      <c r="AP177" s="18">
        <v>173</v>
      </c>
      <c r="AQ177" s="26">
        <v>14</v>
      </c>
      <c r="AR177" s="18">
        <v>7</v>
      </c>
      <c r="AS177" s="15">
        <f t="shared" si="40"/>
        <v>2000</v>
      </c>
      <c r="AT177" s="15">
        <f t="shared" si="41"/>
        <v>5250</v>
      </c>
      <c r="AU177" s="15">
        <f t="shared" si="42"/>
        <v>108000</v>
      </c>
      <c r="AX177" s="18">
        <v>173</v>
      </c>
      <c r="AY177" s="26">
        <v>14</v>
      </c>
      <c r="AZ177" s="18">
        <v>8</v>
      </c>
      <c r="BA177" s="15">
        <f t="shared" si="43"/>
        <v>4000</v>
      </c>
      <c r="BB177" s="15">
        <f t="shared" si="44"/>
        <v>10500</v>
      </c>
      <c r="BC177" s="15">
        <f t="shared" si="45"/>
        <v>162000</v>
      </c>
    </row>
    <row r="178" spans="34:55" ht="16.5" x14ac:dyDescent="0.2">
      <c r="AH178" s="26">
        <v>174</v>
      </c>
      <c r="AI178" s="26">
        <v>13</v>
      </c>
      <c r="AJ178" s="26">
        <v>12</v>
      </c>
      <c r="AK178" s="26">
        <f t="shared" si="37"/>
        <v>80</v>
      </c>
      <c r="AL178" s="26">
        <f t="shared" si="38"/>
        <v>146</v>
      </c>
      <c r="AM178" s="26">
        <f t="shared" si="39"/>
        <v>1296</v>
      </c>
      <c r="AP178" s="18">
        <v>174</v>
      </c>
      <c r="AQ178" s="26">
        <v>14</v>
      </c>
      <c r="AR178" s="18">
        <v>8</v>
      </c>
      <c r="AS178" s="15">
        <f t="shared" si="40"/>
        <v>2000</v>
      </c>
      <c r="AT178" s="15">
        <f t="shared" si="41"/>
        <v>5250</v>
      </c>
      <c r="AU178" s="15">
        <f t="shared" si="42"/>
        <v>108000</v>
      </c>
      <c r="AX178" s="18">
        <v>174</v>
      </c>
      <c r="AY178" s="26">
        <v>14</v>
      </c>
      <c r="AZ178" s="18">
        <v>9</v>
      </c>
      <c r="BA178" s="15">
        <f t="shared" si="43"/>
        <v>4000</v>
      </c>
      <c r="BB178" s="15">
        <f t="shared" si="44"/>
        <v>10500</v>
      </c>
      <c r="BC178" s="15">
        <f t="shared" si="45"/>
        <v>162000</v>
      </c>
    </row>
    <row r="179" spans="34:55" ht="16.5" x14ac:dyDescent="0.2">
      <c r="AH179" s="26">
        <v>175</v>
      </c>
      <c r="AI179" s="26">
        <v>13</v>
      </c>
      <c r="AJ179" s="26">
        <v>13</v>
      </c>
      <c r="AK179" s="26">
        <f t="shared" si="37"/>
        <v>80</v>
      </c>
      <c r="AL179" s="26">
        <f t="shared" si="38"/>
        <v>147</v>
      </c>
      <c r="AM179" s="26">
        <f t="shared" si="39"/>
        <v>1317</v>
      </c>
      <c r="AP179" s="18">
        <v>175</v>
      </c>
      <c r="AQ179" s="26">
        <v>14</v>
      </c>
      <c r="AR179" s="18">
        <v>9</v>
      </c>
      <c r="AS179" s="15">
        <f t="shared" si="40"/>
        <v>2000</v>
      </c>
      <c r="AT179" s="15">
        <f t="shared" si="41"/>
        <v>5250</v>
      </c>
      <c r="AU179" s="15">
        <f t="shared" si="42"/>
        <v>108000</v>
      </c>
      <c r="AX179" s="18">
        <v>175</v>
      </c>
      <c r="AY179" s="26">
        <v>14</v>
      </c>
      <c r="AZ179" s="18">
        <v>10</v>
      </c>
      <c r="BA179" s="15">
        <f t="shared" si="43"/>
        <v>4000</v>
      </c>
      <c r="BB179" s="15">
        <f t="shared" si="44"/>
        <v>10500</v>
      </c>
      <c r="BC179" s="15">
        <f t="shared" si="45"/>
        <v>162000</v>
      </c>
    </row>
    <row r="180" spans="34:55" ht="16.5" x14ac:dyDescent="0.2">
      <c r="AH180" s="26">
        <v>176</v>
      </c>
      <c r="AI180" s="26">
        <v>13</v>
      </c>
      <c r="AJ180" s="26">
        <v>14</v>
      </c>
      <c r="AK180" s="26">
        <f t="shared" si="37"/>
        <v>80</v>
      </c>
      <c r="AL180" s="26">
        <f t="shared" si="38"/>
        <v>148</v>
      </c>
      <c r="AM180" s="26">
        <f t="shared" si="39"/>
        <v>1338</v>
      </c>
      <c r="AP180" s="18">
        <v>176</v>
      </c>
      <c r="AQ180" s="26">
        <v>14</v>
      </c>
      <c r="AR180" s="18">
        <v>10</v>
      </c>
      <c r="AS180" s="15">
        <f t="shared" si="40"/>
        <v>2000</v>
      </c>
      <c r="AT180" s="15">
        <f t="shared" si="41"/>
        <v>5250</v>
      </c>
      <c r="AU180" s="15">
        <f t="shared" si="42"/>
        <v>108000</v>
      </c>
      <c r="AX180" s="18">
        <v>176</v>
      </c>
      <c r="AY180" s="26">
        <v>14</v>
      </c>
      <c r="AZ180" s="18">
        <v>11</v>
      </c>
      <c r="BA180" s="15">
        <f t="shared" si="43"/>
        <v>4000</v>
      </c>
      <c r="BB180" s="15">
        <f t="shared" si="44"/>
        <v>10500</v>
      </c>
      <c r="BC180" s="15">
        <f t="shared" si="45"/>
        <v>162000</v>
      </c>
    </row>
    <row r="181" spans="34:55" ht="16.5" x14ac:dyDescent="0.2">
      <c r="AH181" s="26">
        <v>177</v>
      </c>
      <c r="AI181" s="26">
        <v>13</v>
      </c>
      <c r="AJ181" s="26">
        <v>15</v>
      </c>
      <c r="AK181" s="26">
        <f t="shared" si="37"/>
        <v>80</v>
      </c>
      <c r="AL181" s="26">
        <f t="shared" si="38"/>
        <v>150</v>
      </c>
      <c r="AM181" s="26">
        <f t="shared" si="39"/>
        <v>1360</v>
      </c>
      <c r="AP181" s="18">
        <v>177</v>
      </c>
      <c r="AQ181" s="26">
        <v>14</v>
      </c>
      <c r="AR181" s="18">
        <v>11</v>
      </c>
      <c r="AS181" s="15">
        <f t="shared" si="40"/>
        <v>2000</v>
      </c>
      <c r="AT181" s="15">
        <f t="shared" si="41"/>
        <v>5250</v>
      </c>
      <c r="AU181" s="15">
        <f t="shared" si="42"/>
        <v>108000</v>
      </c>
      <c r="AX181" s="18">
        <v>177</v>
      </c>
      <c r="AY181" s="26">
        <v>14</v>
      </c>
      <c r="AZ181" s="18">
        <v>12</v>
      </c>
      <c r="BA181" s="15">
        <f t="shared" si="43"/>
        <v>4000</v>
      </c>
      <c r="BB181" s="15">
        <f t="shared" si="44"/>
        <v>10500</v>
      </c>
      <c r="BC181" s="15">
        <f t="shared" si="45"/>
        <v>162000</v>
      </c>
    </row>
    <row r="182" spans="34:55" ht="16.5" x14ac:dyDescent="0.2">
      <c r="AH182" s="26">
        <v>178</v>
      </c>
      <c r="AI182" s="26">
        <v>14</v>
      </c>
      <c r="AJ182" s="26">
        <v>1</v>
      </c>
      <c r="AK182" s="26">
        <f t="shared" si="37"/>
        <v>100</v>
      </c>
      <c r="AL182" s="26">
        <f t="shared" si="38"/>
        <v>151</v>
      </c>
      <c r="AM182" s="26">
        <f t="shared" si="39"/>
        <v>1389</v>
      </c>
      <c r="AP182" s="18">
        <v>178</v>
      </c>
      <c r="AQ182" s="26">
        <v>14</v>
      </c>
      <c r="AR182" s="18">
        <v>12</v>
      </c>
      <c r="AS182" s="15">
        <f t="shared" si="40"/>
        <v>2000</v>
      </c>
      <c r="AT182" s="15">
        <f t="shared" si="41"/>
        <v>5250</v>
      </c>
      <c r="AU182" s="15">
        <f t="shared" si="42"/>
        <v>108000</v>
      </c>
      <c r="AX182" s="18">
        <v>178</v>
      </c>
      <c r="AY182" s="26">
        <v>14</v>
      </c>
      <c r="AZ182" s="18">
        <v>13</v>
      </c>
      <c r="BA182" s="15">
        <f t="shared" si="43"/>
        <v>4000</v>
      </c>
      <c r="BB182" s="15">
        <f t="shared" si="44"/>
        <v>10500</v>
      </c>
      <c r="BC182" s="15">
        <f t="shared" si="45"/>
        <v>162000</v>
      </c>
    </row>
    <row r="183" spans="34:55" ht="16.5" x14ac:dyDescent="0.2">
      <c r="AH183" s="26">
        <v>179</v>
      </c>
      <c r="AI183" s="26">
        <v>14</v>
      </c>
      <c r="AJ183" s="26">
        <v>2</v>
      </c>
      <c r="AK183" s="26">
        <f t="shared" si="37"/>
        <v>100</v>
      </c>
      <c r="AL183" s="26">
        <f t="shared" si="38"/>
        <v>153</v>
      </c>
      <c r="AM183" s="26">
        <f t="shared" si="39"/>
        <v>1418</v>
      </c>
      <c r="AP183" s="18">
        <v>179</v>
      </c>
      <c r="AQ183" s="26">
        <v>14</v>
      </c>
      <c r="AR183" s="18">
        <v>13</v>
      </c>
      <c r="AS183" s="15">
        <f t="shared" si="40"/>
        <v>2000</v>
      </c>
      <c r="AT183" s="15">
        <f t="shared" si="41"/>
        <v>5250</v>
      </c>
      <c r="AU183" s="15">
        <f t="shared" si="42"/>
        <v>108000</v>
      </c>
      <c r="AX183" s="18">
        <v>179</v>
      </c>
      <c r="AY183" s="26">
        <v>14</v>
      </c>
      <c r="AZ183" s="18">
        <v>14</v>
      </c>
      <c r="BA183" s="15">
        <f t="shared" si="43"/>
        <v>4000</v>
      </c>
      <c r="BB183" s="15">
        <f t="shared" si="44"/>
        <v>10500</v>
      </c>
      <c r="BC183" s="15">
        <f t="shared" si="45"/>
        <v>162000</v>
      </c>
    </row>
    <row r="184" spans="34:55" ht="16.5" x14ac:dyDescent="0.2">
      <c r="AH184" s="26">
        <v>180</v>
      </c>
      <c r="AI184" s="26">
        <v>14</v>
      </c>
      <c r="AJ184" s="26">
        <v>3</v>
      </c>
      <c r="AK184" s="26">
        <f t="shared" si="37"/>
        <v>100</v>
      </c>
      <c r="AL184" s="26">
        <f t="shared" si="38"/>
        <v>155</v>
      </c>
      <c r="AM184" s="26">
        <f t="shared" si="39"/>
        <v>1448</v>
      </c>
      <c r="AP184" s="18">
        <v>180</v>
      </c>
      <c r="AQ184" s="26">
        <v>14</v>
      </c>
      <c r="AR184" s="18">
        <v>14</v>
      </c>
      <c r="AS184" s="15">
        <f t="shared" si="40"/>
        <v>2000</v>
      </c>
      <c r="AT184" s="15">
        <f t="shared" si="41"/>
        <v>5250</v>
      </c>
      <c r="AU184" s="15">
        <f t="shared" si="42"/>
        <v>108000</v>
      </c>
      <c r="AX184" s="18">
        <v>180</v>
      </c>
      <c r="AY184" s="26">
        <v>14</v>
      </c>
      <c r="AZ184" s="18">
        <v>15</v>
      </c>
      <c r="BA184" s="15">
        <f t="shared" si="43"/>
        <v>4000</v>
      </c>
      <c r="BB184" s="15">
        <f t="shared" si="44"/>
        <v>10500</v>
      </c>
      <c r="BC184" s="15">
        <f t="shared" si="45"/>
        <v>162000</v>
      </c>
    </row>
    <row r="185" spans="34:55" ht="16.5" x14ac:dyDescent="0.2">
      <c r="AH185" s="26">
        <v>181</v>
      </c>
      <c r="AI185" s="26">
        <v>14</v>
      </c>
      <c r="AJ185" s="26">
        <v>4</v>
      </c>
      <c r="AK185" s="26">
        <f t="shared" si="37"/>
        <v>100</v>
      </c>
      <c r="AL185" s="26">
        <f t="shared" si="38"/>
        <v>156</v>
      </c>
      <c r="AM185" s="26">
        <f t="shared" si="39"/>
        <v>1477</v>
      </c>
      <c r="AP185" s="18">
        <v>181</v>
      </c>
      <c r="AQ185" s="26">
        <v>14</v>
      </c>
      <c r="AR185" s="18">
        <v>15</v>
      </c>
      <c r="AS185" s="15">
        <f t="shared" si="40"/>
        <v>2000</v>
      </c>
      <c r="AT185" s="15">
        <f t="shared" si="41"/>
        <v>5250</v>
      </c>
      <c r="AU185" s="15">
        <f t="shared" si="42"/>
        <v>108000</v>
      </c>
      <c r="AX185" s="18">
        <v>181</v>
      </c>
      <c r="AY185" s="26">
        <v>15</v>
      </c>
      <c r="AZ185" s="18">
        <v>1</v>
      </c>
      <c r="BA185" s="15">
        <f t="shared" si="43"/>
        <v>5000</v>
      </c>
      <c r="BB185" s="15">
        <f t="shared" si="44"/>
        <v>12000</v>
      </c>
      <c r="BC185" s="15">
        <f t="shared" si="45"/>
        <v>225000</v>
      </c>
    </row>
    <row r="186" spans="34:55" ht="16.5" x14ac:dyDescent="0.2">
      <c r="AH186" s="26">
        <v>182</v>
      </c>
      <c r="AI186" s="26">
        <v>14</v>
      </c>
      <c r="AJ186" s="26">
        <v>5</v>
      </c>
      <c r="AK186" s="26">
        <f t="shared" si="37"/>
        <v>100</v>
      </c>
      <c r="AL186" s="26">
        <f t="shared" si="38"/>
        <v>158</v>
      </c>
      <c r="AM186" s="26">
        <f t="shared" si="39"/>
        <v>1506</v>
      </c>
      <c r="AP186" s="18">
        <v>182</v>
      </c>
      <c r="AQ186" s="26">
        <v>15</v>
      </c>
      <c r="AR186" s="18">
        <v>1</v>
      </c>
      <c r="AS186" s="15">
        <f t="shared" si="40"/>
        <v>2500</v>
      </c>
      <c r="AT186" s="15">
        <f t="shared" si="41"/>
        <v>6000</v>
      </c>
      <c r="AU186" s="15">
        <f t="shared" si="42"/>
        <v>150000</v>
      </c>
      <c r="AX186" s="18">
        <v>182</v>
      </c>
      <c r="AY186" s="26">
        <v>15</v>
      </c>
      <c r="AZ186" s="18">
        <v>2</v>
      </c>
      <c r="BA186" s="15">
        <f t="shared" si="43"/>
        <v>5000</v>
      </c>
      <c r="BB186" s="15">
        <f t="shared" si="44"/>
        <v>12000</v>
      </c>
      <c r="BC186" s="15">
        <f t="shared" si="45"/>
        <v>225000</v>
      </c>
    </row>
    <row r="187" spans="34:55" ht="16.5" x14ac:dyDescent="0.2">
      <c r="AH187" s="26">
        <v>183</v>
      </c>
      <c r="AI187" s="26">
        <v>14</v>
      </c>
      <c r="AJ187" s="26">
        <v>6</v>
      </c>
      <c r="AK187" s="26">
        <f t="shared" si="37"/>
        <v>100</v>
      </c>
      <c r="AL187" s="26">
        <f t="shared" si="38"/>
        <v>160</v>
      </c>
      <c r="AM187" s="26">
        <f t="shared" si="39"/>
        <v>1536</v>
      </c>
      <c r="AP187" s="18">
        <v>183</v>
      </c>
      <c r="AQ187" s="26">
        <v>15</v>
      </c>
      <c r="AR187" s="18">
        <v>2</v>
      </c>
      <c r="AS187" s="15">
        <f t="shared" si="40"/>
        <v>2500</v>
      </c>
      <c r="AT187" s="15">
        <f t="shared" si="41"/>
        <v>6000</v>
      </c>
      <c r="AU187" s="15">
        <f t="shared" si="42"/>
        <v>150000</v>
      </c>
      <c r="AX187" s="18">
        <v>183</v>
      </c>
      <c r="AY187" s="26">
        <v>15</v>
      </c>
      <c r="AZ187" s="18">
        <v>3</v>
      </c>
      <c r="BA187" s="15">
        <f t="shared" si="43"/>
        <v>5000</v>
      </c>
      <c r="BB187" s="15">
        <f t="shared" si="44"/>
        <v>12000</v>
      </c>
      <c r="BC187" s="15">
        <f t="shared" si="45"/>
        <v>225000</v>
      </c>
    </row>
    <row r="188" spans="34:55" ht="16.5" x14ac:dyDescent="0.2">
      <c r="AH188" s="26">
        <v>184</v>
      </c>
      <c r="AI188" s="26">
        <v>14</v>
      </c>
      <c r="AJ188" s="26">
        <v>7</v>
      </c>
      <c r="AK188" s="26">
        <f t="shared" si="37"/>
        <v>100</v>
      </c>
      <c r="AL188" s="26">
        <f t="shared" si="38"/>
        <v>161</v>
      </c>
      <c r="AM188" s="26">
        <f t="shared" si="39"/>
        <v>1565</v>
      </c>
      <c r="AP188" s="18">
        <v>184</v>
      </c>
      <c r="AQ188" s="26">
        <v>15</v>
      </c>
      <c r="AR188" s="18">
        <v>3</v>
      </c>
      <c r="AS188" s="15">
        <f t="shared" si="40"/>
        <v>2500</v>
      </c>
      <c r="AT188" s="15">
        <f t="shared" si="41"/>
        <v>6000</v>
      </c>
      <c r="AU188" s="15">
        <f t="shared" si="42"/>
        <v>150000</v>
      </c>
      <c r="AX188" s="18">
        <v>184</v>
      </c>
      <c r="AY188" s="26">
        <v>15</v>
      </c>
      <c r="AZ188" s="18">
        <v>4</v>
      </c>
      <c r="BA188" s="15">
        <f t="shared" si="43"/>
        <v>5000</v>
      </c>
      <c r="BB188" s="15">
        <f t="shared" si="44"/>
        <v>12000</v>
      </c>
      <c r="BC188" s="15">
        <f t="shared" si="45"/>
        <v>225000</v>
      </c>
    </row>
    <row r="189" spans="34:55" ht="16.5" x14ac:dyDescent="0.2">
      <c r="AH189" s="26">
        <v>185</v>
      </c>
      <c r="AI189" s="26">
        <v>14</v>
      </c>
      <c r="AJ189" s="26">
        <v>8</v>
      </c>
      <c r="AK189" s="26">
        <f t="shared" si="37"/>
        <v>100</v>
      </c>
      <c r="AL189" s="26">
        <f t="shared" si="38"/>
        <v>163</v>
      </c>
      <c r="AM189" s="26">
        <f t="shared" si="39"/>
        <v>1594</v>
      </c>
      <c r="AP189" s="18">
        <v>185</v>
      </c>
      <c r="AQ189" s="26">
        <v>15</v>
      </c>
      <c r="AR189" s="18">
        <v>4</v>
      </c>
      <c r="AS189" s="15">
        <f t="shared" si="40"/>
        <v>2500</v>
      </c>
      <c r="AT189" s="15">
        <f t="shared" si="41"/>
        <v>6000</v>
      </c>
      <c r="AU189" s="15">
        <f t="shared" si="42"/>
        <v>150000</v>
      </c>
      <c r="AX189" s="18">
        <v>185</v>
      </c>
      <c r="AY189" s="26">
        <v>15</v>
      </c>
      <c r="AZ189" s="18">
        <v>5</v>
      </c>
      <c r="BA189" s="15">
        <f t="shared" si="43"/>
        <v>5000</v>
      </c>
      <c r="BB189" s="15">
        <f t="shared" si="44"/>
        <v>12000</v>
      </c>
      <c r="BC189" s="15">
        <f t="shared" si="45"/>
        <v>225000</v>
      </c>
    </row>
    <row r="190" spans="34:55" ht="16.5" x14ac:dyDescent="0.2">
      <c r="AH190" s="26">
        <v>186</v>
      </c>
      <c r="AI190" s="26">
        <v>14</v>
      </c>
      <c r="AJ190" s="26">
        <v>9</v>
      </c>
      <c r="AK190" s="26">
        <f t="shared" si="37"/>
        <v>100</v>
      </c>
      <c r="AL190" s="26">
        <f t="shared" si="38"/>
        <v>165</v>
      </c>
      <c r="AM190" s="26">
        <f t="shared" si="39"/>
        <v>1624</v>
      </c>
      <c r="AP190" s="18">
        <v>186</v>
      </c>
      <c r="AQ190" s="26">
        <v>15</v>
      </c>
      <c r="AR190" s="18">
        <v>5</v>
      </c>
      <c r="AS190" s="15">
        <f t="shared" si="40"/>
        <v>2500</v>
      </c>
      <c r="AT190" s="15">
        <f t="shared" si="41"/>
        <v>6000</v>
      </c>
      <c r="AU190" s="15">
        <f t="shared" si="42"/>
        <v>150000</v>
      </c>
      <c r="AX190" s="18">
        <v>186</v>
      </c>
      <c r="AY190" s="26">
        <v>15</v>
      </c>
      <c r="AZ190" s="18">
        <v>6</v>
      </c>
      <c r="BA190" s="15">
        <f t="shared" si="43"/>
        <v>5000</v>
      </c>
      <c r="BB190" s="15">
        <f t="shared" si="44"/>
        <v>12000</v>
      </c>
      <c r="BC190" s="15">
        <f t="shared" si="45"/>
        <v>225000</v>
      </c>
    </row>
    <row r="191" spans="34:55" ht="16.5" x14ac:dyDescent="0.2">
      <c r="AH191" s="26">
        <v>187</v>
      </c>
      <c r="AI191" s="26">
        <v>14</v>
      </c>
      <c r="AJ191" s="26">
        <v>10</v>
      </c>
      <c r="AK191" s="26">
        <f t="shared" si="37"/>
        <v>100</v>
      </c>
      <c r="AL191" s="26">
        <f t="shared" si="38"/>
        <v>166</v>
      </c>
      <c r="AM191" s="26">
        <f t="shared" si="39"/>
        <v>1653</v>
      </c>
      <c r="AP191" s="18">
        <v>187</v>
      </c>
      <c r="AQ191" s="26">
        <v>15</v>
      </c>
      <c r="AR191" s="18">
        <v>6</v>
      </c>
      <c r="AS191" s="15">
        <f t="shared" si="40"/>
        <v>2500</v>
      </c>
      <c r="AT191" s="15">
        <f t="shared" si="41"/>
        <v>6000</v>
      </c>
      <c r="AU191" s="15">
        <f t="shared" si="42"/>
        <v>150000</v>
      </c>
      <c r="AX191" s="18">
        <v>187</v>
      </c>
      <c r="AY191" s="26">
        <v>15</v>
      </c>
      <c r="AZ191" s="18">
        <v>7</v>
      </c>
      <c r="BA191" s="15">
        <f t="shared" si="43"/>
        <v>5000</v>
      </c>
      <c r="BB191" s="15">
        <f t="shared" si="44"/>
        <v>12000</v>
      </c>
      <c r="BC191" s="15">
        <f t="shared" si="45"/>
        <v>225000</v>
      </c>
    </row>
    <row r="192" spans="34:55" ht="16.5" x14ac:dyDescent="0.2">
      <c r="AH192" s="26">
        <v>188</v>
      </c>
      <c r="AI192" s="26">
        <v>14</v>
      </c>
      <c r="AJ192" s="26">
        <v>11</v>
      </c>
      <c r="AK192" s="26">
        <f t="shared" si="37"/>
        <v>100</v>
      </c>
      <c r="AL192" s="26">
        <f t="shared" si="38"/>
        <v>168</v>
      </c>
      <c r="AM192" s="26">
        <f t="shared" si="39"/>
        <v>1682</v>
      </c>
      <c r="AP192" s="18">
        <v>188</v>
      </c>
      <c r="AQ192" s="26">
        <v>15</v>
      </c>
      <c r="AR192" s="18">
        <v>7</v>
      </c>
      <c r="AS192" s="15">
        <f t="shared" si="40"/>
        <v>2500</v>
      </c>
      <c r="AT192" s="15">
        <f t="shared" si="41"/>
        <v>6000</v>
      </c>
      <c r="AU192" s="15">
        <f t="shared" si="42"/>
        <v>150000</v>
      </c>
      <c r="AX192" s="18">
        <v>188</v>
      </c>
      <c r="AY192" s="26">
        <v>15</v>
      </c>
      <c r="AZ192" s="18">
        <v>8</v>
      </c>
      <c r="BA192" s="15">
        <f t="shared" si="43"/>
        <v>5000</v>
      </c>
      <c r="BB192" s="15">
        <f t="shared" si="44"/>
        <v>12000</v>
      </c>
      <c r="BC192" s="15">
        <f t="shared" si="45"/>
        <v>225000</v>
      </c>
    </row>
    <row r="193" spans="34:55" ht="16.5" x14ac:dyDescent="0.2">
      <c r="AH193" s="26">
        <v>189</v>
      </c>
      <c r="AI193" s="26">
        <v>14</v>
      </c>
      <c r="AJ193" s="26">
        <v>12</v>
      </c>
      <c r="AK193" s="26">
        <f t="shared" si="37"/>
        <v>100</v>
      </c>
      <c r="AL193" s="26">
        <f t="shared" si="38"/>
        <v>170</v>
      </c>
      <c r="AM193" s="26">
        <f t="shared" si="39"/>
        <v>1712</v>
      </c>
      <c r="AP193" s="18">
        <v>189</v>
      </c>
      <c r="AQ193" s="26">
        <v>15</v>
      </c>
      <c r="AR193" s="18">
        <v>8</v>
      </c>
      <c r="AS193" s="15">
        <f t="shared" si="40"/>
        <v>2500</v>
      </c>
      <c r="AT193" s="15">
        <f t="shared" si="41"/>
        <v>6000</v>
      </c>
      <c r="AU193" s="15">
        <f t="shared" si="42"/>
        <v>150000</v>
      </c>
      <c r="AX193" s="18">
        <v>189</v>
      </c>
      <c r="AY193" s="26">
        <v>15</v>
      </c>
      <c r="AZ193" s="18">
        <v>9</v>
      </c>
      <c r="BA193" s="15">
        <f t="shared" si="43"/>
        <v>5000</v>
      </c>
      <c r="BB193" s="15">
        <f t="shared" si="44"/>
        <v>12000</v>
      </c>
      <c r="BC193" s="15">
        <f t="shared" si="45"/>
        <v>225000</v>
      </c>
    </row>
    <row r="194" spans="34:55" ht="16.5" x14ac:dyDescent="0.2">
      <c r="AH194" s="26">
        <v>190</v>
      </c>
      <c r="AI194" s="26">
        <v>14</v>
      </c>
      <c r="AJ194" s="26">
        <v>13</v>
      </c>
      <c r="AK194" s="26">
        <f t="shared" si="37"/>
        <v>100</v>
      </c>
      <c r="AL194" s="26">
        <f t="shared" si="38"/>
        <v>171</v>
      </c>
      <c r="AM194" s="26">
        <f t="shared" si="39"/>
        <v>1741</v>
      </c>
      <c r="AP194" s="18">
        <v>190</v>
      </c>
      <c r="AQ194" s="26">
        <v>15</v>
      </c>
      <c r="AR194" s="18">
        <v>9</v>
      </c>
      <c r="AS194" s="15">
        <f t="shared" si="40"/>
        <v>2500</v>
      </c>
      <c r="AT194" s="15">
        <f t="shared" si="41"/>
        <v>6000</v>
      </c>
      <c r="AU194" s="15">
        <f t="shared" si="42"/>
        <v>150000</v>
      </c>
      <c r="AX194" s="18">
        <v>190</v>
      </c>
      <c r="AY194" s="26">
        <v>15</v>
      </c>
      <c r="AZ194" s="18">
        <v>10</v>
      </c>
      <c r="BA194" s="15">
        <f t="shared" si="43"/>
        <v>5000</v>
      </c>
      <c r="BB194" s="15">
        <f t="shared" si="44"/>
        <v>12000</v>
      </c>
      <c r="BC194" s="15">
        <f t="shared" si="45"/>
        <v>225000</v>
      </c>
    </row>
    <row r="195" spans="34:55" ht="16.5" x14ac:dyDescent="0.2">
      <c r="AH195" s="26">
        <v>191</v>
      </c>
      <c r="AI195" s="26">
        <v>14</v>
      </c>
      <c r="AJ195" s="26">
        <v>14</v>
      </c>
      <c r="AK195" s="26">
        <f t="shared" si="37"/>
        <v>100</v>
      </c>
      <c r="AL195" s="26">
        <f t="shared" si="38"/>
        <v>173</v>
      </c>
      <c r="AM195" s="26">
        <f t="shared" si="39"/>
        <v>1770</v>
      </c>
      <c r="AP195" s="18">
        <v>191</v>
      </c>
      <c r="AQ195" s="26">
        <v>15</v>
      </c>
      <c r="AR195" s="18">
        <v>10</v>
      </c>
      <c r="AS195" s="15">
        <f t="shared" si="40"/>
        <v>2500</v>
      </c>
      <c r="AT195" s="15">
        <f t="shared" si="41"/>
        <v>6000</v>
      </c>
      <c r="AU195" s="15">
        <f t="shared" si="42"/>
        <v>150000</v>
      </c>
      <c r="AX195" s="18">
        <v>191</v>
      </c>
      <c r="AY195" s="26">
        <v>15</v>
      </c>
      <c r="AZ195" s="18">
        <v>11</v>
      </c>
      <c r="BA195" s="15">
        <f t="shared" si="43"/>
        <v>5000</v>
      </c>
      <c r="BB195" s="15">
        <f t="shared" si="44"/>
        <v>12000</v>
      </c>
      <c r="BC195" s="15">
        <f t="shared" si="45"/>
        <v>225000</v>
      </c>
    </row>
    <row r="196" spans="34:55" ht="16.5" x14ac:dyDescent="0.2">
      <c r="AH196" s="26">
        <v>192</v>
      </c>
      <c r="AI196" s="26">
        <v>14</v>
      </c>
      <c r="AJ196" s="26">
        <v>15</v>
      </c>
      <c r="AK196" s="26">
        <f t="shared" si="37"/>
        <v>100</v>
      </c>
      <c r="AL196" s="26">
        <f t="shared" si="38"/>
        <v>175</v>
      </c>
      <c r="AM196" s="26">
        <f t="shared" si="39"/>
        <v>1800</v>
      </c>
      <c r="AP196" s="18">
        <v>192</v>
      </c>
      <c r="AQ196" s="26">
        <v>15</v>
      </c>
      <c r="AR196" s="18">
        <v>11</v>
      </c>
      <c r="AS196" s="15">
        <f t="shared" si="40"/>
        <v>2500</v>
      </c>
      <c r="AT196" s="15">
        <f t="shared" si="41"/>
        <v>6000</v>
      </c>
      <c r="AU196" s="15">
        <f t="shared" si="42"/>
        <v>150000</v>
      </c>
      <c r="AX196" s="18">
        <v>192</v>
      </c>
      <c r="AY196" s="26">
        <v>15</v>
      </c>
      <c r="AZ196" s="18">
        <v>12</v>
      </c>
      <c r="BA196" s="15">
        <f t="shared" si="43"/>
        <v>5000</v>
      </c>
      <c r="BB196" s="15">
        <f t="shared" si="44"/>
        <v>12000</v>
      </c>
      <c r="BC196" s="15">
        <f t="shared" si="45"/>
        <v>225000</v>
      </c>
    </row>
    <row r="197" spans="34:55" ht="16.5" x14ac:dyDescent="0.2">
      <c r="AH197" s="26">
        <v>193</v>
      </c>
      <c r="AI197" s="26">
        <v>15</v>
      </c>
      <c r="AJ197" s="26">
        <v>1</v>
      </c>
      <c r="AK197" s="26">
        <f t="shared" ref="AK197:AK211" si="46">INDEX($C$6:$C$20,AI197)</f>
        <v>125</v>
      </c>
      <c r="AL197" s="26">
        <f t="shared" ref="AL197:AL211" si="47">INT(INDEX($E$5:$E$20,AI197)+AJ197*INDEX($F$6:$F$20,AI197))</f>
        <v>176</v>
      </c>
      <c r="AM197" s="26">
        <f t="shared" si="39"/>
        <v>1846</v>
      </c>
      <c r="AP197" s="18">
        <v>193</v>
      </c>
      <c r="AQ197" s="26">
        <v>15</v>
      </c>
      <c r="AR197" s="18">
        <v>12</v>
      </c>
      <c r="AS197" s="15">
        <f t="shared" si="40"/>
        <v>2500</v>
      </c>
      <c r="AT197" s="15">
        <f t="shared" si="41"/>
        <v>6000</v>
      </c>
      <c r="AU197" s="15">
        <f t="shared" si="42"/>
        <v>150000</v>
      </c>
      <c r="AX197" s="18">
        <v>193</v>
      </c>
      <c r="AY197" s="26">
        <v>15</v>
      </c>
      <c r="AZ197" s="18">
        <v>13</v>
      </c>
      <c r="BA197" s="15">
        <f t="shared" si="43"/>
        <v>5000</v>
      </c>
      <c r="BB197" s="15">
        <f t="shared" si="44"/>
        <v>12000</v>
      </c>
      <c r="BC197" s="15">
        <f t="shared" si="45"/>
        <v>225000</v>
      </c>
    </row>
    <row r="198" spans="34:55" ht="16.5" x14ac:dyDescent="0.2">
      <c r="AH198" s="26">
        <v>194</v>
      </c>
      <c r="AI198" s="26">
        <v>15</v>
      </c>
      <c r="AJ198" s="26">
        <v>2</v>
      </c>
      <c r="AK198" s="26">
        <f t="shared" si="46"/>
        <v>125</v>
      </c>
      <c r="AL198" s="26">
        <f t="shared" si="47"/>
        <v>178</v>
      </c>
      <c r="AM198" s="26">
        <f t="shared" ref="AM198:AM211" si="48">INT(INDEX($H$5:$H$20,AI198)+AJ198*INDEX($I$6:$I$20,AI198))</f>
        <v>1893</v>
      </c>
      <c r="AP198" s="18">
        <v>194</v>
      </c>
      <c r="AQ198" s="26">
        <v>15</v>
      </c>
      <c r="AR198" s="18">
        <v>13</v>
      </c>
      <c r="AS198" s="15">
        <f t="shared" ref="AS198:AS200" si="49">INDEX($N$6:$N$20,AQ198)</f>
        <v>2500</v>
      </c>
      <c r="AT198" s="15">
        <f t="shared" ref="AT198:AT200" si="50">INDEX($P$6:$P$20,AQ198)</f>
        <v>6000</v>
      </c>
      <c r="AU198" s="15">
        <f t="shared" ref="AU198:AU200" si="51">INDEX($R$6:$R$20,AQ198)</f>
        <v>150000</v>
      </c>
      <c r="AX198" s="18">
        <v>194</v>
      </c>
      <c r="AY198" s="26">
        <v>15</v>
      </c>
      <c r="AZ198" s="18">
        <v>14</v>
      </c>
      <c r="BA198" s="15">
        <f t="shared" ref="BA198:BA199" si="52">INDEX($Y$6:$Y$20,AY198)</f>
        <v>5000</v>
      </c>
      <c r="BB198" s="15">
        <f t="shared" ref="BB198:BB199" si="53">INDEX($AA$6:$AA$20,AY198)</f>
        <v>12000</v>
      </c>
      <c r="BC198" s="15">
        <f t="shared" ref="BC198:BC199" si="54">INDEX($AC$6:$AC$20,AY198)</f>
        <v>225000</v>
      </c>
    </row>
    <row r="199" spans="34:55" ht="16.5" x14ac:dyDescent="0.2">
      <c r="AH199" s="26">
        <v>195</v>
      </c>
      <c r="AI199" s="26">
        <v>15</v>
      </c>
      <c r="AJ199" s="26">
        <v>3</v>
      </c>
      <c r="AK199" s="26">
        <f t="shared" si="46"/>
        <v>125</v>
      </c>
      <c r="AL199" s="26">
        <f t="shared" si="47"/>
        <v>180</v>
      </c>
      <c r="AM199" s="26">
        <f t="shared" si="48"/>
        <v>1940</v>
      </c>
      <c r="AP199" s="18">
        <v>195</v>
      </c>
      <c r="AQ199" s="26">
        <v>15</v>
      </c>
      <c r="AR199" s="18">
        <v>14</v>
      </c>
      <c r="AS199" s="15">
        <f t="shared" si="49"/>
        <v>2500</v>
      </c>
      <c r="AT199" s="15">
        <f t="shared" si="50"/>
        <v>6000</v>
      </c>
      <c r="AU199" s="15">
        <f t="shared" si="51"/>
        <v>150000</v>
      </c>
      <c r="AX199" s="18">
        <v>195</v>
      </c>
      <c r="AY199" s="26">
        <v>15</v>
      </c>
      <c r="AZ199" s="18">
        <v>15</v>
      </c>
      <c r="BA199" s="15">
        <f t="shared" si="52"/>
        <v>5000</v>
      </c>
      <c r="BB199" s="15">
        <f t="shared" si="53"/>
        <v>12000</v>
      </c>
      <c r="BC199" s="15">
        <f t="shared" si="54"/>
        <v>225000</v>
      </c>
    </row>
    <row r="200" spans="34:55" ht="16.5" x14ac:dyDescent="0.2">
      <c r="AH200" s="26">
        <v>196</v>
      </c>
      <c r="AI200" s="26">
        <v>15</v>
      </c>
      <c r="AJ200" s="26">
        <v>4</v>
      </c>
      <c r="AK200" s="26">
        <f t="shared" si="46"/>
        <v>125</v>
      </c>
      <c r="AL200" s="26">
        <f t="shared" si="47"/>
        <v>181</v>
      </c>
      <c r="AM200" s="26">
        <f t="shared" si="48"/>
        <v>1986</v>
      </c>
      <c r="AP200" s="18">
        <v>196</v>
      </c>
      <c r="AQ200" s="26">
        <v>15</v>
      </c>
      <c r="AR200" s="18">
        <v>15</v>
      </c>
      <c r="AS200" s="15">
        <f t="shared" si="49"/>
        <v>2500</v>
      </c>
      <c r="AT200" s="15">
        <f t="shared" si="50"/>
        <v>6000</v>
      </c>
      <c r="AU200" s="15">
        <f t="shared" si="51"/>
        <v>150000</v>
      </c>
      <c r="AX200" s="16"/>
      <c r="AY200" s="16"/>
      <c r="AZ200" s="16"/>
      <c r="BA200" s="16"/>
      <c r="BB200" s="16"/>
      <c r="BC200" s="16"/>
    </row>
    <row r="201" spans="34:55" ht="16.5" x14ac:dyDescent="0.2">
      <c r="AH201" s="26">
        <v>197</v>
      </c>
      <c r="AI201" s="26">
        <v>15</v>
      </c>
      <c r="AJ201" s="26">
        <v>5</v>
      </c>
      <c r="AK201" s="26">
        <f t="shared" si="46"/>
        <v>125</v>
      </c>
      <c r="AL201" s="26">
        <f t="shared" si="47"/>
        <v>183</v>
      </c>
      <c r="AM201" s="26">
        <f t="shared" si="48"/>
        <v>2033</v>
      </c>
      <c r="AP201" s="16"/>
      <c r="AQ201" s="16"/>
      <c r="AR201" s="16"/>
      <c r="AS201" s="16"/>
      <c r="AT201" s="16"/>
      <c r="AU201" s="16"/>
      <c r="AX201" s="16"/>
      <c r="AY201" s="16"/>
      <c r="AZ201" s="16"/>
      <c r="BA201" s="16"/>
      <c r="BB201" s="16"/>
      <c r="BC201" s="16"/>
    </row>
    <row r="202" spans="34:55" ht="16.5" x14ac:dyDescent="0.2">
      <c r="AH202" s="26">
        <v>198</v>
      </c>
      <c r="AI202" s="26">
        <v>15</v>
      </c>
      <c r="AJ202" s="26">
        <v>6</v>
      </c>
      <c r="AK202" s="26">
        <f t="shared" si="46"/>
        <v>125</v>
      </c>
      <c r="AL202" s="26">
        <f t="shared" si="47"/>
        <v>185</v>
      </c>
      <c r="AM202" s="26">
        <f t="shared" si="48"/>
        <v>2080</v>
      </c>
      <c r="AP202" s="16"/>
      <c r="AQ202" s="16"/>
      <c r="AR202" s="16"/>
      <c r="AS202" s="16"/>
      <c r="AT202" s="16"/>
      <c r="AU202" s="16"/>
      <c r="AX202" s="16"/>
      <c r="AY202" s="16"/>
      <c r="AZ202" s="16"/>
      <c r="BA202" s="16"/>
      <c r="BB202" s="16"/>
      <c r="BC202" s="16"/>
    </row>
    <row r="203" spans="34:55" ht="16.5" x14ac:dyDescent="0.2">
      <c r="AH203" s="26">
        <v>199</v>
      </c>
      <c r="AI203" s="26">
        <v>15</v>
      </c>
      <c r="AJ203" s="26">
        <v>7</v>
      </c>
      <c r="AK203" s="26">
        <f t="shared" si="46"/>
        <v>125</v>
      </c>
      <c r="AL203" s="26">
        <f t="shared" si="47"/>
        <v>186</v>
      </c>
      <c r="AM203" s="26">
        <f t="shared" si="48"/>
        <v>2126</v>
      </c>
      <c r="AP203" s="16"/>
      <c r="AQ203" s="16"/>
      <c r="AR203" s="16"/>
      <c r="AS203" s="16"/>
      <c r="AT203" s="16"/>
      <c r="AU203" s="16"/>
      <c r="AX203" s="16"/>
      <c r="AY203" s="16"/>
      <c r="AZ203" s="16"/>
      <c r="BA203" s="16"/>
      <c r="BB203" s="16"/>
      <c r="BC203" s="16"/>
    </row>
    <row r="204" spans="34:55" ht="16.5" x14ac:dyDescent="0.2">
      <c r="AH204" s="26">
        <v>200</v>
      </c>
      <c r="AI204" s="26">
        <v>15</v>
      </c>
      <c r="AJ204" s="26">
        <v>8</v>
      </c>
      <c r="AK204" s="26">
        <f t="shared" si="46"/>
        <v>125</v>
      </c>
      <c r="AL204" s="26">
        <f t="shared" si="47"/>
        <v>188</v>
      </c>
      <c r="AM204" s="26">
        <f t="shared" si="48"/>
        <v>2173</v>
      </c>
      <c r="AP204" s="16"/>
      <c r="AQ204" s="16"/>
      <c r="AR204" s="16"/>
      <c r="AS204" s="16"/>
      <c r="AT204" s="16"/>
      <c r="AU204" s="16"/>
      <c r="AX204" s="16"/>
      <c r="AY204" s="16"/>
      <c r="AZ204" s="16"/>
      <c r="BA204" s="16"/>
      <c r="BB204" s="16"/>
      <c r="BC204" s="16"/>
    </row>
    <row r="205" spans="34:55" ht="16.5" x14ac:dyDescent="0.2">
      <c r="AH205" s="26">
        <v>201</v>
      </c>
      <c r="AI205" s="26">
        <v>15</v>
      </c>
      <c r="AJ205" s="26">
        <v>9</v>
      </c>
      <c r="AK205" s="26">
        <f t="shared" si="46"/>
        <v>125</v>
      </c>
      <c r="AL205" s="26">
        <f t="shared" si="47"/>
        <v>190</v>
      </c>
      <c r="AM205" s="26">
        <f t="shared" si="48"/>
        <v>2220</v>
      </c>
      <c r="AP205" s="16"/>
      <c r="AQ205" s="16"/>
      <c r="AR205" s="16"/>
      <c r="AS205" s="16"/>
      <c r="AT205" s="16"/>
      <c r="AU205" s="16"/>
      <c r="AX205" s="16"/>
      <c r="AY205" s="16"/>
      <c r="AZ205" s="16"/>
      <c r="BA205" s="16"/>
      <c r="BB205" s="16"/>
      <c r="BC205" s="16"/>
    </row>
    <row r="206" spans="34:55" ht="16.5" x14ac:dyDescent="0.2">
      <c r="AH206" s="26">
        <v>202</v>
      </c>
      <c r="AI206" s="26">
        <v>15</v>
      </c>
      <c r="AJ206" s="26">
        <v>10</v>
      </c>
      <c r="AK206" s="26">
        <f t="shared" si="46"/>
        <v>125</v>
      </c>
      <c r="AL206" s="26">
        <f t="shared" si="47"/>
        <v>191</v>
      </c>
      <c r="AM206" s="26">
        <f t="shared" si="48"/>
        <v>2266</v>
      </c>
      <c r="AP206" s="16"/>
      <c r="AQ206" s="16"/>
      <c r="AR206" s="16"/>
      <c r="AS206" s="16"/>
      <c r="AT206" s="16"/>
      <c r="AU206" s="16"/>
      <c r="AX206" s="16"/>
      <c r="AY206" s="16"/>
      <c r="AZ206" s="16"/>
      <c r="BA206" s="16"/>
      <c r="BB206" s="16"/>
      <c r="BC206" s="16"/>
    </row>
    <row r="207" spans="34:55" ht="16.5" x14ac:dyDescent="0.2">
      <c r="AH207" s="26">
        <v>203</v>
      </c>
      <c r="AI207" s="26">
        <v>15</v>
      </c>
      <c r="AJ207" s="26">
        <v>11</v>
      </c>
      <c r="AK207" s="26">
        <f t="shared" si="46"/>
        <v>125</v>
      </c>
      <c r="AL207" s="26">
        <f t="shared" si="47"/>
        <v>193</v>
      </c>
      <c r="AM207" s="26">
        <f t="shared" si="48"/>
        <v>2313</v>
      </c>
      <c r="AP207" s="16"/>
      <c r="AQ207" s="16"/>
      <c r="AR207" s="16"/>
      <c r="AS207" s="16"/>
      <c r="AT207" s="16"/>
      <c r="AU207" s="16"/>
      <c r="AX207" s="16"/>
      <c r="AY207" s="16"/>
      <c r="AZ207" s="16"/>
      <c r="BA207" s="16"/>
      <c r="BB207" s="16"/>
      <c r="BC207" s="16"/>
    </row>
    <row r="208" spans="34:55" ht="16.5" x14ac:dyDescent="0.2">
      <c r="AH208" s="26">
        <v>204</v>
      </c>
      <c r="AI208" s="26">
        <v>15</v>
      </c>
      <c r="AJ208" s="26">
        <v>12</v>
      </c>
      <c r="AK208" s="26">
        <f t="shared" si="46"/>
        <v>125</v>
      </c>
      <c r="AL208" s="26">
        <f t="shared" si="47"/>
        <v>195</v>
      </c>
      <c r="AM208" s="26">
        <f t="shared" si="48"/>
        <v>2360</v>
      </c>
      <c r="AP208" s="16"/>
      <c r="AQ208" s="16"/>
      <c r="AR208" s="16"/>
      <c r="AS208" s="16"/>
      <c r="AT208" s="16"/>
      <c r="AU208" s="16"/>
      <c r="AX208" s="16"/>
      <c r="AY208" s="16"/>
      <c r="AZ208" s="16"/>
      <c r="BA208" s="16"/>
      <c r="BB208" s="16"/>
      <c r="BC208" s="16"/>
    </row>
    <row r="209" spans="34:55" ht="16.5" x14ac:dyDescent="0.2">
      <c r="AH209" s="26">
        <v>205</v>
      </c>
      <c r="AI209" s="26">
        <v>15</v>
      </c>
      <c r="AJ209" s="26">
        <v>13</v>
      </c>
      <c r="AK209" s="26">
        <f t="shared" si="46"/>
        <v>125</v>
      </c>
      <c r="AL209" s="26">
        <f t="shared" si="47"/>
        <v>196</v>
      </c>
      <c r="AM209" s="26">
        <f t="shared" si="48"/>
        <v>2406</v>
      </c>
      <c r="AP209" s="16"/>
      <c r="AQ209" s="16"/>
      <c r="AR209" s="16"/>
      <c r="AS209" s="16"/>
      <c r="AT209" s="16"/>
      <c r="AU209" s="16"/>
      <c r="AX209" s="16"/>
      <c r="AY209" s="16"/>
      <c r="AZ209" s="16"/>
      <c r="BA209" s="16"/>
      <c r="BB209" s="16"/>
      <c r="BC209" s="16"/>
    </row>
    <row r="210" spans="34:55" ht="16.5" x14ac:dyDescent="0.2">
      <c r="AH210" s="26">
        <v>206</v>
      </c>
      <c r="AI210" s="26">
        <v>15</v>
      </c>
      <c r="AJ210" s="26">
        <v>14</v>
      </c>
      <c r="AK210" s="26">
        <f t="shared" si="46"/>
        <v>125</v>
      </c>
      <c r="AL210" s="26">
        <f t="shared" si="47"/>
        <v>198</v>
      </c>
      <c r="AM210" s="26">
        <f t="shared" si="48"/>
        <v>2453</v>
      </c>
      <c r="AP210" s="16"/>
      <c r="AQ210" s="16"/>
      <c r="AR210" s="16"/>
      <c r="AS210" s="16"/>
      <c r="AT210" s="16"/>
      <c r="AU210" s="16"/>
      <c r="AX210" s="16"/>
      <c r="AY210" s="16"/>
      <c r="AZ210" s="16"/>
      <c r="BA210" s="16"/>
      <c r="BB210" s="16"/>
      <c r="BC210" s="16"/>
    </row>
    <row r="211" spans="34:55" ht="16.5" x14ac:dyDescent="0.2">
      <c r="AH211" s="26">
        <v>207</v>
      </c>
      <c r="AI211" s="26">
        <v>15</v>
      </c>
      <c r="AJ211" s="26">
        <v>15</v>
      </c>
      <c r="AK211" s="26">
        <f t="shared" si="46"/>
        <v>125</v>
      </c>
      <c r="AL211" s="26">
        <f t="shared" si="47"/>
        <v>200</v>
      </c>
      <c r="AM211" s="26">
        <f t="shared" si="48"/>
        <v>2500</v>
      </c>
      <c r="AP211" s="16"/>
      <c r="AQ211" s="16"/>
      <c r="AR211" s="16"/>
      <c r="AS211" s="16"/>
      <c r="AT211" s="16"/>
      <c r="AU211" s="16"/>
      <c r="AX211" s="16"/>
      <c r="AY211" s="16"/>
      <c r="AZ211" s="16"/>
      <c r="BA211" s="16"/>
      <c r="BB211" s="16"/>
      <c r="BC211" s="16"/>
    </row>
    <row r="212" spans="34:55" x14ac:dyDescent="0.2">
      <c r="AP212" s="16"/>
      <c r="AQ212" s="16"/>
      <c r="AR212" s="16"/>
      <c r="AS212" s="16"/>
      <c r="AT212" s="16"/>
      <c r="AU212" s="16"/>
      <c r="AX212" s="16"/>
      <c r="AY212" s="16"/>
      <c r="AZ212" s="16"/>
      <c r="BA212" s="16"/>
      <c r="BB212" s="16"/>
      <c r="BC212" s="16"/>
    </row>
    <row r="213" spans="34:55" x14ac:dyDescent="0.2">
      <c r="AP213" s="16"/>
      <c r="AQ213" s="16"/>
      <c r="AR213" s="16"/>
      <c r="AS213" s="16"/>
      <c r="AT213" s="16"/>
      <c r="AU213" s="16"/>
      <c r="AX213" s="16"/>
      <c r="AY213" s="16"/>
      <c r="AZ213" s="16"/>
      <c r="BA213" s="16"/>
      <c r="BB213" s="16"/>
      <c r="BC213" s="16"/>
    </row>
    <row r="214" spans="34:55" x14ac:dyDescent="0.2">
      <c r="AP214" s="16"/>
      <c r="AQ214" s="16"/>
      <c r="AR214" s="16"/>
      <c r="AS214" s="16"/>
      <c r="AT214" s="16"/>
      <c r="AU214" s="16"/>
      <c r="AX214" s="16"/>
      <c r="AY214" s="16"/>
      <c r="AZ214" s="16"/>
      <c r="BA214" s="16"/>
      <c r="BB214" s="16"/>
      <c r="BC214" s="16"/>
    </row>
    <row r="215" spans="34:55" x14ac:dyDescent="0.2">
      <c r="AP215" s="16"/>
      <c r="AQ215" s="16"/>
      <c r="AR215" s="16"/>
      <c r="AS215" s="16"/>
      <c r="AT215" s="16"/>
      <c r="AU215" s="16"/>
    </row>
  </sheetData>
  <mergeCells count="8">
    <mergeCell ref="A23:K23"/>
    <mergeCell ref="M23:U23"/>
    <mergeCell ref="AX3:BC3"/>
    <mergeCell ref="AH3:AM3"/>
    <mergeCell ref="A3:I3"/>
    <mergeCell ref="AP3:AU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3"/>
  <sheetViews>
    <sheetView topLeftCell="A19" workbookViewId="0">
      <selection activeCell="B111" sqref="B111:B120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20" ht="20.25" x14ac:dyDescent="0.2">
      <c r="A2" s="84" t="s">
        <v>82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</row>
    <row r="3" spans="1:20" x14ac:dyDescent="0.2">
      <c r="N3">
        <f>SUM(N5:N13)</f>
        <v>21.5</v>
      </c>
    </row>
    <row r="4" spans="1:20" ht="17.25" x14ac:dyDescent="0.2">
      <c r="A4" s="12" t="s">
        <v>37</v>
      </c>
      <c r="B4" s="12" t="s">
        <v>38</v>
      </c>
      <c r="I4" s="27" t="s">
        <v>184</v>
      </c>
      <c r="J4" s="26">
        <v>1</v>
      </c>
      <c r="N4" s="12" t="s">
        <v>51</v>
      </c>
      <c r="O4" s="12" t="s">
        <v>49</v>
      </c>
      <c r="P4" s="12" t="s">
        <v>50</v>
      </c>
      <c r="T4" s="16"/>
    </row>
    <row r="5" spans="1:20" ht="16.5" customHeight="1" x14ac:dyDescent="0.2">
      <c r="A5" s="18">
        <v>1</v>
      </c>
      <c r="B5" s="18">
        <v>75</v>
      </c>
      <c r="D5" s="86" t="s">
        <v>43</v>
      </c>
      <c r="E5" s="86"/>
      <c r="F5" s="86"/>
      <c r="G5" s="86"/>
      <c r="I5" s="14" t="s">
        <v>44</v>
      </c>
      <c r="J5" s="15">
        <f>SUMIFS(章节关卡!$AS$5:$AS$200,章节关卡!$AQ$5:$AQ$200,"="&amp;分段产出计算!J4)</f>
        <v>700</v>
      </c>
      <c r="N5" s="18">
        <v>1</v>
      </c>
      <c r="O5" s="21">
        <f>N5/N$3</f>
        <v>4.6511627906976744E-2</v>
      </c>
      <c r="P5" s="15">
        <f>INT($J$8*O5/5)*5</f>
        <v>75</v>
      </c>
      <c r="T5" s="16"/>
    </row>
    <row r="6" spans="1:20" ht="16.5" x14ac:dyDescent="0.2">
      <c r="A6" s="18">
        <v>2</v>
      </c>
      <c r="B6" s="18">
        <v>95</v>
      </c>
      <c r="D6" s="86"/>
      <c r="E6" s="86"/>
      <c r="F6" s="86"/>
      <c r="G6" s="86"/>
      <c r="I6" s="14" t="s">
        <v>45</v>
      </c>
      <c r="J6" s="18">
        <v>60</v>
      </c>
      <c r="K6" s="15">
        <f>INDEX(章节关卡!$C$6:$C$20,分段产出计算!J4)*J6</f>
        <v>300</v>
      </c>
      <c r="N6" s="18">
        <v>1.25</v>
      </c>
      <c r="O6" s="21">
        <f t="shared" ref="O6:O13" si="0">N6/N$3</f>
        <v>5.8139534883720929E-2</v>
      </c>
      <c r="P6" s="15">
        <f t="shared" ref="P6:P13" si="1">INT($J$8*O6/5)*5</f>
        <v>95</v>
      </c>
      <c r="T6" s="16"/>
    </row>
    <row r="7" spans="1:20" ht="16.5" x14ac:dyDescent="0.2">
      <c r="A7" s="18">
        <v>3</v>
      </c>
      <c r="B7" s="18">
        <v>115</v>
      </c>
      <c r="D7" s="86"/>
      <c r="E7" s="86"/>
      <c r="F7" s="86"/>
      <c r="G7" s="86"/>
      <c r="I7" s="14" t="s">
        <v>48</v>
      </c>
      <c r="J7" s="20">
        <v>0.4</v>
      </c>
      <c r="K7" s="15">
        <f>J8*J7</f>
        <v>666.66666666666674</v>
      </c>
      <c r="N7" s="18">
        <v>1.5</v>
      </c>
      <c r="O7" s="21">
        <f t="shared" si="0"/>
        <v>6.9767441860465115E-2</v>
      </c>
      <c r="P7" s="15">
        <f t="shared" si="1"/>
        <v>115</v>
      </c>
      <c r="T7" s="16"/>
    </row>
    <row r="8" spans="1:20" ht="16.5" x14ac:dyDescent="0.2">
      <c r="A8" s="18">
        <v>4</v>
      </c>
      <c r="B8" s="18">
        <v>135</v>
      </c>
      <c r="D8" s="86"/>
      <c r="E8" s="86"/>
      <c r="F8" s="86"/>
      <c r="G8" s="86"/>
      <c r="I8" s="14" t="s">
        <v>46</v>
      </c>
      <c r="J8" s="15">
        <f>(J5+K6)/(1-J7)</f>
        <v>1666.6666666666667</v>
      </c>
      <c r="N8" s="18">
        <v>1.75</v>
      </c>
      <c r="O8" s="21">
        <f t="shared" si="0"/>
        <v>8.1395348837209308E-2</v>
      </c>
      <c r="P8" s="15">
        <f t="shared" si="1"/>
        <v>135</v>
      </c>
      <c r="T8" s="16"/>
    </row>
    <row r="9" spans="1:20" ht="16.5" x14ac:dyDescent="0.2">
      <c r="A9" s="18">
        <v>5</v>
      </c>
      <c r="B9" s="18">
        <v>155</v>
      </c>
      <c r="D9" s="86"/>
      <c r="E9" s="86"/>
      <c r="F9" s="86"/>
      <c r="G9" s="86"/>
      <c r="N9" s="18">
        <v>2</v>
      </c>
      <c r="O9" s="21">
        <f t="shared" si="0"/>
        <v>9.3023255813953487E-2</v>
      </c>
      <c r="P9" s="15">
        <f t="shared" si="1"/>
        <v>155</v>
      </c>
      <c r="T9" s="16"/>
    </row>
    <row r="10" spans="1:20" ht="16.5" x14ac:dyDescent="0.2">
      <c r="A10" s="18">
        <v>6</v>
      </c>
      <c r="B10" s="18">
        <v>190</v>
      </c>
      <c r="D10" s="86"/>
      <c r="E10" s="86"/>
      <c r="F10" s="86"/>
      <c r="G10" s="86"/>
      <c r="N10" s="18">
        <v>2.5</v>
      </c>
      <c r="O10" s="21">
        <f t="shared" si="0"/>
        <v>0.11627906976744186</v>
      </c>
      <c r="P10" s="15">
        <f t="shared" si="1"/>
        <v>190</v>
      </c>
      <c r="T10" s="16"/>
    </row>
    <row r="11" spans="1:20" ht="16.5" x14ac:dyDescent="0.2">
      <c r="A11" s="18">
        <v>7</v>
      </c>
      <c r="B11" s="18">
        <v>230</v>
      </c>
      <c r="D11" s="86"/>
      <c r="E11" s="86"/>
      <c r="F11" s="86"/>
      <c r="G11" s="86"/>
      <c r="N11" s="18">
        <v>3</v>
      </c>
      <c r="O11" s="21">
        <f t="shared" si="0"/>
        <v>0.13953488372093023</v>
      </c>
      <c r="P11" s="15">
        <f t="shared" si="1"/>
        <v>230</v>
      </c>
      <c r="T11" s="16"/>
    </row>
    <row r="12" spans="1:20" ht="16.5" x14ac:dyDescent="0.2">
      <c r="A12" s="18">
        <v>8</v>
      </c>
      <c r="B12" s="18">
        <v>270</v>
      </c>
      <c r="D12" s="86"/>
      <c r="E12" s="86"/>
      <c r="F12" s="86"/>
      <c r="G12" s="86"/>
      <c r="N12" s="18">
        <v>3.5</v>
      </c>
      <c r="O12" s="21">
        <f t="shared" si="0"/>
        <v>0.16279069767441862</v>
      </c>
      <c r="P12" s="15">
        <f t="shared" si="1"/>
        <v>270</v>
      </c>
      <c r="T12" s="16"/>
    </row>
    <row r="13" spans="1:20" ht="16.5" x14ac:dyDescent="0.2">
      <c r="A13" s="18">
        <v>9</v>
      </c>
      <c r="B13" s="18">
        <v>385</v>
      </c>
      <c r="D13" s="86"/>
      <c r="E13" s="86"/>
      <c r="F13" s="86"/>
      <c r="G13" s="86"/>
      <c r="N13" s="18">
        <v>5</v>
      </c>
      <c r="O13" s="21">
        <f t="shared" si="0"/>
        <v>0.23255813953488372</v>
      </c>
      <c r="P13" s="15">
        <f t="shared" si="1"/>
        <v>385</v>
      </c>
      <c r="T13" s="16"/>
    </row>
    <row r="14" spans="1:20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20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20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14.6</v>
      </c>
      <c r="O16" s="16"/>
      <c r="P16" s="16"/>
    </row>
    <row r="17" spans="1:16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184</v>
      </c>
      <c r="J17" s="26">
        <v>2</v>
      </c>
      <c r="K17" s="27" t="s">
        <v>185</v>
      </c>
      <c r="L17" s="26">
        <v>1</v>
      </c>
      <c r="M17" s="16"/>
      <c r="N17" s="12" t="s">
        <v>51</v>
      </c>
      <c r="O17" s="12" t="s">
        <v>49</v>
      </c>
      <c r="P17" s="12" t="s">
        <v>50</v>
      </c>
    </row>
    <row r="18" spans="1:16" ht="16.5" x14ac:dyDescent="0.2">
      <c r="A18" s="18">
        <v>10</v>
      </c>
      <c r="B18" s="18">
        <v>485</v>
      </c>
      <c r="D18" s="87" t="s">
        <v>52</v>
      </c>
      <c r="E18" s="88"/>
      <c r="F18" s="88"/>
      <c r="G18" s="89"/>
      <c r="I18" s="14" t="s">
        <v>54</v>
      </c>
      <c r="J18" s="15">
        <f>SUMIFS(章节关卡!$AS$5:$AS$200,章节关卡!$AQ$5:$AQ$200,"="&amp;分段产出计算!J17)</f>
        <v>1260</v>
      </c>
      <c r="K18" s="14" t="s">
        <v>53</v>
      </c>
      <c r="L18" s="15">
        <f>SUMIFS(章节关卡!$BA$5:$BA$214,章节关卡!$AY$5:$AY$214,"="&amp;分段产出计算!L17)</f>
        <v>1200</v>
      </c>
      <c r="N18" s="18">
        <v>1</v>
      </c>
      <c r="O18" s="22">
        <f t="shared" ref="O18:O27" si="2">N18/$N$16</f>
        <v>6.8493150684931503E-2</v>
      </c>
      <c r="P18" s="18">
        <f t="shared" ref="P18:P27" si="3">INT($J$22*O18/5)*5</f>
        <v>460</v>
      </c>
    </row>
    <row r="19" spans="1:16" ht="16.5" x14ac:dyDescent="0.2">
      <c r="A19" s="18">
        <v>11</v>
      </c>
      <c r="B19" s="18">
        <v>535</v>
      </c>
      <c r="D19" s="90"/>
      <c r="E19" s="91"/>
      <c r="F19" s="91"/>
      <c r="G19" s="92"/>
      <c r="I19" s="14" t="s">
        <v>55</v>
      </c>
      <c r="J19" s="15">
        <f>SUM(芦花古楼!D5:D8)</f>
        <v>1440</v>
      </c>
      <c r="N19" s="18">
        <v>1.1000000000000001</v>
      </c>
      <c r="O19" s="22">
        <f t="shared" si="2"/>
        <v>7.5342465753424667E-2</v>
      </c>
      <c r="P19" s="18">
        <f t="shared" si="3"/>
        <v>510</v>
      </c>
    </row>
    <row r="20" spans="1:16" ht="16.5" x14ac:dyDescent="0.2">
      <c r="A20" s="18">
        <v>12</v>
      </c>
      <c r="B20" s="18">
        <v>580</v>
      </c>
      <c r="D20" s="90"/>
      <c r="E20" s="91"/>
      <c r="F20" s="91"/>
      <c r="G20" s="92"/>
      <c r="I20" s="14" t="s">
        <v>56</v>
      </c>
      <c r="J20" s="18">
        <v>120</v>
      </c>
      <c r="K20" s="15">
        <f>INDEX(章节关卡!$C$6:$C$20,分段产出计算!J17)*J20</f>
        <v>840</v>
      </c>
      <c r="N20" s="18">
        <v>1.2</v>
      </c>
      <c r="O20" s="22">
        <f t="shared" si="2"/>
        <v>8.2191780821917804E-2</v>
      </c>
      <c r="P20" s="18">
        <f t="shared" si="3"/>
        <v>555</v>
      </c>
    </row>
    <row r="21" spans="1:16" ht="16.5" x14ac:dyDescent="0.2">
      <c r="A21" s="18">
        <v>13</v>
      </c>
      <c r="B21" s="18">
        <v>630</v>
      </c>
      <c r="D21" s="90"/>
      <c r="E21" s="91"/>
      <c r="F21" s="91"/>
      <c r="G21" s="92"/>
      <c r="I21" s="14" t="s">
        <v>48</v>
      </c>
      <c r="J21" s="20">
        <v>0.3</v>
      </c>
      <c r="K21" s="15">
        <f>J22*J21</f>
        <v>2031.4285714285713</v>
      </c>
      <c r="N21" s="18">
        <v>1.3</v>
      </c>
      <c r="O21" s="22">
        <f t="shared" si="2"/>
        <v>8.9041095890410968E-2</v>
      </c>
      <c r="P21" s="18">
        <f t="shared" si="3"/>
        <v>600</v>
      </c>
    </row>
    <row r="22" spans="1:16" ht="16.5" x14ac:dyDescent="0.2">
      <c r="A22" s="18">
        <v>14</v>
      </c>
      <c r="B22" s="18">
        <v>680</v>
      </c>
      <c r="D22" s="90"/>
      <c r="E22" s="91"/>
      <c r="F22" s="91"/>
      <c r="G22" s="92"/>
      <c r="I22" s="14" t="s">
        <v>46</v>
      </c>
      <c r="J22" s="15">
        <f>(J18+L18+J19+K20)/(1-J21)</f>
        <v>6771.4285714285716</v>
      </c>
      <c r="N22" s="18">
        <v>1.4</v>
      </c>
      <c r="O22" s="22">
        <f t="shared" si="2"/>
        <v>9.5890410958904104E-2</v>
      </c>
      <c r="P22" s="18">
        <f t="shared" si="3"/>
        <v>645</v>
      </c>
    </row>
    <row r="23" spans="1:16" ht="16.5" x14ac:dyDescent="0.2">
      <c r="A23" s="18">
        <v>15</v>
      </c>
      <c r="B23" s="18">
        <v>730</v>
      </c>
      <c r="D23" s="90"/>
      <c r="E23" s="91"/>
      <c r="F23" s="91"/>
      <c r="G23" s="92"/>
      <c r="N23" s="18">
        <v>1.5</v>
      </c>
      <c r="O23" s="22">
        <f t="shared" si="2"/>
        <v>0.10273972602739727</v>
      </c>
      <c r="P23" s="18">
        <f t="shared" si="3"/>
        <v>695</v>
      </c>
    </row>
    <row r="24" spans="1:16" ht="16.5" x14ac:dyDescent="0.2">
      <c r="A24" s="18">
        <v>16</v>
      </c>
      <c r="B24" s="18">
        <v>775</v>
      </c>
      <c r="D24" s="90"/>
      <c r="E24" s="91"/>
      <c r="F24" s="91"/>
      <c r="G24" s="92"/>
      <c r="N24" s="18">
        <v>1.6</v>
      </c>
      <c r="O24" s="22">
        <f t="shared" si="2"/>
        <v>0.10958904109589042</v>
      </c>
      <c r="P24" s="18">
        <f t="shared" si="3"/>
        <v>740</v>
      </c>
    </row>
    <row r="25" spans="1:16" ht="16.5" x14ac:dyDescent="0.2">
      <c r="A25" s="18">
        <v>17</v>
      </c>
      <c r="B25" s="18">
        <v>825</v>
      </c>
      <c r="D25" s="90"/>
      <c r="E25" s="91"/>
      <c r="F25" s="91"/>
      <c r="G25" s="92"/>
      <c r="N25" s="18">
        <v>1.7</v>
      </c>
      <c r="O25" s="22">
        <f t="shared" si="2"/>
        <v>0.11643835616438356</v>
      </c>
      <c r="P25" s="18">
        <f t="shared" si="3"/>
        <v>785</v>
      </c>
    </row>
    <row r="26" spans="1:16" ht="16.5" x14ac:dyDescent="0.2">
      <c r="A26" s="18">
        <v>18</v>
      </c>
      <c r="B26" s="18">
        <v>875</v>
      </c>
      <c r="D26" s="90"/>
      <c r="E26" s="91"/>
      <c r="F26" s="91"/>
      <c r="G26" s="92"/>
      <c r="N26" s="18">
        <v>1.8</v>
      </c>
      <c r="O26" s="22">
        <f t="shared" si="2"/>
        <v>0.12328767123287672</v>
      </c>
      <c r="P26" s="18">
        <f t="shared" si="3"/>
        <v>830</v>
      </c>
    </row>
    <row r="27" spans="1:16" ht="16.5" x14ac:dyDescent="0.2">
      <c r="A27" s="18">
        <v>19</v>
      </c>
      <c r="B27" s="18">
        <v>970</v>
      </c>
      <c r="D27" s="93"/>
      <c r="E27" s="94"/>
      <c r="F27" s="94"/>
      <c r="G27" s="95"/>
      <c r="N27" s="18">
        <v>2</v>
      </c>
      <c r="O27" s="22">
        <f t="shared" si="2"/>
        <v>0.13698630136986301</v>
      </c>
      <c r="P27" s="18">
        <f t="shared" si="3"/>
        <v>925</v>
      </c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6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184</v>
      </c>
      <c r="J30" s="26">
        <v>3</v>
      </c>
      <c r="K30" s="27" t="s">
        <v>185</v>
      </c>
      <c r="L30" s="26">
        <v>2</v>
      </c>
      <c r="M30" s="16"/>
      <c r="N30" s="12" t="s">
        <v>51</v>
      </c>
      <c r="O30" s="12" t="s">
        <v>49</v>
      </c>
      <c r="P30" s="12" t="s">
        <v>50</v>
      </c>
    </row>
    <row r="31" spans="1:16" ht="17.25" customHeight="1" x14ac:dyDescent="0.2">
      <c r="A31" s="18">
        <v>20</v>
      </c>
      <c r="B31" s="18">
        <v>745</v>
      </c>
      <c r="D31" s="87" t="s">
        <v>80</v>
      </c>
      <c r="E31" s="88"/>
      <c r="F31" s="88"/>
      <c r="G31" s="89"/>
      <c r="I31" s="14" t="s">
        <v>59</v>
      </c>
      <c r="J31" s="15">
        <f>SUMIFS(章节关卡!$AS$5:$AS$200,章节关卡!$AQ$5:$AQ$200,"="&amp;分段产出计算!J30)</f>
        <v>1400</v>
      </c>
      <c r="K31" s="14" t="s">
        <v>60</v>
      </c>
      <c r="L31" s="15">
        <f>SUMIFS(章节关卡!$BA$5:$BA$214,章节关卡!$AY$5:$AY$214,"="&amp;分段产出计算!L30)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745</v>
      </c>
    </row>
    <row r="32" spans="1:16" ht="16.5" x14ac:dyDescent="0.2">
      <c r="A32" s="18">
        <v>21</v>
      </c>
      <c r="B32" s="18">
        <v>820</v>
      </c>
      <c r="D32" s="90"/>
      <c r="E32" s="91"/>
      <c r="F32" s="91"/>
      <c r="G32" s="92"/>
      <c r="I32" s="14" t="s">
        <v>61</v>
      </c>
      <c r="J32" s="15">
        <f>SUM(芦花古楼!D9:D11)</f>
        <v>1800</v>
      </c>
      <c r="N32" s="18">
        <v>1.1000000000000001</v>
      </c>
      <c r="O32" s="22">
        <f t="shared" ref="O32:O40" si="5">N32/N$29</f>
        <v>7.5342465753424667E-2</v>
      </c>
      <c r="P32" s="18">
        <f t="shared" si="4"/>
        <v>820</v>
      </c>
    </row>
    <row r="33" spans="1:16" ht="16.5" x14ac:dyDescent="0.2">
      <c r="A33" s="18">
        <v>22</v>
      </c>
      <c r="B33" s="18">
        <v>895</v>
      </c>
      <c r="D33" s="90"/>
      <c r="E33" s="91"/>
      <c r="F33" s="91"/>
      <c r="G33" s="92"/>
      <c r="I33" s="14" t="s">
        <v>62</v>
      </c>
      <c r="J33" s="18">
        <v>300</v>
      </c>
      <c r="K33" s="15">
        <f>章节关卡!C8*J33</f>
        <v>3000</v>
      </c>
      <c r="N33" s="18">
        <v>1.2</v>
      </c>
      <c r="O33" s="22">
        <f t="shared" si="5"/>
        <v>8.2191780821917804E-2</v>
      </c>
      <c r="P33" s="18">
        <f t="shared" si="4"/>
        <v>895</v>
      </c>
    </row>
    <row r="34" spans="1:16" ht="16.5" x14ac:dyDescent="0.2">
      <c r="A34" s="18">
        <v>23</v>
      </c>
      <c r="B34" s="18">
        <v>970</v>
      </c>
      <c r="D34" s="90"/>
      <c r="E34" s="91"/>
      <c r="F34" s="91"/>
      <c r="G34" s="92"/>
      <c r="I34" s="14" t="s">
        <v>48</v>
      </c>
      <c r="J34" s="20">
        <v>0.2</v>
      </c>
      <c r="K34" s="15">
        <f>J35*J34</f>
        <v>2180</v>
      </c>
      <c r="N34" s="18">
        <v>1.3</v>
      </c>
      <c r="O34" s="22">
        <f t="shared" si="5"/>
        <v>8.9041095890410968E-2</v>
      </c>
      <c r="P34" s="18">
        <f t="shared" si="4"/>
        <v>970</v>
      </c>
    </row>
    <row r="35" spans="1:16" ht="16.5" x14ac:dyDescent="0.2">
      <c r="A35" s="18">
        <v>24</v>
      </c>
      <c r="B35" s="18">
        <v>1045</v>
      </c>
      <c r="D35" s="90"/>
      <c r="E35" s="91"/>
      <c r="F35" s="91"/>
      <c r="G35" s="92"/>
      <c r="I35" s="14" t="s">
        <v>47</v>
      </c>
      <c r="J35" s="15">
        <f>(J31+L31+J32+K33)/(1-J34)</f>
        <v>10900</v>
      </c>
      <c r="N35" s="18">
        <v>1.4</v>
      </c>
      <c r="O35" s="22">
        <f t="shared" si="5"/>
        <v>9.5890410958904104E-2</v>
      </c>
      <c r="P35" s="18">
        <f t="shared" si="4"/>
        <v>1045</v>
      </c>
    </row>
    <row r="36" spans="1:16" ht="16.5" x14ac:dyDescent="0.2">
      <c r="A36" s="18">
        <v>25</v>
      </c>
      <c r="B36" s="18">
        <v>1115</v>
      </c>
      <c r="D36" s="90"/>
      <c r="E36" s="91"/>
      <c r="F36" s="91"/>
      <c r="G36" s="92"/>
      <c r="N36" s="18">
        <v>1.5</v>
      </c>
      <c r="O36" s="22">
        <f t="shared" si="5"/>
        <v>0.10273972602739727</v>
      </c>
      <c r="P36" s="18">
        <f t="shared" si="4"/>
        <v>1115</v>
      </c>
    </row>
    <row r="37" spans="1:16" ht="16.5" x14ac:dyDescent="0.2">
      <c r="A37" s="18">
        <v>26</v>
      </c>
      <c r="B37" s="18">
        <v>1190</v>
      </c>
      <c r="D37" s="90"/>
      <c r="E37" s="91"/>
      <c r="F37" s="91"/>
      <c r="G37" s="92"/>
      <c r="N37" s="18">
        <v>1.6</v>
      </c>
      <c r="O37" s="22">
        <f t="shared" si="5"/>
        <v>0.10958904109589042</v>
      </c>
      <c r="P37" s="18">
        <f t="shared" si="4"/>
        <v>1190</v>
      </c>
    </row>
    <row r="38" spans="1:16" ht="16.5" x14ac:dyDescent="0.2">
      <c r="A38" s="18">
        <v>27</v>
      </c>
      <c r="B38" s="18">
        <v>1265</v>
      </c>
      <c r="D38" s="90"/>
      <c r="E38" s="91"/>
      <c r="F38" s="91"/>
      <c r="G38" s="92"/>
      <c r="N38" s="18">
        <v>1.7</v>
      </c>
      <c r="O38" s="22">
        <f t="shared" si="5"/>
        <v>0.11643835616438356</v>
      </c>
      <c r="P38" s="18">
        <f t="shared" si="4"/>
        <v>1265</v>
      </c>
    </row>
    <row r="39" spans="1:16" ht="16.5" x14ac:dyDescent="0.2">
      <c r="A39" s="18">
        <v>28</v>
      </c>
      <c r="B39" s="18">
        <v>1340</v>
      </c>
      <c r="D39" s="90"/>
      <c r="E39" s="91"/>
      <c r="F39" s="91"/>
      <c r="G39" s="92"/>
      <c r="N39" s="18">
        <v>1.8</v>
      </c>
      <c r="O39" s="22">
        <f t="shared" si="5"/>
        <v>0.12328767123287672</v>
      </c>
      <c r="P39" s="18">
        <f t="shared" si="4"/>
        <v>1340</v>
      </c>
    </row>
    <row r="40" spans="1:16" ht="16.5" x14ac:dyDescent="0.2">
      <c r="A40" s="18">
        <v>29</v>
      </c>
      <c r="B40" s="18">
        <v>1490</v>
      </c>
      <c r="D40" s="93"/>
      <c r="E40" s="94"/>
      <c r="F40" s="94"/>
      <c r="G40" s="95"/>
      <c r="N40" s="18">
        <v>2</v>
      </c>
      <c r="O40" s="22">
        <f t="shared" si="5"/>
        <v>0.13698630136986301</v>
      </c>
      <c r="P40" s="18">
        <f t="shared" si="4"/>
        <v>1490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184</v>
      </c>
      <c r="J43" s="26">
        <v>4</v>
      </c>
      <c r="M43" s="16"/>
      <c r="N43" s="12" t="s">
        <v>51</v>
      </c>
      <c r="O43" s="12" t="s">
        <v>49</v>
      </c>
      <c r="P43" s="12" t="s">
        <v>50</v>
      </c>
    </row>
    <row r="44" spans="1:16" ht="16.5" x14ac:dyDescent="0.2">
      <c r="A44" s="18">
        <v>30</v>
      </c>
      <c r="B44" s="18">
        <v>1445</v>
      </c>
      <c r="D44" s="87" t="s">
        <v>81</v>
      </c>
      <c r="E44" s="88"/>
      <c r="F44" s="88"/>
      <c r="G44" s="89"/>
      <c r="I44" s="14" t="s">
        <v>59</v>
      </c>
      <c r="J44" s="15">
        <f>SUM(章节关卡!AS28:AS35)</f>
        <v>2080</v>
      </c>
      <c r="N44" s="18">
        <v>1</v>
      </c>
      <c r="O44" s="22">
        <f>N44/N$42</f>
        <v>5.2083333333333336E-2</v>
      </c>
      <c r="P44" s="18">
        <f>INT($J$50*O44/5)*5</f>
        <v>1735</v>
      </c>
    </row>
    <row r="45" spans="1:16" ht="16.5" x14ac:dyDescent="0.2">
      <c r="A45" s="18">
        <v>31</v>
      </c>
      <c r="B45" s="18">
        <v>1735</v>
      </c>
      <c r="D45" s="90"/>
      <c r="E45" s="91"/>
      <c r="F45" s="91"/>
      <c r="G45" s="92"/>
      <c r="I45" s="14" t="s">
        <v>63</v>
      </c>
      <c r="J45" s="15">
        <f>SUM(芦花古楼!D12:D14)</f>
        <v>2340</v>
      </c>
      <c r="N45" s="18">
        <v>1.2</v>
      </c>
      <c r="O45" s="22">
        <f t="shared" ref="O45:O53" si="6">N45/N$42</f>
        <v>6.25E-2</v>
      </c>
      <c r="P45" s="18">
        <f t="shared" ref="P45:P53" si="7">INT($J$50*O45/5)*5</f>
        <v>2080</v>
      </c>
    </row>
    <row r="46" spans="1:16" ht="16.5" x14ac:dyDescent="0.2">
      <c r="A46" s="18">
        <v>32</v>
      </c>
      <c r="B46" s="18">
        <v>2025</v>
      </c>
      <c r="D46" s="90"/>
      <c r="E46" s="91"/>
      <c r="F46" s="91"/>
      <c r="G46" s="92"/>
      <c r="I46" s="14" t="s">
        <v>64</v>
      </c>
      <c r="J46" s="15">
        <f>SUM(芦花古楼!N5:N8)</f>
        <v>6240</v>
      </c>
      <c r="N46" s="18">
        <v>1.4</v>
      </c>
      <c r="O46" s="22">
        <f t="shared" si="6"/>
        <v>7.2916666666666671E-2</v>
      </c>
      <c r="P46" s="18">
        <f t="shared" si="7"/>
        <v>2430</v>
      </c>
    </row>
    <row r="47" spans="1:16" ht="16.5" x14ac:dyDescent="0.2">
      <c r="A47" s="18">
        <v>33</v>
      </c>
      <c r="B47" s="18">
        <v>2315</v>
      </c>
      <c r="D47" s="90"/>
      <c r="E47" s="91"/>
      <c r="F47" s="91"/>
      <c r="G47" s="92"/>
      <c r="I47" s="14" t="s">
        <v>65</v>
      </c>
      <c r="J47" s="15">
        <f>SUM(日常任务!D4:D18)</f>
        <v>10000</v>
      </c>
      <c r="N47" s="18">
        <v>1.6</v>
      </c>
      <c r="O47" s="22">
        <f t="shared" si="6"/>
        <v>8.3333333333333343E-2</v>
      </c>
      <c r="P47" s="18">
        <f t="shared" si="7"/>
        <v>2775</v>
      </c>
    </row>
    <row r="48" spans="1:16" ht="16.5" x14ac:dyDescent="0.2">
      <c r="A48" s="18">
        <v>34</v>
      </c>
      <c r="B48" s="18">
        <v>2605</v>
      </c>
      <c r="D48" s="90"/>
      <c r="E48" s="91"/>
      <c r="F48" s="91"/>
      <c r="G48" s="92"/>
      <c r="I48" s="14" t="s">
        <v>62</v>
      </c>
      <c r="J48" s="39">
        <v>720</v>
      </c>
      <c r="K48" s="15">
        <f>章节关卡!C9*J48</f>
        <v>9360</v>
      </c>
      <c r="N48" s="18">
        <v>1.8</v>
      </c>
      <c r="O48" s="22">
        <f t="shared" si="6"/>
        <v>9.375E-2</v>
      </c>
      <c r="P48" s="18">
        <f t="shared" si="7"/>
        <v>3125</v>
      </c>
    </row>
    <row r="49" spans="1:17" ht="16.5" x14ac:dyDescent="0.2">
      <c r="A49" s="18">
        <v>35</v>
      </c>
      <c r="B49" s="18">
        <v>2895</v>
      </c>
      <c r="D49" s="90"/>
      <c r="E49" s="91"/>
      <c r="F49" s="91"/>
      <c r="G49" s="92"/>
      <c r="I49" s="14" t="s">
        <v>48</v>
      </c>
      <c r="J49" s="20">
        <v>0.1</v>
      </c>
      <c r="K49" s="15">
        <f>J50*J49</f>
        <v>3335.5555555555557</v>
      </c>
      <c r="N49" s="18">
        <v>2</v>
      </c>
      <c r="O49" s="22">
        <f t="shared" si="6"/>
        <v>0.10416666666666667</v>
      </c>
      <c r="P49" s="18">
        <f t="shared" si="7"/>
        <v>3470</v>
      </c>
    </row>
    <row r="50" spans="1:17" ht="16.5" x14ac:dyDescent="0.2">
      <c r="A50" s="18">
        <v>36</v>
      </c>
      <c r="B50" s="18">
        <v>3185</v>
      </c>
      <c r="D50" s="90"/>
      <c r="E50" s="91"/>
      <c r="F50" s="91"/>
      <c r="G50" s="92"/>
      <c r="I50" s="14" t="s">
        <v>47</v>
      </c>
      <c r="J50" s="15">
        <f>(J44+J45+J46+J47+K48)/(1-J49)</f>
        <v>33355.555555555555</v>
      </c>
      <c r="N50" s="18">
        <v>2.2000000000000002</v>
      </c>
      <c r="O50" s="22">
        <f t="shared" si="6"/>
        <v>0.11458333333333334</v>
      </c>
      <c r="P50" s="18">
        <f t="shared" si="7"/>
        <v>3820</v>
      </c>
    </row>
    <row r="51" spans="1:17" ht="16.5" x14ac:dyDescent="0.2">
      <c r="A51" s="18">
        <v>37</v>
      </c>
      <c r="B51" s="18">
        <v>3475</v>
      </c>
      <c r="D51" s="90"/>
      <c r="E51" s="91"/>
      <c r="F51" s="91"/>
      <c r="G51" s="92"/>
      <c r="N51" s="18">
        <v>2.4</v>
      </c>
      <c r="O51" s="22">
        <f t="shared" si="6"/>
        <v>0.125</v>
      </c>
      <c r="P51" s="18">
        <f t="shared" si="7"/>
        <v>4165</v>
      </c>
    </row>
    <row r="52" spans="1:17" ht="16.5" x14ac:dyDescent="0.2">
      <c r="A52" s="18">
        <v>38</v>
      </c>
      <c r="B52" s="18">
        <v>3760</v>
      </c>
      <c r="D52" s="90"/>
      <c r="E52" s="91"/>
      <c r="F52" s="91"/>
      <c r="G52" s="92"/>
      <c r="N52" s="18">
        <v>2.6</v>
      </c>
      <c r="O52" s="22">
        <f t="shared" si="6"/>
        <v>0.13541666666666669</v>
      </c>
      <c r="P52" s="18">
        <f t="shared" si="7"/>
        <v>4515</v>
      </c>
    </row>
    <row r="53" spans="1:17" ht="16.5" x14ac:dyDescent="0.2">
      <c r="A53" s="18">
        <v>39</v>
      </c>
      <c r="B53" s="18">
        <v>4340</v>
      </c>
      <c r="D53" s="93"/>
      <c r="E53" s="94"/>
      <c r="F53" s="94"/>
      <c r="G53" s="95"/>
      <c r="N53" s="18">
        <v>3</v>
      </c>
      <c r="O53" s="22">
        <f t="shared" si="6"/>
        <v>0.15625</v>
      </c>
      <c r="P53" s="18">
        <f t="shared" si="7"/>
        <v>5210</v>
      </c>
    </row>
    <row r="54" spans="1:17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</row>
    <row r="55" spans="1:17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</row>
    <row r="56" spans="1:17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184</v>
      </c>
      <c r="J56" s="26">
        <v>5</v>
      </c>
      <c r="K56" s="16"/>
      <c r="M56" s="16"/>
      <c r="N56" s="12" t="s">
        <v>51</v>
      </c>
      <c r="O56" s="12" t="s">
        <v>49</v>
      </c>
      <c r="P56" s="12" t="s">
        <v>50</v>
      </c>
      <c r="Q56" s="16"/>
    </row>
    <row r="57" spans="1:17" ht="16.5" x14ac:dyDescent="0.2">
      <c r="A57" s="18">
        <v>40</v>
      </c>
      <c r="B57" s="18">
        <v>6000</v>
      </c>
      <c r="D57" s="86" t="s">
        <v>194</v>
      </c>
      <c r="E57" s="86"/>
      <c r="F57" s="86"/>
      <c r="G57" s="86"/>
      <c r="I57" s="25" t="s">
        <v>127</v>
      </c>
      <c r="J57" s="15">
        <f>SUM(章节关卡!AS41:AS48)</f>
        <v>2560</v>
      </c>
      <c r="N57" s="26">
        <v>1</v>
      </c>
      <c r="O57" s="22">
        <f>N57/$N$55</f>
        <v>6.8493150684931503E-2</v>
      </c>
      <c r="P57" s="26">
        <f>INT($J$64*O57/5)*5</f>
        <v>7035</v>
      </c>
    </row>
    <row r="58" spans="1:17" ht="16.5" x14ac:dyDescent="0.2">
      <c r="A58" s="18">
        <v>41</v>
      </c>
      <c r="B58" s="18">
        <v>6600</v>
      </c>
      <c r="D58" s="86"/>
      <c r="E58" s="86"/>
      <c r="F58" s="86"/>
      <c r="G58" s="86"/>
      <c r="I58" s="27" t="s">
        <v>186</v>
      </c>
      <c r="J58" s="15">
        <f>SUM(章节关卡!BA20:BA34)</f>
        <v>6960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7740</v>
      </c>
    </row>
    <row r="59" spans="1:17" ht="16.5" x14ac:dyDescent="0.2">
      <c r="A59" s="18">
        <v>42</v>
      </c>
      <c r="B59" s="18">
        <v>7200</v>
      </c>
      <c r="D59" s="86"/>
      <c r="E59" s="86"/>
      <c r="F59" s="86"/>
      <c r="G59" s="86"/>
      <c r="I59" s="27" t="s">
        <v>187</v>
      </c>
      <c r="J59" s="15">
        <f>SUMIFS(芦花古楼!$D$5:$D$104,芦花古楼!$B$5:$B$104,"="&amp;分段产出计算!J56)</f>
        <v>9600</v>
      </c>
      <c r="K59" s="27" t="s">
        <v>188</v>
      </c>
      <c r="L59" s="15">
        <f>SUMIFS(芦花古楼!$N$5:$N$104,芦花古楼!$L$5:$L$104,"="&amp;分段产出计算!J56)</f>
        <v>11520</v>
      </c>
      <c r="N59" s="26">
        <v>1.2</v>
      </c>
      <c r="O59" s="22">
        <f t="shared" si="8"/>
        <v>8.2191780821917804E-2</v>
      </c>
      <c r="P59" s="26">
        <f t="shared" si="9"/>
        <v>8445</v>
      </c>
    </row>
    <row r="60" spans="1:17" ht="16.5" x14ac:dyDescent="0.2">
      <c r="A60" s="18">
        <v>43</v>
      </c>
      <c r="B60" s="18">
        <v>7800</v>
      </c>
      <c r="D60" s="86"/>
      <c r="E60" s="86"/>
      <c r="F60" s="86"/>
      <c r="G60" s="86"/>
      <c r="I60" s="27" t="s">
        <v>189</v>
      </c>
      <c r="J60" s="15">
        <f>SUMIFS(芦花古楼!$X$5:$X$104,芦花古楼!$V$5:$V$104,"="&amp;分段产出计算!J56)</f>
        <v>14400</v>
      </c>
      <c r="K60" s="27" t="s">
        <v>190</v>
      </c>
      <c r="L60" s="15">
        <f>SUMIFS(芦花古楼!$AH$5:$AH$104,芦花古楼!$AF$5:$AF$104,"="&amp;分段产出计算!J56)</f>
        <v>14400</v>
      </c>
      <c r="N60" s="26">
        <v>1.3</v>
      </c>
      <c r="O60" s="22">
        <f t="shared" si="8"/>
        <v>8.9041095890410968E-2</v>
      </c>
      <c r="P60" s="26">
        <f t="shared" si="9"/>
        <v>9145</v>
      </c>
    </row>
    <row r="61" spans="1:17" ht="16.5" x14ac:dyDescent="0.2">
      <c r="A61" s="18">
        <v>44</v>
      </c>
      <c r="B61" s="18">
        <v>8400</v>
      </c>
      <c r="D61" s="86"/>
      <c r="E61" s="86"/>
      <c r="F61" s="86"/>
      <c r="G61" s="86"/>
      <c r="I61" s="27" t="s">
        <v>65</v>
      </c>
      <c r="J61" s="15">
        <f>INDEX(节奏总表!$R$4:$R$18,分段产出计算!J56)</f>
        <v>1</v>
      </c>
      <c r="K61" s="15">
        <f>日常任务!D2*分段产出计算!J61</f>
        <v>10000</v>
      </c>
      <c r="N61" s="26">
        <v>1.4</v>
      </c>
      <c r="O61" s="22">
        <f t="shared" si="8"/>
        <v>9.5890410958904104E-2</v>
      </c>
      <c r="P61" s="26">
        <f t="shared" si="9"/>
        <v>9850</v>
      </c>
    </row>
    <row r="62" spans="1:17" ht="16.5" x14ac:dyDescent="0.2">
      <c r="A62" s="18">
        <v>45</v>
      </c>
      <c r="B62" s="18">
        <v>9000</v>
      </c>
      <c r="D62" s="86"/>
      <c r="E62" s="86"/>
      <c r="F62" s="86"/>
      <c r="G62" s="86"/>
      <c r="I62" s="27" t="s">
        <v>56</v>
      </c>
      <c r="J62" s="15">
        <f>INDEX(节奏总表!$R$4:$R$18,分段产出计算!J56)*24*60</f>
        <v>1440</v>
      </c>
      <c r="K62" s="15">
        <f>INDEX(章节关卡!$C$6:$C$20,分段产出计算!J56)*分段产出计算!J62</f>
        <v>23040</v>
      </c>
      <c r="N62" s="26">
        <v>1.5</v>
      </c>
      <c r="O62" s="22">
        <f t="shared" si="8"/>
        <v>0.10273972602739727</v>
      </c>
      <c r="P62" s="26">
        <f t="shared" si="9"/>
        <v>10555</v>
      </c>
    </row>
    <row r="63" spans="1:17" ht="16.5" x14ac:dyDescent="0.2">
      <c r="A63" s="18">
        <v>46</v>
      </c>
      <c r="B63" s="18">
        <v>9600</v>
      </c>
      <c r="C63" s="16"/>
      <c r="D63" s="86"/>
      <c r="E63" s="86"/>
      <c r="F63" s="86"/>
      <c r="G63" s="86"/>
      <c r="H63" s="16"/>
      <c r="I63" s="27" t="s">
        <v>48</v>
      </c>
      <c r="J63" s="20">
        <v>0.1</v>
      </c>
      <c r="K63" s="15">
        <f>J64*J63</f>
        <v>10275.555555555555</v>
      </c>
      <c r="M63" s="16"/>
      <c r="N63" s="26">
        <v>1.6</v>
      </c>
      <c r="O63" s="22">
        <f t="shared" si="8"/>
        <v>0.10958904109589042</v>
      </c>
      <c r="P63" s="26">
        <f t="shared" si="9"/>
        <v>11260</v>
      </c>
      <c r="Q63" s="16"/>
    </row>
    <row r="64" spans="1:17" ht="16.5" x14ac:dyDescent="0.2">
      <c r="A64" s="18">
        <v>47</v>
      </c>
      <c r="B64" s="18">
        <v>10200</v>
      </c>
      <c r="C64" s="16"/>
      <c r="D64" s="86"/>
      <c r="E64" s="86"/>
      <c r="F64" s="86"/>
      <c r="G64" s="86"/>
      <c r="H64" s="16"/>
      <c r="I64" s="27" t="s">
        <v>46</v>
      </c>
      <c r="J64" s="15">
        <f>(J57+J58+J59+L59+J60+L60+K61+K62)/(1-J63)</f>
        <v>102755.55555555555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11960</v>
      </c>
      <c r="Q64" s="16"/>
    </row>
    <row r="65" spans="1:17" ht="16.5" x14ac:dyDescent="0.2">
      <c r="A65" s="18">
        <v>48</v>
      </c>
      <c r="B65" s="18">
        <v>10800</v>
      </c>
      <c r="C65" s="16"/>
      <c r="D65" s="86"/>
      <c r="E65" s="86"/>
      <c r="F65" s="86"/>
      <c r="G65" s="86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12665</v>
      </c>
      <c r="Q65" s="16"/>
    </row>
    <row r="66" spans="1:17" ht="16.5" x14ac:dyDescent="0.2">
      <c r="A66" s="18">
        <v>49</v>
      </c>
      <c r="B66" s="18">
        <v>12000</v>
      </c>
      <c r="D66" s="86"/>
      <c r="E66" s="86"/>
      <c r="F66" s="86"/>
      <c r="G66" s="86"/>
      <c r="H66" s="16"/>
      <c r="N66" s="26">
        <v>2</v>
      </c>
      <c r="O66" s="22">
        <f t="shared" si="8"/>
        <v>0.13698630136986301</v>
      </c>
      <c r="P66" s="26">
        <f t="shared" si="9"/>
        <v>14075</v>
      </c>
    </row>
    <row r="67" spans="1:17" x14ac:dyDescent="0.2">
      <c r="D67" s="16"/>
      <c r="E67" s="16"/>
      <c r="F67" s="16"/>
      <c r="G67" s="16"/>
      <c r="H67" s="16"/>
    </row>
    <row r="68" spans="1:17" x14ac:dyDescent="0.2">
      <c r="D68" s="16"/>
      <c r="E68" s="16"/>
      <c r="F68" s="16"/>
      <c r="G68" s="16"/>
      <c r="H68" s="16"/>
    </row>
    <row r="69" spans="1:17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7" ht="17.25" x14ac:dyDescent="0.2">
      <c r="A70" s="16"/>
      <c r="B70" s="16"/>
      <c r="D70" s="16"/>
      <c r="E70" s="16"/>
      <c r="F70" s="16"/>
      <c r="G70" s="16"/>
      <c r="H70" s="16"/>
      <c r="I70" s="27" t="s">
        <v>184</v>
      </c>
      <c r="J70" s="26">
        <v>6</v>
      </c>
      <c r="K70" s="27" t="s">
        <v>184</v>
      </c>
      <c r="L70" s="26">
        <v>5</v>
      </c>
      <c r="N70" s="12" t="s">
        <v>51</v>
      </c>
      <c r="O70" s="12" t="s">
        <v>49</v>
      </c>
      <c r="P70" s="12" t="s">
        <v>50</v>
      </c>
    </row>
    <row r="71" spans="1:17" ht="16.5" x14ac:dyDescent="0.2">
      <c r="A71" s="18">
        <v>50</v>
      </c>
      <c r="B71" s="18">
        <v>9160</v>
      </c>
      <c r="D71" s="86"/>
      <c r="E71" s="86"/>
      <c r="F71" s="86"/>
      <c r="G71" s="86"/>
      <c r="I71" s="27" t="s">
        <v>193</v>
      </c>
      <c r="J71" s="15">
        <f>SUMIFS(章节关卡!$AS$5:$AS$200,章节关卡!$AQ$5:$AQ$200,"="&amp;分段产出计算!J70)</f>
        <v>6000</v>
      </c>
      <c r="K71" s="27" t="s">
        <v>192</v>
      </c>
      <c r="L71" s="15">
        <f>SUMIFS(章节关卡!$AS$5:$AS$200,章节关卡!$AQ$5:$AQ$200,"="&amp;分段产出计算!L70)</f>
        <v>4800</v>
      </c>
      <c r="N71" s="26">
        <v>1</v>
      </c>
      <c r="O71" s="22">
        <f>N71/$N$69</f>
        <v>6.8493150684931503E-2</v>
      </c>
      <c r="P71" s="26">
        <f>INT($J$77*O71/5)*5</f>
        <v>9940</v>
      </c>
    </row>
    <row r="72" spans="1:17" ht="16.5" x14ac:dyDescent="0.2">
      <c r="A72" s="18">
        <v>51</v>
      </c>
      <c r="B72" s="18">
        <v>10075</v>
      </c>
      <c r="D72" s="86"/>
      <c r="E72" s="86"/>
      <c r="F72" s="86"/>
      <c r="G72" s="86"/>
      <c r="I72" s="27" t="s">
        <v>187</v>
      </c>
      <c r="J72" s="15">
        <f>SUMIFS(芦花古楼!$D$5:$D$104,芦花古楼!$B$5:$B$104,"="&amp;分段产出计算!J70)</f>
        <v>16800</v>
      </c>
      <c r="K72" s="27" t="s">
        <v>188</v>
      </c>
      <c r="L72" s="15">
        <f>SUMIFS(芦花古楼!$N$5:$N$104,芦花古楼!$L$5:$L$104,"="&amp;分段产出计算!J70)</f>
        <v>21600</v>
      </c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10935</v>
      </c>
    </row>
    <row r="73" spans="1:17" ht="16.5" x14ac:dyDescent="0.2">
      <c r="A73" s="18">
        <v>52</v>
      </c>
      <c r="B73" s="18">
        <v>10990</v>
      </c>
      <c r="D73" s="86"/>
      <c r="E73" s="86"/>
      <c r="F73" s="86"/>
      <c r="G73" s="86"/>
      <c r="I73" s="27" t="s">
        <v>189</v>
      </c>
      <c r="J73" s="15">
        <f>SUMIFS(芦花古楼!$X$5:$X$104,芦花古楼!$V$5:$V$104,"="&amp;分段产出计算!J70)</f>
        <v>18000</v>
      </c>
      <c r="K73" s="27" t="s">
        <v>190</v>
      </c>
      <c r="L73" s="15">
        <f>SUMIFS(芦花古楼!$AH$5:$AH$104,芦花古楼!$AF$5:$AF$104,"="&amp;分段产出计算!J70)</f>
        <v>18000</v>
      </c>
      <c r="N73" s="26">
        <v>1.2</v>
      </c>
      <c r="O73" s="22">
        <f t="shared" si="10"/>
        <v>8.2191780821917804E-2</v>
      </c>
      <c r="P73" s="26">
        <f t="shared" si="11"/>
        <v>11930</v>
      </c>
    </row>
    <row r="74" spans="1:17" ht="16.5" x14ac:dyDescent="0.2">
      <c r="A74" s="18">
        <v>53</v>
      </c>
      <c r="B74" s="18">
        <v>11905</v>
      </c>
      <c r="D74" s="86"/>
      <c r="E74" s="86"/>
      <c r="F74" s="86"/>
      <c r="G74" s="86"/>
      <c r="I74" s="27" t="s">
        <v>65</v>
      </c>
      <c r="J74" s="15">
        <f>INDEX(节奏总表!$R$4:$R$18,分段产出计算!J70)</f>
        <v>1.5</v>
      </c>
      <c r="K74" s="15">
        <f>日常任务!D16*分段产出计算!J74</f>
        <v>2250</v>
      </c>
      <c r="N74" s="26">
        <v>1.3</v>
      </c>
      <c r="O74" s="22">
        <f t="shared" si="10"/>
        <v>8.9041095890410968E-2</v>
      </c>
      <c r="P74" s="26">
        <f t="shared" si="11"/>
        <v>12925</v>
      </c>
    </row>
    <row r="75" spans="1:17" ht="16.5" x14ac:dyDescent="0.2">
      <c r="A75" s="18">
        <v>54</v>
      </c>
      <c r="B75" s="18">
        <v>12825</v>
      </c>
      <c r="D75" s="86"/>
      <c r="E75" s="86"/>
      <c r="F75" s="86"/>
      <c r="G75" s="86"/>
      <c r="I75" s="27" t="s">
        <v>56</v>
      </c>
      <c r="J75" s="15">
        <f>INDEX(节奏总表!$R$4:$R$18,分段产出计算!J70)*24*60</f>
        <v>2160</v>
      </c>
      <c r="K75" s="15">
        <f>INDEX(章节关卡!$C$6:$C$20,分段产出计算!J70)*分段产出计算!J75</f>
        <v>43200</v>
      </c>
      <c r="N75" s="26">
        <v>1.4</v>
      </c>
      <c r="O75" s="22">
        <f t="shared" si="10"/>
        <v>9.5890410958904104E-2</v>
      </c>
      <c r="P75" s="26">
        <f t="shared" si="11"/>
        <v>13920</v>
      </c>
    </row>
    <row r="76" spans="1:17" ht="16.5" x14ac:dyDescent="0.2">
      <c r="A76" s="18">
        <v>55</v>
      </c>
      <c r="B76" s="18">
        <v>13740</v>
      </c>
      <c r="D76" s="86"/>
      <c r="E76" s="86"/>
      <c r="F76" s="86"/>
      <c r="G76" s="86"/>
      <c r="I76" s="27" t="s">
        <v>48</v>
      </c>
      <c r="J76" s="20">
        <v>0.1</v>
      </c>
      <c r="K76" s="15">
        <f>J77*J76</f>
        <v>14516.666666666666</v>
      </c>
      <c r="N76" s="26">
        <v>1.5</v>
      </c>
      <c r="O76" s="22">
        <f t="shared" si="10"/>
        <v>0.10273972602739727</v>
      </c>
      <c r="P76" s="26">
        <f t="shared" si="11"/>
        <v>14910</v>
      </c>
    </row>
    <row r="77" spans="1:17" ht="16.5" x14ac:dyDescent="0.2">
      <c r="A77" s="18">
        <v>56</v>
      </c>
      <c r="B77" s="18">
        <v>14655</v>
      </c>
      <c r="D77" s="86"/>
      <c r="E77" s="86"/>
      <c r="F77" s="86"/>
      <c r="G77" s="86"/>
      <c r="I77" s="27" t="s">
        <v>46</v>
      </c>
      <c r="J77" s="15">
        <f>(J71+L71+J72+L72+J73+L73+K74+K75)/(1-J76)</f>
        <v>145166.66666666666</v>
      </c>
      <c r="K77" s="16"/>
      <c r="N77" s="26">
        <v>1.6</v>
      </c>
      <c r="O77" s="22">
        <f t="shared" si="10"/>
        <v>0.10958904109589042</v>
      </c>
      <c r="P77" s="26">
        <f t="shared" si="11"/>
        <v>15905</v>
      </c>
    </row>
    <row r="78" spans="1:17" ht="16.5" x14ac:dyDescent="0.2">
      <c r="A78" s="18">
        <v>57</v>
      </c>
      <c r="B78" s="18">
        <v>15570</v>
      </c>
      <c r="D78" s="86"/>
      <c r="E78" s="86"/>
      <c r="F78" s="86"/>
      <c r="G78" s="86"/>
      <c r="N78" s="26">
        <v>1.7</v>
      </c>
      <c r="O78" s="22">
        <f t="shared" si="10"/>
        <v>0.11643835616438356</v>
      </c>
      <c r="P78" s="26">
        <f t="shared" si="11"/>
        <v>16900</v>
      </c>
    </row>
    <row r="79" spans="1:17" ht="16.5" x14ac:dyDescent="0.2">
      <c r="A79" s="18">
        <v>58</v>
      </c>
      <c r="B79" s="18">
        <v>16485</v>
      </c>
      <c r="D79" s="86"/>
      <c r="E79" s="86"/>
      <c r="F79" s="86"/>
      <c r="G79" s="86"/>
      <c r="N79" s="26">
        <v>1.8</v>
      </c>
      <c r="O79" s="22">
        <f t="shared" si="10"/>
        <v>0.12328767123287672</v>
      </c>
      <c r="P79" s="26">
        <f t="shared" si="11"/>
        <v>17895</v>
      </c>
    </row>
    <row r="80" spans="1:17" ht="16.5" x14ac:dyDescent="0.2">
      <c r="A80" s="18">
        <v>59</v>
      </c>
      <c r="B80" s="18">
        <v>18320</v>
      </c>
      <c r="D80" s="86"/>
      <c r="E80" s="86"/>
      <c r="F80" s="86"/>
      <c r="G80" s="86"/>
      <c r="N80" s="26">
        <v>2</v>
      </c>
      <c r="O80" s="22">
        <f t="shared" si="10"/>
        <v>0.13698630136986301</v>
      </c>
      <c r="P80" s="26">
        <f t="shared" si="11"/>
        <v>19885</v>
      </c>
    </row>
    <row r="81" spans="1:17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</row>
    <row r="84" spans="1:17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184</v>
      </c>
      <c r="J84" s="26">
        <v>7</v>
      </c>
      <c r="K84" s="27" t="s">
        <v>184</v>
      </c>
      <c r="L84" s="26">
        <v>6</v>
      </c>
      <c r="M84" s="16"/>
      <c r="N84" s="12" t="s">
        <v>51</v>
      </c>
      <c r="O84" s="12" t="s">
        <v>49</v>
      </c>
      <c r="P84" s="12" t="s">
        <v>50</v>
      </c>
      <c r="Q84" s="16"/>
    </row>
    <row r="85" spans="1:17" ht="16.5" x14ac:dyDescent="0.2">
      <c r="A85" s="18">
        <v>60</v>
      </c>
      <c r="B85" s="18">
        <v>15000</v>
      </c>
      <c r="D85" s="86"/>
      <c r="E85" s="86"/>
      <c r="F85" s="86"/>
      <c r="G85" s="86"/>
      <c r="I85" s="27" t="s">
        <v>193</v>
      </c>
      <c r="J85" s="15">
        <f>SUMIFS(章节关卡!$AS$5:$AS$200,章节关卡!$AQ$5:$AQ$200,"="&amp;分段产出计算!J84)</f>
        <v>7500</v>
      </c>
      <c r="K85" s="27" t="s">
        <v>192</v>
      </c>
      <c r="L85" s="15">
        <f>SUMIFS(章节关卡!$AS$5:$AS$200,章节关卡!$AQ$5:$AQ$200,"="&amp;分段产出计算!L84)</f>
        <v>6000</v>
      </c>
      <c r="N85" s="26">
        <v>1</v>
      </c>
      <c r="O85" s="22">
        <f>N85/$N$83</f>
        <v>6.8493150684931503E-2</v>
      </c>
      <c r="P85" s="26">
        <f>INT($J$91*O85/5)*5</f>
        <v>12530</v>
      </c>
    </row>
    <row r="86" spans="1:17" ht="16.5" x14ac:dyDescent="0.2">
      <c r="A86" s="18">
        <v>61</v>
      </c>
      <c r="B86" s="18">
        <v>16500</v>
      </c>
      <c r="D86" s="86"/>
      <c r="E86" s="86"/>
      <c r="F86" s="86"/>
      <c r="G86" s="86"/>
      <c r="I86" s="27" t="s">
        <v>187</v>
      </c>
      <c r="J86" s="15">
        <f>SUMIFS(芦花古楼!$D$5:$D$104,芦花古楼!$B$5:$B$104,"="&amp;分段产出计算!J84)</f>
        <v>22500</v>
      </c>
      <c r="K86" s="27" t="s">
        <v>188</v>
      </c>
      <c r="L86" s="15">
        <f>SUMIFS(芦花古楼!$N$5:$N$104,芦花古楼!$L$5:$L$104,"="&amp;分段产出计算!J84)</f>
        <v>30000</v>
      </c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13785</v>
      </c>
    </row>
    <row r="87" spans="1:17" ht="16.5" x14ac:dyDescent="0.2">
      <c r="A87" s="18">
        <v>62</v>
      </c>
      <c r="B87" s="18">
        <v>18000</v>
      </c>
      <c r="D87" s="86"/>
      <c r="E87" s="86"/>
      <c r="F87" s="86"/>
      <c r="G87" s="86"/>
      <c r="I87" s="27" t="s">
        <v>189</v>
      </c>
      <c r="J87" s="15">
        <f>SUMIFS(芦花古楼!$X$5:$X$104,芦花古楼!$V$5:$V$104,"="&amp;分段产出计算!J84)</f>
        <v>22500</v>
      </c>
      <c r="K87" s="27" t="s">
        <v>190</v>
      </c>
      <c r="L87" s="15">
        <f>SUMIFS(芦花古楼!$AH$5:$AH$104,芦花古楼!$AF$5:$AF$104,"="&amp;分段产出计算!J84)</f>
        <v>22500</v>
      </c>
      <c r="N87" s="26">
        <v>1.2</v>
      </c>
      <c r="O87" s="22">
        <f t="shared" si="12"/>
        <v>8.2191780821917804E-2</v>
      </c>
      <c r="P87" s="26">
        <f t="shared" si="13"/>
        <v>15040</v>
      </c>
    </row>
    <row r="88" spans="1:17" ht="16.5" x14ac:dyDescent="0.2">
      <c r="A88" s="18">
        <v>63</v>
      </c>
      <c r="B88" s="18">
        <v>19500</v>
      </c>
      <c r="D88" s="86"/>
      <c r="E88" s="86"/>
      <c r="F88" s="86"/>
      <c r="G88" s="86"/>
      <c r="I88" s="27" t="s">
        <v>65</v>
      </c>
      <c r="J88" s="15">
        <f>INDEX(节奏总表!$R$4:$R$18,分段产出计算!J84)</f>
        <v>2</v>
      </c>
      <c r="K88" s="15">
        <f>日常任务!D29*分段产出计算!J88</f>
        <v>0</v>
      </c>
      <c r="N88" s="26">
        <v>1.3</v>
      </c>
      <c r="O88" s="22">
        <f t="shared" si="12"/>
        <v>8.9041095890410968E-2</v>
      </c>
      <c r="P88" s="26">
        <f t="shared" si="13"/>
        <v>16290</v>
      </c>
    </row>
    <row r="89" spans="1:17" ht="16.5" x14ac:dyDescent="0.2">
      <c r="A89" s="18">
        <v>64</v>
      </c>
      <c r="B89" s="18">
        <v>21000</v>
      </c>
      <c r="D89" s="86"/>
      <c r="E89" s="86"/>
      <c r="F89" s="86"/>
      <c r="G89" s="86"/>
      <c r="I89" s="27" t="s">
        <v>56</v>
      </c>
      <c r="J89" s="15">
        <f>INDEX(节奏总表!$R$4:$R$18,分段产出计算!J84)*24*60</f>
        <v>2880</v>
      </c>
      <c r="K89" s="15">
        <f>INDEX(章节关卡!$C$6:$C$20,分段产出计算!J84)*分段产出计算!J89</f>
        <v>72000</v>
      </c>
      <c r="N89" s="26">
        <v>1.4</v>
      </c>
      <c r="O89" s="22">
        <f t="shared" si="12"/>
        <v>9.5890410958904104E-2</v>
      </c>
      <c r="P89" s="26">
        <f t="shared" si="13"/>
        <v>17545</v>
      </c>
    </row>
    <row r="90" spans="1:17" ht="16.5" x14ac:dyDescent="0.2">
      <c r="A90" s="18">
        <v>65</v>
      </c>
      <c r="B90" s="18">
        <v>22500</v>
      </c>
      <c r="D90" s="86"/>
      <c r="E90" s="86"/>
      <c r="F90" s="86"/>
      <c r="G90" s="86"/>
      <c r="I90" s="27" t="s">
        <v>48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18800</v>
      </c>
    </row>
    <row r="91" spans="1:17" ht="16.5" x14ac:dyDescent="0.2">
      <c r="A91" s="18">
        <v>66</v>
      </c>
      <c r="B91" s="18">
        <v>24000</v>
      </c>
      <c r="D91" s="86"/>
      <c r="E91" s="86"/>
      <c r="F91" s="86"/>
      <c r="G91" s="86"/>
      <c r="I91" s="27" t="s">
        <v>46</v>
      </c>
      <c r="J91" s="15">
        <f>(J85+L85+J86+L86+J87+L87+K88+K89)/(1-J90)</f>
        <v>183000</v>
      </c>
      <c r="K91" s="16"/>
      <c r="N91" s="26">
        <v>1.6</v>
      </c>
      <c r="O91" s="22">
        <f t="shared" si="12"/>
        <v>0.10958904109589042</v>
      </c>
      <c r="P91" s="26">
        <f t="shared" si="13"/>
        <v>20050</v>
      </c>
    </row>
    <row r="92" spans="1:17" ht="16.5" x14ac:dyDescent="0.2">
      <c r="A92" s="18">
        <v>67</v>
      </c>
      <c r="B92" s="18">
        <v>25500</v>
      </c>
      <c r="D92" s="86"/>
      <c r="E92" s="86"/>
      <c r="F92" s="86"/>
      <c r="G92" s="86"/>
      <c r="N92" s="26">
        <v>1.7</v>
      </c>
      <c r="O92" s="22">
        <f t="shared" si="12"/>
        <v>0.11643835616438356</v>
      </c>
      <c r="P92" s="26">
        <f t="shared" si="13"/>
        <v>21305</v>
      </c>
    </row>
    <row r="93" spans="1:17" ht="16.5" x14ac:dyDescent="0.2">
      <c r="A93" s="18">
        <v>68</v>
      </c>
      <c r="B93" s="18">
        <v>27000</v>
      </c>
      <c r="D93" s="86"/>
      <c r="E93" s="86"/>
      <c r="F93" s="86"/>
      <c r="G93" s="86"/>
      <c r="N93" s="26">
        <v>1.8</v>
      </c>
      <c r="O93" s="22">
        <f t="shared" si="12"/>
        <v>0.12328767123287672</v>
      </c>
      <c r="P93" s="26">
        <f t="shared" si="13"/>
        <v>22560</v>
      </c>
    </row>
    <row r="94" spans="1:17" ht="16.5" x14ac:dyDescent="0.2">
      <c r="A94" s="18">
        <v>69</v>
      </c>
      <c r="B94" s="18">
        <v>30000</v>
      </c>
      <c r="D94" s="86"/>
      <c r="E94" s="86"/>
      <c r="F94" s="86"/>
      <c r="G94" s="86"/>
      <c r="N94" s="26">
        <v>2</v>
      </c>
      <c r="O94" s="22">
        <f t="shared" si="12"/>
        <v>0.13698630136986301</v>
      </c>
      <c r="P94" s="26">
        <f t="shared" si="13"/>
        <v>25065</v>
      </c>
    </row>
    <row r="95" spans="1:17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7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184</v>
      </c>
      <c r="J97" s="26">
        <v>8</v>
      </c>
      <c r="K97" s="27" t="s">
        <v>184</v>
      </c>
      <c r="L97" s="26">
        <v>7</v>
      </c>
      <c r="M97" s="16"/>
      <c r="N97" s="12" t="s">
        <v>51</v>
      </c>
      <c r="O97" s="12" t="s">
        <v>49</v>
      </c>
      <c r="P97" s="12" t="s">
        <v>50</v>
      </c>
    </row>
    <row r="98" spans="1:16" ht="16.5" x14ac:dyDescent="0.2">
      <c r="A98" s="18">
        <v>70</v>
      </c>
      <c r="B98" s="18">
        <v>20235</v>
      </c>
      <c r="D98" s="86"/>
      <c r="E98" s="86"/>
      <c r="F98" s="86"/>
      <c r="G98" s="86"/>
      <c r="I98" s="27" t="s">
        <v>193</v>
      </c>
      <c r="J98" s="15">
        <f>SUMIFS(章节关卡!$AS$5:$AS$200,章节关卡!$AQ$5:$AQ$200,"="&amp;分段产出计算!J97)</f>
        <v>9000</v>
      </c>
      <c r="K98" s="27" t="s">
        <v>192</v>
      </c>
      <c r="L98" s="15">
        <f>SUMIFS(章节关卡!$AS$5:$AS$200,章节关卡!$AQ$5:$AQ$200,"="&amp;分段产出计算!L97)</f>
        <v>7500</v>
      </c>
      <c r="N98" s="26">
        <v>1</v>
      </c>
      <c r="O98" s="22">
        <f>N98/$N$96</f>
        <v>6.8493150684931503E-2</v>
      </c>
      <c r="P98" s="26">
        <f>INT($J$104*O98/5)*5</f>
        <v>15800</v>
      </c>
    </row>
    <row r="99" spans="1:16" ht="16.5" x14ac:dyDescent="0.2">
      <c r="A99" s="18">
        <v>71</v>
      </c>
      <c r="B99" s="18">
        <v>22260</v>
      </c>
      <c r="D99" s="86"/>
      <c r="E99" s="86"/>
      <c r="F99" s="86"/>
      <c r="G99" s="86"/>
      <c r="I99" s="27" t="s">
        <v>187</v>
      </c>
      <c r="J99" s="15">
        <f>SUMIFS(芦花古楼!$D$5:$D$104,芦花古楼!$B$5:$B$104,"="&amp;分段产出计算!J97)</f>
        <v>27000</v>
      </c>
      <c r="K99" s="27" t="s">
        <v>188</v>
      </c>
      <c r="L99" s="15">
        <f>SUMIFS(芦花古楼!$N$5:$N$104,芦花古楼!$L$5:$L$104,"="&amp;分段产出计算!J97)</f>
        <v>36000</v>
      </c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17380</v>
      </c>
    </row>
    <row r="100" spans="1:16" ht="16.5" x14ac:dyDescent="0.2">
      <c r="A100" s="18">
        <v>72</v>
      </c>
      <c r="B100" s="18">
        <v>24285</v>
      </c>
      <c r="D100" s="86"/>
      <c r="E100" s="86"/>
      <c r="F100" s="86"/>
      <c r="G100" s="86"/>
      <c r="I100" s="27" t="s">
        <v>189</v>
      </c>
      <c r="J100" s="15">
        <f>SUMIFS(芦花古楼!$X$5:$X$104,芦花古楼!$V$5:$V$104,"="&amp;分段产出计算!J97)</f>
        <v>21600</v>
      </c>
      <c r="K100" s="27" t="s">
        <v>190</v>
      </c>
      <c r="L100" s="15">
        <f>SUMIFS(芦花古楼!$AH$5:$AH$104,芦花古楼!$AF$5:$AF$104,"="&amp;分段产出计算!J97)</f>
        <v>21600</v>
      </c>
      <c r="N100" s="26">
        <v>1.2</v>
      </c>
      <c r="O100" s="22">
        <f t="shared" si="14"/>
        <v>8.2191780821917804E-2</v>
      </c>
      <c r="P100" s="26">
        <f t="shared" si="15"/>
        <v>18960</v>
      </c>
    </row>
    <row r="101" spans="1:16" ht="16.5" x14ac:dyDescent="0.2">
      <c r="A101" s="18">
        <v>73</v>
      </c>
      <c r="B101" s="18">
        <v>26310</v>
      </c>
      <c r="D101" s="86"/>
      <c r="E101" s="86"/>
      <c r="F101" s="86"/>
      <c r="G101" s="86"/>
      <c r="I101" s="27" t="s">
        <v>65</v>
      </c>
      <c r="J101" s="15">
        <f>INDEX(节奏总表!$R$4:$R$18,分段产出计算!J97)</f>
        <v>2.5</v>
      </c>
      <c r="K101" s="15">
        <f>日常任务!D42*分段产出计算!J101</f>
        <v>0</v>
      </c>
      <c r="N101" s="26">
        <v>1.3</v>
      </c>
      <c r="O101" s="22">
        <f t="shared" si="14"/>
        <v>8.9041095890410968E-2</v>
      </c>
      <c r="P101" s="26">
        <f t="shared" si="15"/>
        <v>20540</v>
      </c>
    </row>
    <row r="102" spans="1:16" ht="16.5" x14ac:dyDescent="0.2">
      <c r="A102" s="18">
        <v>74</v>
      </c>
      <c r="B102" s="18">
        <v>28335</v>
      </c>
      <c r="D102" s="86"/>
      <c r="E102" s="86"/>
      <c r="F102" s="86"/>
      <c r="G102" s="86"/>
      <c r="I102" s="27" t="s">
        <v>56</v>
      </c>
      <c r="J102" s="15">
        <f>INDEX(节奏总表!$R$4:$R$18,分段产出计算!J97)*24*60</f>
        <v>3600</v>
      </c>
      <c r="K102" s="15">
        <f>INDEX(章节关卡!$C$6:$C$20,分段产出计算!J97)*分段产出计算!J102</f>
        <v>108000</v>
      </c>
      <c r="N102" s="26">
        <v>1.4</v>
      </c>
      <c r="O102" s="22">
        <f t="shared" si="14"/>
        <v>9.5890410958904104E-2</v>
      </c>
      <c r="P102" s="26">
        <f t="shared" si="15"/>
        <v>22120</v>
      </c>
    </row>
    <row r="103" spans="1:16" ht="16.5" x14ac:dyDescent="0.2">
      <c r="A103" s="18">
        <v>75</v>
      </c>
      <c r="B103" s="18">
        <v>30355</v>
      </c>
      <c r="D103" s="86"/>
      <c r="E103" s="86"/>
      <c r="F103" s="86"/>
      <c r="G103" s="86"/>
      <c r="I103" s="27" t="s">
        <v>48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23700</v>
      </c>
    </row>
    <row r="104" spans="1:16" ht="16.5" x14ac:dyDescent="0.2">
      <c r="A104" s="18">
        <v>76</v>
      </c>
      <c r="B104" s="18">
        <v>32380</v>
      </c>
      <c r="D104" s="86"/>
      <c r="E104" s="86"/>
      <c r="F104" s="86"/>
      <c r="G104" s="86"/>
      <c r="I104" s="27" t="s">
        <v>46</v>
      </c>
      <c r="J104" s="15">
        <f>(J98+L98+J99+L99+J100+L100+K101+K102)/(1-J103)</f>
        <v>230700</v>
      </c>
      <c r="K104" s="16"/>
      <c r="N104" s="26">
        <v>1.6</v>
      </c>
      <c r="O104" s="22">
        <f t="shared" si="14"/>
        <v>0.10958904109589042</v>
      </c>
      <c r="P104" s="26">
        <f t="shared" si="15"/>
        <v>25280</v>
      </c>
    </row>
    <row r="105" spans="1:16" ht="16.5" x14ac:dyDescent="0.2">
      <c r="A105" s="18">
        <v>77</v>
      </c>
      <c r="B105" s="18">
        <v>34405</v>
      </c>
      <c r="D105" s="86"/>
      <c r="E105" s="86"/>
      <c r="F105" s="86"/>
      <c r="G105" s="86"/>
      <c r="N105" s="26">
        <v>1.7</v>
      </c>
      <c r="O105" s="22">
        <f t="shared" si="14"/>
        <v>0.11643835616438356</v>
      </c>
      <c r="P105" s="26">
        <f t="shared" si="15"/>
        <v>26860</v>
      </c>
    </row>
    <row r="106" spans="1:16" ht="16.5" x14ac:dyDescent="0.2">
      <c r="A106" s="18">
        <v>78</v>
      </c>
      <c r="B106" s="18">
        <v>36430</v>
      </c>
      <c r="D106" s="86"/>
      <c r="E106" s="86"/>
      <c r="F106" s="86"/>
      <c r="G106" s="86"/>
      <c r="N106" s="26">
        <v>1.8</v>
      </c>
      <c r="O106" s="22">
        <f t="shared" si="14"/>
        <v>0.12328767123287672</v>
      </c>
      <c r="P106" s="26">
        <f t="shared" si="15"/>
        <v>28440</v>
      </c>
    </row>
    <row r="107" spans="1:16" ht="16.5" x14ac:dyDescent="0.2">
      <c r="A107" s="18">
        <v>79</v>
      </c>
      <c r="B107" s="18">
        <v>40475</v>
      </c>
      <c r="D107" s="86"/>
      <c r="E107" s="86"/>
      <c r="F107" s="86"/>
      <c r="G107" s="86"/>
      <c r="N107" s="26">
        <v>2</v>
      </c>
      <c r="O107" s="22">
        <f t="shared" si="14"/>
        <v>0.13698630136986301</v>
      </c>
      <c r="P107" s="26">
        <f t="shared" si="15"/>
        <v>31600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184</v>
      </c>
      <c r="J110" s="26">
        <v>9</v>
      </c>
      <c r="K110" s="27" t="s">
        <v>184</v>
      </c>
      <c r="L110" s="26">
        <v>8</v>
      </c>
      <c r="N110" s="12" t="s">
        <v>51</v>
      </c>
      <c r="O110" s="12" t="s">
        <v>49</v>
      </c>
      <c r="P110" s="12" t="s">
        <v>50</v>
      </c>
    </row>
    <row r="111" spans="1:16" ht="15.75" customHeight="1" x14ac:dyDescent="0.2">
      <c r="A111" s="18">
        <v>80</v>
      </c>
      <c r="B111" s="18">
        <v>30205</v>
      </c>
      <c r="D111" s="86"/>
      <c r="E111" s="86"/>
      <c r="F111" s="86"/>
      <c r="G111" s="86"/>
      <c r="I111" s="27" t="s">
        <v>193</v>
      </c>
      <c r="J111" s="15">
        <f>SUMIFS(章节关卡!$AS$5:$AS$200,章节关卡!$AQ$5:$AQ$200,"="&amp;分段产出计算!J110)</f>
        <v>10800</v>
      </c>
      <c r="K111" s="27" t="s">
        <v>192</v>
      </c>
      <c r="L111" s="15">
        <f>SUMIFS(章节关卡!$AS$5:$AS$200,章节关卡!$AQ$5:$AQ$200,"="&amp;分段产出计算!L110)</f>
        <v>9000</v>
      </c>
      <c r="N111" s="26">
        <v>1</v>
      </c>
      <c r="O111" s="22">
        <f>N111/$N$109</f>
        <v>6.8493150684931503E-2</v>
      </c>
      <c r="P111" s="26">
        <f>INT($J$117*O111/5)*5</f>
        <v>30205</v>
      </c>
    </row>
    <row r="112" spans="1:16" ht="16.5" x14ac:dyDescent="0.2">
      <c r="A112" s="18">
        <v>81</v>
      </c>
      <c r="B112" s="18">
        <v>33225</v>
      </c>
      <c r="D112" s="86"/>
      <c r="E112" s="86"/>
      <c r="F112" s="86"/>
      <c r="G112" s="86"/>
      <c r="I112" s="27" t="s">
        <v>187</v>
      </c>
      <c r="J112" s="15">
        <f>SUMIFS(芦花古楼!$D$5:$D$104,芦花古楼!$B$5:$B$104,"="&amp;分段产出计算!J110)</f>
        <v>32400</v>
      </c>
      <c r="K112" s="27" t="s">
        <v>188</v>
      </c>
      <c r="L112" s="15">
        <f>SUMIFS(芦花古楼!$N$5:$N$104,芦花古楼!$L$5:$L$104,"="&amp;分段产出计算!J110)</f>
        <v>64800</v>
      </c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33225</v>
      </c>
    </row>
    <row r="113" spans="1:18" ht="16.5" x14ac:dyDescent="0.2">
      <c r="A113" s="18">
        <v>82</v>
      </c>
      <c r="B113" s="18">
        <v>36245</v>
      </c>
      <c r="D113" s="86"/>
      <c r="E113" s="86"/>
      <c r="F113" s="86"/>
      <c r="G113" s="86"/>
      <c r="I113" s="27" t="s">
        <v>189</v>
      </c>
      <c r="J113" s="15">
        <f>SUMIFS(芦花古楼!$X$5:$X$104,芦花古楼!$V$5:$V$104,"="&amp;分段产出计算!J110)</f>
        <v>64800</v>
      </c>
      <c r="K113" s="27" t="s">
        <v>190</v>
      </c>
      <c r="L113" s="15">
        <f>SUMIFS(芦花古楼!$AH$5:$AH$104,芦花古楼!$AF$5:$AF$104,"="&amp;分段产出计算!J110)</f>
        <v>64800</v>
      </c>
      <c r="N113" s="26">
        <v>1.2</v>
      </c>
      <c r="O113" s="22">
        <f t="shared" si="16"/>
        <v>8.2191780821917804E-2</v>
      </c>
      <c r="P113" s="26">
        <f t="shared" si="17"/>
        <v>36245</v>
      </c>
    </row>
    <row r="114" spans="1:18" ht="16.5" x14ac:dyDescent="0.2">
      <c r="A114" s="18">
        <v>83</v>
      </c>
      <c r="B114" s="18">
        <v>39265</v>
      </c>
      <c r="D114" s="86"/>
      <c r="E114" s="86"/>
      <c r="F114" s="86"/>
      <c r="G114" s="86"/>
      <c r="I114" s="27" t="s">
        <v>65</v>
      </c>
      <c r="J114" s="15">
        <f>INDEX(节奏总表!$R$4:$R$18,分段产出计算!J110)</f>
        <v>3.75</v>
      </c>
      <c r="K114" s="15">
        <f>日常任务!D55*分段产出计算!J114</f>
        <v>0</v>
      </c>
      <c r="N114" s="26">
        <v>1.3</v>
      </c>
      <c r="O114" s="22">
        <f t="shared" si="16"/>
        <v>8.9041095890410968E-2</v>
      </c>
      <c r="P114" s="26">
        <f t="shared" si="17"/>
        <v>39265</v>
      </c>
    </row>
    <row r="115" spans="1:18" ht="16.5" x14ac:dyDescent="0.2">
      <c r="A115" s="18">
        <v>84</v>
      </c>
      <c r="B115" s="18">
        <v>42285</v>
      </c>
      <c r="D115" s="86"/>
      <c r="E115" s="86"/>
      <c r="F115" s="86"/>
      <c r="G115" s="86"/>
      <c r="I115" s="27" t="s">
        <v>56</v>
      </c>
      <c r="J115" s="15">
        <f>INDEX(节奏总表!$R$4:$R$18,分段产出计算!J110)*24*60</f>
        <v>5400</v>
      </c>
      <c r="K115" s="15">
        <f>INDEX(章节关卡!$C$6:$C$20,分段产出计算!J110)*分段产出计算!J115</f>
        <v>194400</v>
      </c>
      <c r="N115" s="26">
        <v>1.4</v>
      </c>
      <c r="O115" s="22">
        <f t="shared" si="16"/>
        <v>9.5890410958904104E-2</v>
      </c>
      <c r="P115" s="26">
        <f t="shared" si="17"/>
        <v>42285</v>
      </c>
    </row>
    <row r="116" spans="1:18" ht="16.5" x14ac:dyDescent="0.2">
      <c r="A116" s="18">
        <v>85</v>
      </c>
      <c r="B116" s="18">
        <v>45305</v>
      </c>
      <c r="D116" s="86"/>
      <c r="E116" s="86"/>
      <c r="F116" s="86"/>
      <c r="G116" s="86"/>
      <c r="I116" s="27" t="s">
        <v>48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45305</v>
      </c>
    </row>
    <row r="117" spans="1:18" ht="16.5" x14ac:dyDescent="0.2">
      <c r="A117" s="18">
        <v>86</v>
      </c>
      <c r="B117" s="18">
        <v>48325</v>
      </c>
      <c r="D117" s="86"/>
      <c r="E117" s="86"/>
      <c r="F117" s="86"/>
      <c r="G117" s="86"/>
      <c r="I117" s="27" t="s">
        <v>46</v>
      </c>
      <c r="J117" s="15">
        <f>(J111+L111+J112+L112+J113+L113+K114+K115)/(1-J116)</f>
        <v>441000</v>
      </c>
      <c r="K117" s="16"/>
      <c r="N117" s="26">
        <v>1.6</v>
      </c>
      <c r="O117" s="22">
        <f t="shared" si="16"/>
        <v>0.10958904109589042</v>
      </c>
      <c r="P117" s="26">
        <f t="shared" si="17"/>
        <v>48325</v>
      </c>
    </row>
    <row r="118" spans="1:18" ht="16.5" x14ac:dyDescent="0.2">
      <c r="A118" s="18">
        <v>87</v>
      </c>
      <c r="B118" s="18">
        <v>51345</v>
      </c>
      <c r="D118" s="86"/>
      <c r="E118" s="86"/>
      <c r="F118" s="86"/>
      <c r="G118" s="86"/>
      <c r="N118" s="26">
        <v>1.7</v>
      </c>
      <c r="O118" s="22">
        <f t="shared" si="16"/>
        <v>0.11643835616438356</v>
      </c>
      <c r="P118" s="26">
        <f t="shared" si="17"/>
        <v>51345</v>
      </c>
    </row>
    <row r="119" spans="1:18" ht="16.5" x14ac:dyDescent="0.2">
      <c r="A119" s="18">
        <v>88</v>
      </c>
      <c r="B119" s="18">
        <v>54365</v>
      </c>
      <c r="D119" s="86"/>
      <c r="E119" s="86"/>
      <c r="F119" s="86"/>
      <c r="G119" s="86"/>
      <c r="N119" s="26">
        <v>1.8</v>
      </c>
      <c r="O119" s="22">
        <f t="shared" si="16"/>
        <v>0.12328767123287672</v>
      </c>
      <c r="P119" s="26">
        <f t="shared" si="17"/>
        <v>54365</v>
      </c>
    </row>
    <row r="120" spans="1:18" ht="16.5" x14ac:dyDescent="0.2">
      <c r="A120" s="18">
        <v>89</v>
      </c>
      <c r="B120" s="18">
        <v>60410</v>
      </c>
      <c r="D120" s="86"/>
      <c r="E120" s="86"/>
      <c r="F120" s="86"/>
      <c r="G120" s="86"/>
      <c r="N120" s="26">
        <v>2</v>
      </c>
      <c r="O120" s="22">
        <f t="shared" si="16"/>
        <v>0.13698630136986301</v>
      </c>
      <c r="P120" s="26">
        <f t="shared" si="17"/>
        <v>60410</v>
      </c>
    </row>
    <row r="121" spans="1:18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</row>
    <row r="123" spans="1:18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184</v>
      </c>
      <c r="J123" s="26">
        <v>10</v>
      </c>
      <c r="K123" s="27" t="s">
        <v>184</v>
      </c>
      <c r="L123" s="26">
        <v>9</v>
      </c>
      <c r="M123" s="16"/>
      <c r="N123" s="12" t="s">
        <v>51</v>
      </c>
      <c r="O123" s="12" t="s">
        <v>49</v>
      </c>
      <c r="P123" s="12" t="s">
        <v>50</v>
      </c>
      <c r="Q123" s="16"/>
      <c r="R123" s="16"/>
    </row>
    <row r="124" spans="1:18" ht="16.5" x14ac:dyDescent="0.2">
      <c r="A124" s="18">
        <v>90</v>
      </c>
      <c r="B124" s="18">
        <v>47750</v>
      </c>
      <c r="D124" s="86"/>
      <c r="E124" s="86"/>
      <c r="F124" s="86"/>
      <c r="G124" s="86"/>
      <c r="I124" s="27" t="s">
        <v>193</v>
      </c>
      <c r="J124" s="15">
        <f>SUMIFS(章节关卡!$AS$5:$AS$200,章节关卡!$AQ$5:$AQ$200,"="&amp;分段产出计算!J123)</f>
        <v>13200</v>
      </c>
      <c r="K124" s="27" t="s">
        <v>192</v>
      </c>
      <c r="L124" s="15">
        <f>SUMIFS(章节关卡!$AS$5:$AS$200,章节关卡!$AQ$5:$AQ$200,"="&amp;分段产出计算!L123)</f>
        <v>10800</v>
      </c>
      <c r="N124" s="26">
        <v>1</v>
      </c>
      <c r="O124" s="22">
        <f>N124/$N$122</f>
        <v>6.8493150684931503E-2</v>
      </c>
      <c r="P124" s="26">
        <f>INT($J$130*O124/5)*5</f>
        <v>53355</v>
      </c>
    </row>
    <row r="125" spans="1:18" ht="16.5" x14ac:dyDescent="0.2">
      <c r="A125" s="18">
        <v>91</v>
      </c>
      <c r="B125" s="18">
        <v>52525</v>
      </c>
      <c r="D125" s="86"/>
      <c r="E125" s="86"/>
      <c r="F125" s="86"/>
      <c r="G125" s="86"/>
      <c r="I125" s="27" t="s">
        <v>187</v>
      </c>
      <c r="J125" s="15">
        <f>SUMIFS(芦花古楼!$D$5:$D$104,芦花古楼!$B$5:$B$104,"="&amp;分段产出计算!J123)</f>
        <v>42240</v>
      </c>
      <c r="K125" s="27" t="s">
        <v>188</v>
      </c>
      <c r="L125" s="15">
        <f>SUMIFS(芦花古楼!$N$5:$N$104,芦花古楼!$L$5:$L$104,"="&amp;分段产出计算!J123)</f>
        <v>79200</v>
      </c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58690</v>
      </c>
    </row>
    <row r="126" spans="1:18" ht="16.5" x14ac:dyDescent="0.2">
      <c r="A126" s="18">
        <v>92</v>
      </c>
      <c r="B126" s="18">
        <v>57300</v>
      </c>
      <c r="D126" s="86"/>
      <c r="E126" s="86"/>
      <c r="F126" s="86"/>
      <c r="G126" s="86"/>
      <c r="I126" s="27" t="s">
        <v>189</v>
      </c>
      <c r="J126" s="15">
        <f>SUMIFS(芦花古楼!$X$5:$X$104,芦花古楼!$V$5:$V$104,"="&amp;分段产出计算!J123)</f>
        <v>118800</v>
      </c>
      <c r="K126" s="27" t="s">
        <v>190</v>
      </c>
      <c r="L126" s="15">
        <f>SUMIFS(芦花古楼!$AH$5:$AH$104,芦花古楼!$AF$5:$AF$104,"="&amp;分段产出计算!J123)</f>
        <v>118800</v>
      </c>
      <c r="N126" s="26">
        <v>1.2</v>
      </c>
      <c r="O126" s="22">
        <f t="shared" si="18"/>
        <v>8.2191780821917804E-2</v>
      </c>
      <c r="P126" s="26">
        <f t="shared" si="19"/>
        <v>64030</v>
      </c>
    </row>
    <row r="127" spans="1:18" ht="16.5" x14ac:dyDescent="0.2">
      <c r="A127" s="18">
        <v>93</v>
      </c>
      <c r="B127" s="18">
        <v>62075</v>
      </c>
      <c r="D127" s="86"/>
      <c r="E127" s="86"/>
      <c r="F127" s="86"/>
      <c r="G127" s="86"/>
      <c r="I127" s="27" t="s">
        <v>65</v>
      </c>
      <c r="J127" s="15">
        <f>INDEX(节奏总表!$R$4:$R$18,分段产出计算!J123)</f>
        <v>6.25</v>
      </c>
      <c r="K127" s="15">
        <f>日常任务!D68*分段产出计算!J127</f>
        <v>0</v>
      </c>
      <c r="N127" s="26">
        <v>1.3</v>
      </c>
      <c r="O127" s="22">
        <f t="shared" si="18"/>
        <v>8.9041095890410968E-2</v>
      </c>
      <c r="P127" s="26">
        <f t="shared" si="19"/>
        <v>69365</v>
      </c>
    </row>
    <row r="128" spans="1:18" ht="16.5" x14ac:dyDescent="0.2">
      <c r="A128" s="18">
        <v>94</v>
      </c>
      <c r="B128" s="18">
        <v>66850</v>
      </c>
      <c r="D128" s="86"/>
      <c r="E128" s="86"/>
      <c r="F128" s="86"/>
      <c r="G128" s="86"/>
      <c r="I128" s="27" t="s">
        <v>56</v>
      </c>
      <c r="J128" s="15">
        <f>INDEX(节奏总表!$R$4:$R$18,分段产出计算!J123)*24*60</f>
        <v>9000</v>
      </c>
      <c r="K128" s="15">
        <f>INDEX(章节关卡!$C$6:$C$20,分段产出计算!J123)*分段产出计算!J128</f>
        <v>396000</v>
      </c>
      <c r="N128" s="26">
        <v>1.4</v>
      </c>
      <c r="O128" s="22">
        <f t="shared" si="18"/>
        <v>9.5890410958904104E-2</v>
      </c>
      <c r="P128" s="26">
        <f t="shared" si="19"/>
        <v>74700</v>
      </c>
    </row>
    <row r="129" spans="1:17" ht="16.5" x14ac:dyDescent="0.2">
      <c r="A129" s="18">
        <v>95</v>
      </c>
      <c r="B129" s="18">
        <v>71630</v>
      </c>
      <c r="D129" s="86"/>
      <c r="E129" s="86"/>
      <c r="F129" s="86"/>
      <c r="G129" s="86"/>
      <c r="I129" s="27" t="s">
        <v>48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80035</v>
      </c>
    </row>
    <row r="130" spans="1:17" ht="16.5" x14ac:dyDescent="0.2">
      <c r="A130" s="18">
        <v>96</v>
      </c>
      <c r="B130" s="18">
        <v>76405</v>
      </c>
      <c r="D130" s="86"/>
      <c r="E130" s="86"/>
      <c r="F130" s="86"/>
      <c r="G130" s="86"/>
      <c r="I130" s="27" t="s">
        <v>46</v>
      </c>
      <c r="J130" s="15">
        <f>(J124+L124+J125+L125+J126+L126+K127+K128)/(1-J129)</f>
        <v>779040</v>
      </c>
      <c r="K130" s="16"/>
      <c r="N130" s="26">
        <v>1.6</v>
      </c>
      <c r="O130" s="22">
        <f t="shared" si="18"/>
        <v>0.10958904109589042</v>
      </c>
      <c r="P130" s="26">
        <f t="shared" si="19"/>
        <v>85370</v>
      </c>
    </row>
    <row r="131" spans="1:17" ht="16.5" x14ac:dyDescent="0.2">
      <c r="A131" s="18">
        <v>97</v>
      </c>
      <c r="B131" s="18">
        <v>81180</v>
      </c>
      <c r="D131" s="86"/>
      <c r="E131" s="86"/>
      <c r="F131" s="86"/>
      <c r="G131" s="86"/>
      <c r="N131" s="26">
        <v>1.7</v>
      </c>
      <c r="O131" s="22">
        <f t="shared" si="18"/>
        <v>0.11643835616438356</v>
      </c>
      <c r="P131" s="26">
        <f t="shared" si="19"/>
        <v>90710</v>
      </c>
    </row>
    <row r="132" spans="1:17" ht="16.5" x14ac:dyDescent="0.2">
      <c r="A132" s="18">
        <v>98</v>
      </c>
      <c r="B132" s="18">
        <v>85955</v>
      </c>
      <c r="D132" s="86"/>
      <c r="E132" s="86"/>
      <c r="F132" s="86"/>
      <c r="G132" s="86"/>
      <c r="N132" s="26">
        <v>1.8</v>
      </c>
      <c r="O132" s="22">
        <f t="shared" si="18"/>
        <v>0.12328767123287672</v>
      </c>
      <c r="P132" s="26">
        <f t="shared" si="19"/>
        <v>96045</v>
      </c>
    </row>
    <row r="133" spans="1:17" ht="16.5" x14ac:dyDescent="0.2">
      <c r="A133" s="18">
        <v>99</v>
      </c>
      <c r="B133" s="18">
        <v>95505</v>
      </c>
      <c r="D133" s="86"/>
      <c r="E133" s="86"/>
      <c r="F133" s="86"/>
      <c r="G133" s="86"/>
      <c r="N133" s="26">
        <v>2</v>
      </c>
      <c r="O133" s="22">
        <f t="shared" si="18"/>
        <v>0.13698630136986301</v>
      </c>
      <c r="P133" s="26">
        <f t="shared" si="19"/>
        <v>106715</v>
      </c>
    </row>
    <row r="134" spans="1:17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  <row r="136" spans="1:17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>
        <f>SUM(N138:N147)</f>
        <v>14.6</v>
      </c>
      <c r="O136" s="16"/>
      <c r="P136" s="16"/>
      <c r="Q136" s="16"/>
    </row>
    <row r="137" spans="1:17" ht="17.25" x14ac:dyDescent="0.2">
      <c r="A137" s="18">
        <v>100</v>
      </c>
      <c r="B137" s="18">
        <v>77135</v>
      </c>
      <c r="D137" s="86"/>
      <c r="E137" s="86"/>
      <c r="F137" s="86"/>
      <c r="G137" s="86"/>
      <c r="I137" s="55" t="s">
        <v>181</v>
      </c>
      <c r="J137" s="56">
        <v>11</v>
      </c>
      <c r="K137" s="55" t="s">
        <v>181</v>
      </c>
      <c r="L137" s="56">
        <v>10</v>
      </c>
      <c r="M137" s="16"/>
      <c r="N137" s="12" t="s">
        <v>51</v>
      </c>
      <c r="O137" s="12" t="s">
        <v>49</v>
      </c>
      <c r="P137" s="12" t="s">
        <v>50</v>
      </c>
    </row>
    <row r="138" spans="1:17" ht="16.5" x14ac:dyDescent="0.2">
      <c r="A138" s="18">
        <v>101</v>
      </c>
      <c r="B138" s="18">
        <v>84850</v>
      </c>
      <c r="D138" s="86"/>
      <c r="E138" s="86"/>
      <c r="F138" s="86"/>
      <c r="G138" s="86"/>
      <c r="I138" s="55" t="s">
        <v>193</v>
      </c>
      <c r="J138" s="15">
        <f>SUMIFS(章节关卡!$AS$5:$AS$200,章节关卡!$AQ$5:$AQ$200,"="&amp;分段产出计算!J137)</f>
        <v>15900</v>
      </c>
      <c r="K138" s="55" t="s">
        <v>192</v>
      </c>
      <c r="L138" s="15">
        <f>SUMIFS(章节关卡!$AS$5:$AS$200,章节关卡!$AQ$5:$AQ$200,"="&amp;分段产出计算!L137)</f>
        <v>13200</v>
      </c>
      <c r="N138" s="56">
        <v>1</v>
      </c>
      <c r="O138" s="22">
        <f>N138/$N$122</f>
        <v>6.8493150684931503E-2</v>
      </c>
      <c r="P138" s="56">
        <f>INT($J$144*O138/5)*5</f>
        <v>81490</v>
      </c>
    </row>
    <row r="139" spans="1:17" ht="16.5" x14ac:dyDescent="0.2">
      <c r="A139" s="18">
        <v>102</v>
      </c>
      <c r="B139" s="18">
        <v>92560</v>
      </c>
      <c r="D139" s="86"/>
      <c r="E139" s="86"/>
      <c r="F139" s="86"/>
      <c r="G139" s="86"/>
      <c r="I139" s="55" t="s">
        <v>187</v>
      </c>
      <c r="J139" s="15">
        <f>SUMIFS(芦花古楼!$D$5:$D$104,芦花古楼!$B$5:$B$104,"="&amp;分段产出计算!J137)</f>
        <v>15900</v>
      </c>
      <c r="K139" s="55" t="s">
        <v>188</v>
      </c>
      <c r="L139" s="15">
        <f>SUMIFS(芦花古楼!$N$5:$N$104,芦花古楼!$L$5:$L$104,"="&amp;分段产出计算!J137)</f>
        <v>95400</v>
      </c>
      <c r="N139" s="56">
        <v>1.1000000000000001</v>
      </c>
      <c r="O139" s="22">
        <f t="shared" ref="O139:O147" si="20">N139/$N$122</f>
        <v>7.5342465753424667E-2</v>
      </c>
      <c r="P139" s="56">
        <f t="shared" ref="P139:P147" si="21">INT($J$144*O139/5)*5</f>
        <v>89640</v>
      </c>
    </row>
    <row r="140" spans="1:17" ht="16.5" x14ac:dyDescent="0.2">
      <c r="A140" s="18">
        <v>103</v>
      </c>
      <c r="B140" s="18">
        <v>100275</v>
      </c>
      <c r="D140" s="86"/>
      <c r="E140" s="86"/>
      <c r="F140" s="86"/>
      <c r="G140" s="86"/>
      <c r="I140" s="55" t="s">
        <v>189</v>
      </c>
      <c r="J140" s="15">
        <f>SUMIFS(芦花古楼!$X$5:$X$104,芦花古楼!$V$5:$V$104,"="&amp;分段产出计算!J137)</f>
        <v>143100</v>
      </c>
      <c r="K140" s="55" t="s">
        <v>190</v>
      </c>
      <c r="L140" s="15">
        <f>SUMIFS(芦花古楼!$AH$5:$AH$104,芦花古楼!$AF$5:$AF$104,"="&amp;分段产出计算!J137)</f>
        <v>143100</v>
      </c>
      <c r="N140" s="56">
        <v>1.2</v>
      </c>
      <c r="O140" s="22">
        <f t="shared" si="20"/>
        <v>8.2191780821917804E-2</v>
      </c>
      <c r="P140" s="56">
        <f t="shared" si="21"/>
        <v>97790</v>
      </c>
    </row>
    <row r="141" spans="1:17" ht="16.5" x14ac:dyDescent="0.2">
      <c r="A141" s="18">
        <v>104</v>
      </c>
      <c r="B141" s="18">
        <v>107990</v>
      </c>
      <c r="D141" s="86"/>
      <c r="E141" s="86"/>
      <c r="F141" s="86"/>
      <c r="G141" s="86"/>
      <c r="I141" s="55" t="s">
        <v>65</v>
      </c>
      <c r="J141" s="15">
        <f>INDEX(节奏总表!$R$4:$R$18,分段产出计算!J137)</f>
        <v>10</v>
      </c>
      <c r="K141" s="15">
        <f>日常任务!D82*分段产出计算!J141</f>
        <v>0</v>
      </c>
      <c r="N141" s="56">
        <v>1.3</v>
      </c>
      <c r="O141" s="22">
        <f t="shared" si="20"/>
        <v>8.9041095890410968E-2</v>
      </c>
      <c r="P141" s="56">
        <f t="shared" si="21"/>
        <v>105940</v>
      </c>
    </row>
    <row r="142" spans="1:17" ht="16.5" x14ac:dyDescent="0.2">
      <c r="A142" s="18">
        <v>105</v>
      </c>
      <c r="B142" s="18">
        <v>115705</v>
      </c>
      <c r="D142" s="86"/>
      <c r="E142" s="86"/>
      <c r="F142" s="86"/>
      <c r="G142" s="86"/>
      <c r="I142" s="55" t="s">
        <v>56</v>
      </c>
      <c r="J142" s="15">
        <f>INDEX(节奏总表!$R$4:$R$18,分段产出计算!J137)*24*60</f>
        <v>14400</v>
      </c>
      <c r="K142" s="15">
        <f>INDEX(章节关卡!$C$6:$C$20,分段产出计算!J137)*分段产出计算!J142</f>
        <v>763200</v>
      </c>
      <c r="N142" s="56">
        <v>1.4</v>
      </c>
      <c r="O142" s="22">
        <f t="shared" si="20"/>
        <v>9.5890410958904104E-2</v>
      </c>
      <c r="P142" s="56">
        <f t="shared" si="21"/>
        <v>114090</v>
      </c>
    </row>
    <row r="143" spans="1:17" ht="16.5" x14ac:dyDescent="0.2">
      <c r="A143" s="18">
        <v>106</v>
      </c>
      <c r="B143" s="18">
        <v>123415</v>
      </c>
      <c r="D143" s="86"/>
      <c r="E143" s="86"/>
      <c r="F143" s="86"/>
      <c r="G143" s="86"/>
      <c r="I143" s="55" t="s">
        <v>48</v>
      </c>
      <c r="J143" s="20">
        <v>0</v>
      </c>
      <c r="K143" s="15">
        <f>J144*J143</f>
        <v>0</v>
      </c>
      <c r="N143" s="56">
        <v>1.5</v>
      </c>
      <c r="O143" s="22">
        <f t="shared" si="20"/>
        <v>0.10273972602739727</v>
      </c>
      <c r="P143" s="56">
        <f t="shared" si="21"/>
        <v>122235</v>
      </c>
    </row>
    <row r="144" spans="1:17" ht="16.5" x14ac:dyDescent="0.2">
      <c r="A144" s="18">
        <v>107</v>
      </c>
      <c r="B144" s="18">
        <v>131130</v>
      </c>
      <c r="D144" s="86"/>
      <c r="E144" s="86"/>
      <c r="F144" s="86"/>
      <c r="G144" s="86"/>
      <c r="I144" s="55" t="s">
        <v>46</v>
      </c>
      <c r="J144" s="15">
        <f>(J138+L138+J139+L139+J140+L140+K141+K142)/(1-J143)</f>
        <v>1189800</v>
      </c>
      <c r="K144" s="16"/>
      <c r="N144" s="56">
        <v>1.6</v>
      </c>
      <c r="O144" s="22">
        <f t="shared" si="20"/>
        <v>0.10958904109589042</v>
      </c>
      <c r="P144" s="56">
        <f t="shared" si="21"/>
        <v>130385</v>
      </c>
    </row>
    <row r="145" spans="1:16" ht="16.5" x14ac:dyDescent="0.2">
      <c r="A145" s="18">
        <v>108</v>
      </c>
      <c r="B145" s="18">
        <v>138845</v>
      </c>
      <c r="D145" s="86"/>
      <c r="E145" s="86"/>
      <c r="F145" s="86"/>
      <c r="G145" s="86"/>
      <c r="N145" s="56">
        <v>1.7</v>
      </c>
      <c r="O145" s="22">
        <f t="shared" si="20"/>
        <v>0.11643835616438356</v>
      </c>
      <c r="P145" s="56">
        <f t="shared" si="21"/>
        <v>138535</v>
      </c>
    </row>
    <row r="146" spans="1:16" ht="16.5" x14ac:dyDescent="0.2">
      <c r="A146" s="18">
        <v>109</v>
      </c>
      <c r="B146" s="18">
        <v>154270</v>
      </c>
      <c r="D146" s="86"/>
      <c r="E146" s="86"/>
      <c r="F146" s="86"/>
      <c r="G146" s="86"/>
      <c r="N146" s="56">
        <v>1.8</v>
      </c>
      <c r="O146" s="22">
        <f t="shared" si="20"/>
        <v>0.12328767123287672</v>
      </c>
      <c r="P146" s="56">
        <f t="shared" si="21"/>
        <v>146685</v>
      </c>
    </row>
    <row r="147" spans="1:16" s="16" customFormat="1" ht="16.5" x14ac:dyDescent="0.2">
      <c r="I147"/>
      <c r="J147"/>
      <c r="K147"/>
      <c r="L147"/>
      <c r="M147"/>
      <c r="N147" s="56">
        <v>2</v>
      </c>
      <c r="O147" s="22">
        <f t="shared" si="20"/>
        <v>0.13698630136986301</v>
      </c>
      <c r="P147" s="56">
        <f t="shared" si="21"/>
        <v>162985</v>
      </c>
    </row>
    <row r="148" spans="1:16" s="16" customFormat="1" x14ac:dyDescent="0.2"/>
    <row r="149" spans="1:16" s="16" customFormat="1" x14ac:dyDescent="0.2"/>
    <row r="150" spans="1:16" s="16" customFormat="1" x14ac:dyDescent="0.2">
      <c r="N150" s="16">
        <f>SUM(N152:N161)</f>
        <v>14.6</v>
      </c>
    </row>
    <row r="151" spans="1:16" ht="17.25" x14ac:dyDescent="0.2">
      <c r="A151" s="18">
        <v>110</v>
      </c>
      <c r="B151" s="18">
        <v>114615</v>
      </c>
      <c r="D151" s="86"/>
      <c r="E151" s="86"/>
      <c r="F151" s="86"/>
      <c r="G151" s="86"/>
      <c r="I151" s="55" t="s">
        <v>181</v>
      </c>
      <c r="J151" s="56">
        <v>12</v>
      </c>
      <c r="K151" s="55" t="s">
        <v>181</v>
      </c>
      <c r="L151" s="56">
        <v>11</v>
      </c>
      <c r="M151" s="16"/>
      <c r="N151" s="12" t="s">
        <v>51</v>
      </c>
      <c r="O151" s="12" t="s">
        <v>49</v>
      </c>
      <c r="P151" s="12" t="s">
        <v>50</v>
      </c>
    </row>
    <row r="152" spans="1:16" ht="16.5" x14ac:dyDescent="0.2">
      <c r="A152" s="18">
        <v>111</v>
      </c>
      <c r="B152" s="18">
        <v>126075</v>
      </c>
      <c r="D152" s="86"/>
      <c r="E152" s="86"/>
      <c r="F152" s="86"/>
      <c r="G152" s="86"/>
      <c r="I152" s="55" t="s">
        <v>193</v>
      </c>
      <c r="J152" s="15">
        <f>SUMIFS(章节关卡!$AS$5:$AS$200,章节关卡!$AQ$5:$AQ$200,"="&amp;分段产出计算!J151)</f>
        <v>19500</v>
      </c>
      <c r="K152" s="55" t="s">
        <v>192</v>
      </c>
      <c r="L152" s="15">
        <f>SUMIFS(章节关卡!$AS$5:$AS$200,章节关卡!$AQ$5:$AQ$200,"="&amp;分段产出计算!L151)</f>
        <v>15900</v>
      </c>
      <c r="N152" s="56">
        <v>1</v>
      </c>
      <c r="O152" s="22">
        <f>N152/$N$122</f>
        <v>6.8493150684931503E-2</v>
      </c>
      <c r="P152" s="56">
        <f>INT($J$158*O152/5)*5</f>
        <v>130640</v>
      </c>
    </row>
    <row r="153" spans="1:16" ht="16.5" x14ac:dyDescent="0.2">
      <c r="A153" s="18">
        <v>112</v>
      </c>
      <c r="B153" s="18">
        <v>137535</v>
      </c>
      <c r="D153" s="86"/>
      <c r="E153" s="86"/>
      <c r="F153" s="86"/>
      <c r="G153" s="86"/>
      <c r="I153" s="55" t="s">
        <v>187</v>
      </c>
      <c r="J153" s="15">
        <f>SUMIFS(芦花古楼!$D$5:$D$104,芦花古楼!$B$5:$B$104,"="&amp;分段产出计算!J151)</f>
        <v>0</v>
      </c>
      <c r="K153" s="55" t="s">
        <v>188</v>
      </c>
      <c r="L153" s="15">
        <f>SUMIFS(芦花古楼!$N$5:$N$104,芦花古楼!$L$5:$L$104,"="&amp;分段产出计算!J151)</f>
        <v>117000</v>
      </c>
      <c r="N153" s="56">
        <v>1.1000000000000001</v>
      </c>
      <c r="O153" s="22">
        <f t="shared" ref="O153:O161" si="22">N153/$N$122</f>
        <v>7.5342465753424667E-2</v>
      </c>
      <c r="P153" s="56">
        <f t="shared" ref="P153:P161" si="23">INT($J$158*O153/5)*5</f>
        <v>143705</v>
      </c>
    </row>
    <row r="154" spans="1:16" ht="16.5" x14ac:dyDescent="0.2">
      <c r="A154" s="18">
        <v>113</v>
      </c>
      <c r="B154" s="18">
        <v>149000</v>
      </c>
      <c r="D154" s="86"/>
      <c r="E154" s="86"/>
      <c r="F154" s="86"/>
      <c r="G154" s="86"/>
      <c r="I154" s="55" t="s">
        <v>189</v>
      </c>
      <c r="J154" s="15">
        <f>SUMIFS(芦花古楼!$X$5:$X$104,芦花古楼!$V$5:$V$104,"="&amp;分段产出计算!J151)</f>
        <v>234000</v>
      </c>
      <c r="K154" s="55" t="s">
        <v>190</v>
      </c>
      <c r="L154" s="15">
        <f>SUMIFS(芦花古楼!$AH$5:$AH$104,芦花古楼!$AF$5:$AF$104,"="&amp;分段产出计算!J151)</f>
        <v>234000</v>
      </c>
      <c r="N154" s="56">
        <v>1.2</v>
      </c>
      <c r="O154" s="22">
        <f t="shared" si="22"/>
        <v>8.2191780821917804E-2</v>
      </c>
      <c r="P154" s="56">
        <f t="shared" si="23"/>
        <v>156770</v>
      </c>
    </row>
    <row r="155" spans="1:16" ht="16.5" x14ac:dyDescent="0.2">
      <c r="A155" s="18">
        <v>114</v>
      </c>
      <c r="B155" s="18">
        <v>160460</v>
      </c>
      <c r="D155" s="86"/>
      <c r="E155" s="86"/>
      <c r="F155" s="86"/>
      <c r="G155" s="86"/>
      <c r="I155" s="55" t="s">
        <v>65</v>
      </c>
      <c r="J155" s="15">
        <f>INDEX(节奏总表!$R$4:$R$18,分段产出计算!J151)</f>
        <v>13.75</v>
      </c>
      <c r="K155" s="15">
        <f>日常任务!D95*分段产出计算!J155</f>
        <v>0</v>
      </c>
      <c r="N155" s="56">
        <v>1.3</v>
      </c>
      <c r="O155" s="22">
        <f t="shared" si="22"/>
        <v>8.9041095890410968E-2</v>
      </c>
      <c r="P155" s="56">
        <f t="shared" si="23"/>
        <v>169835</v>
      </c>
    </row>
    <row r="156" spans="1:16" ht="16.5" x14ac:dyDescent="0.2">
      <c r="A156" s="18">
        <v>115</v>
      </c>
      <c r="B156" s="18">
        <v>171920</v>
      </c>
      <c r="D156" s="86"/>
      <c r="E156" s="86"/>
      <c r="F156" s="86"/>
      <c r="G156" s="86"/>
      <c r="I156" s="55" t="s">
        <v>56</v>
      </c>
      <c r="J156" s="15">
        <f>INDEX(节奏总表!$R$4:$R$18,分段产出计算!J151)*24*60</f>
        <v>19800</v>
      </c>
      <c r="K156" s="15">
        <f>INDEX(章节关卡!$C$6:$C$20,分段产出计算!J151)*分段产出计算!J156</f>
        <v>1287000</v>
      </c>
      <c r="N156" s="56">
        <v>1.4</v>
      </c>
      <c r="O156" s="22">
        <f t="shared" si="22"/>
        <v>9.5890410958904104E-2</v>
      </c>
      <c r="P156" s="56">
        <f t="shared" si="23"/>
        <v>182900</v>
      </c>
    </row>
    <row r="157" spans="1:16" ht="16.5" x14ac:dyDescent="0.2">
      <c r="A157" s="18">
        <v>116</v>
      </c>
      <c r="B157" s="18">
        <v>183385</v>
      </c>
      <c r="D157" s="86"/>
      <c r="E157" s="86"/>
      <c r="F157" s="86"/>
      <c r="G157" s="86"/>
      <c r="I157" s="55" t="s">
        <v>48</v>
      </c>
      <c r="J157" s="20">
        <v>0</v>
      </c>
      <c r="K157" s="15">
        <f>J158*J157</f>
        <v>0</v>
      </c>
      <c r="N157" s="56">
        <v>1.5</v>
      </c>
      <c r="O157" s="22">
        <f t="shared" si="22"/>
        <v>0.10273972602739727</v>
      </c>
      <c r="P157" s="56">
        <f t="shared" si="23"/>
        <v>195965</v>
      </c>
    </row>
    <row r="158" spans="1:16" ht="16.5" x14ac:dyDescent="0.2">
      <c r="A158" s="18">
        <v>117</v>
      </c>
      <c r="B158" s="18">
        <v>194845</v>
      </c>
      <c r="D158" s="86"/>
      <c r="E158" s="86"/>
      <c r="F158" s="86"/>
      <c r="G158" s="86"/>
      <c r="I158" s="55" t="s">
        <v>46</v>
      </c>
      <c r="J158" s="15">
        <f>(J152+L152+J153+L153+J154+L154+K155+K156)/(1-J157)</f>
        <v>1907400</v>
      </c>
      <c r="K158" s="16"/>
      <c r="N158" s="56">
        <v>1.6</v>
      </c>
      <c r="O158" s="22">
        <f t="shared" si="22"/>
        <v>0.10958904109589042</v>
      </c>
      <c r="P158" s="56">
        <f t="shared" si="23"/>
        <v>209030</v>
      </c>
    </row>
    <row r="159" spans="1:16" ht="16.5" x14ac:dyDescent="0.2">
      <c r="A159" s="18">
        <v>118</v>
      </c>
      <c r="B159" s="18">
        <v>206305</v>
      </c>
      <c r="D159" s="86"/>
      <c r="E159" s="86"/>
      <c r="F159" s="86"/>
      <c r="G159" s="86"/>
      <c r="N159" s="56">
        <v>1.7</v>
      </c>
      <c r="O159" s="22">
        <f t="shared" si="22"/>
        <v>0.11643835616438356</v>
      </c>
      <c r="P159" s="56">
        <f t="shared" si="23"/>
        <v>222090</v>
      </c>
    </row>
    <row r="160" spans="1:16" ht="16.5" x14ac:dyDescent="0.2">
      <c r="A160" s="18">
        <v>119</v>
      </c>
      <c r="B160" s="18">
        <v>229230</v>
      </c>
      <c r="D160" s="86"/>
      <c r="E160" s="86"/>
      <c r="F160" s="86"/>
      <c r="G160" s="86"/>
      <c r="N160" s="56">
        <v>1.8</v>
      </c>
      <c r="O160" s="22">
        <f t="shared" si="22"/>
        <v>0.12328767123287672</v>
      </c>
      <c r="P160" s="56">
        <f t="shared" si="23"/>
        <v>235155</v>
      </c>
    </row>
    <row r="161" spans="1:16" s="16" customFormat="1" ht="16.5" x14ac:dyDescent="0.2">
      <c r="I161"/>
      <c r="J161"/>
      <c r="K161"/>
      <c r="L161"/>
      <c r="M161"/>
      <c r="N161" s="56">
        <v>2</v>
      </c>
      <c r="O161" s="22">
        <f t="shared" si="22"/>
        <v>0.13698630136986301</v>
      </c>
      <c r="P161" s="56">
        <f t="shared" si="23"/>
        <v>261285</v>
      </c>
    </row>
    <row r="162" spans="1:16" s="16" customFormat="1" x14ac:dyDescent="0.2"/>
    <row r="163" spans="1:16" s="16" customFormat="1" x14ac:dyDescent="0.2"/>
    <row r="164" spans="1:16" s="16" customFormat="1" x14ac:dyDescent="0.2">
      <c r="N164" s="16">
        <f>SUM(N166:N175)</f>
        <v>14.6</v>
      </c>
    </row>
    <row r="165" spans="1:16" ht="17.25" x14ac:dyDescent="0.2">
      <c r="A165" s="18">
        <v>120</v>
      </c>
      <c r="B165" s="18">
        <v>161770</v>
      </c>
      <c r="D165" s="86"/>
      <c r="E165" s="86"/>
      <c r="F165" s="86"/>
      <c r="G165" s="86"/>
      <c r="I165" s="55" t="s">
        <v>181</v>
      </c>
      <c r="J165" s="56">
        <v>13</v>
      </c>
      <c r="K165" s="55" t="s">
        <v>181</v>
      </c>
      <c r="L165" s="56">
        <v>12</v>
      </c>
      <c r="M165" s="16"/>
      <c r="N165" s="12" t="s">
        <v>51</v>
      </c>
      <c r="O165" s="12" t="s">
        <v>49</v>
      </c>
      <c r="P165" s="12" t="s">
        <v>50</v>
      </c>
    </row>
    <row r="166" spans="1:16" ht="16.5" x14ac:dyDescent="0.2">
      <c r="A166" s="18">
        <v>121</v>
      </c>
      <c r="B166" s="18">
        <v>177950</v>
      </c>
      <c r="D166" s="86"/>
      <c r="E166" s="86"/>
      <c r="F166" s="86"/>
      <c r="G166" s="86"/>
      <c r="I166" s="55" t="s">
        <v>193</v>
      </c>
      <c r="J166" s="15">
        <f>SUMIFS(章节关卡!$AS$5:$AS$200,章节关卡!$AQ$5:$AQ$200,"="&amp;分段产出计算!J165)</f>
        <v>24000</v>
      </c>
      <c r="K166" s="55" t="s">
        <v>192</v>
      </c>
      <c r="L166" s="15">
        <f>SUMIFS(章节关卡!$AS$5:$AS$200,章节关卡!$AQ$5:$AQ$200,"="&amp;分段产出计算!L165)</f>
        <v>19500</v>
      </c>
      <c r="N166" s="56">
        <v>1</v>
      </c>
      <c r="O166" s="22">
        <f>N166/$N$122</f>
        <v>6.8493150684931503E-2</v>
      </c>
      <c r="P166" s="56">
        <f>INT($J$172*O166/5)*5</f>
        <v>161445</v>
      </c>
    </row>
    <row r="167" spans="1:16" ht="16.5" x14ac:dyDescent="0.2">
      <c r="A167" s="18">
        <v>122</v>
      </c>
      <c r="B167" s="18">
        <v>194125</v>
      </c>
      <c r="D167" s="86"/>
      <c r="E167" s="86"/>
      <c r="F167" s="86"/>
      <c r="G167" s="86"/>
      <c r="I167" s="55" t="s">
        <v>187</v>
      </c>
      <c r="J167" s="15">
        <f>SUMIFS(芦花古楼!$D$5:$D$104,芦花古楼!$B$5:$B$104,"="&amp;分段产出计算!J165)</f>
        <v>0</v>
      </c>
      <c r="K167" s="55" t="s">
        <v>188</v>
      </c>
      <c r="L167" s="15">
        <f>SUMIFS(芦花古楼!$N$5:$N$104,芦花古楼!$L$5:$L$104,"="&amp;分段产出计算!J165)</f>
        <v>9600</v>
      </c>
      <c r="N167" s="56">
        <v>1.1000000000000001</v>
      </c>
      <c r="O167" s="22">
        <f t="shared" ref="O167:O175" si="24">N167/$N$122</f>
        <v>7.5342465753424667E-2</v>
      </c>
      <c r="P167" s="56">
        <f t="shared" ref="P167:P175" si="25">INT($J$172*O167/5)*5</f>
        <v>177585</v>
      </c>
    </row>
    <row r="168" spans="1:16" ht="16.5" x14ac:dyDescent="0.2">
      <c r="A168" s="18">
        <v>123</v>
      </c>
      <c r="B168" s="18">
        <v>210305</v>
      </c>
      <c r="D168" s="86"/>
      <c r="E168" s="86"/>
      <c r="F168" s="86"/>
      <c r="G168" s="86"/>
      <c r="I168" s="55" t="s">
        <v>189</v>
      </c>
      <c r="J168" s="15">
        <f>SUMIFS(芦花古楼!$X$5:$X$104,芦花古楼!$V$5:$V$104,"="&amp;分段产出计算!J165)</f>
        <v>144000</v>
      </c>
      <c r="K168" s="55" t="s">
        <v>190</v>
      </c>
      <c r="L168" s="15">
        <f>SUMIFS(芦花古楼!$AH$5:$AH$104,芦花古楼!$AF$5:$AF$104,"="&amp;分段产出计算!J165)</f>
        <v>144000</v>
      </c>
      <c r="N168" s="56">
        <v>1.2</v>
      </c>
      <c r="O168" s="22">
        <f t="shared" si="24"/>
        <v>8.2191780821917804E-2</v>
      </c>
      <c r="P168" s="56">
        <f t="shared" si="25"/>
        <v>193730</v>
      </c>
    </row>
    <row r="169" spans="1:16" ht="16.5" x14ac:dyDescent="0.2">
      <c r="A169" s="18">
        <v>124</v>
      </c>
      <c r="B169" s="18">
        <v>226480</v>
      </c>
      <c r="D169" s="86"/>
      <c r="E169" s="86"/>
      <c r="F169" s="86"/>
      <c r="G169" s="86"/>
      <c r="I169" s="55" t="s">
        <v>65</v>
      </c>
      <c r="J169" s="15">
        <f>INDEX(节奏总表!$R$4:$R$18,分段产出计算!J165)</f>
        <v>17.5</v>
      </c>
      <c r="K169" s="15">
        <f>日常任务!D109*分段产出计算!J169</f>
        <v>0</v>
      </c>
      <c r="N169" s="56">
        <v>1.3</v>
      </c>
      <c r="O169" s="22">
        <f t="shared" si="24"/>
        <v>8.9041095890410968E-2</v>
      </c>
      <c r="P169" s="56">
        <f t="shared" si="25"/>
        <v>209875</v>
      </c>
    </row>
    <row r="170" spans="1:16" ht="16.5" x14ac:dyDescent="0.2">
      <c r="A170" s="18">
        <v>125</v>
      </c>
      <c r="B170" s="18">
        <v>242660</v>
      </c>
      <c r="D170" s="86"/>
      <c r="E170" s="86"/>
      <c r="F170" s="86"/>
      <c r="G170" s="86"/>
      <c r="I170" s="55" t="s">
        <v>56</v>
      </c>
      <c r="J170" s="15">
        <f>INDEX(节奏总表!$R$4:$R$18,分段产出计算!J165)*24*60</f>
        <v>25200</v>
      </c>
      <c r="K170" s="15">
        <f>INDEX(章节关卡!$C$6:$C$20,分段产出计算!J165)*分段产出计算!J170</f>
        <v>2016000</v>
      </c>
      <c r="N170" s="56">
        <v>1.4</v>
      </c>
      <c r="O170" s="22">
        <f t="shared" si="24"/>
        <v>9.5890410958904104E-2</v>
      </c>
      <c r="P170" s="56">
        <f t="shared" si="25"/>
        <v>226020</v>
      </c>
    </row>
    <row r="171" spans="1:16" ht="16.5" x14ac:dyDescent="0.2">
      <c r="A171" s="18">
        <v>126</v>
      </c>
      <c r="B171" s="18">
        <v>258835</v>
      </c>
      <c r="D171" s="86"/>
      <c r="E171" s="86"/>
      <c r="F171" s="86"/>
      <c r="G171" s="86"/>
      <c r="I171" s="55" t="s">
        <v>48</v>
      </c>
      <c r="J171" s="20">
        <v>0</v>
      </c>
      <c r="K171" s="15">
        <f>J172*J171</f>
        <v>0</v>
      </c>
      <c r="N171" s="56">
        <v>1.5</v>
      </c>
      <c r="O171" s="22">
        <f t="shared" si="24"/>
        <v>0.10273972602739727</v>
      </c>
      <c r="P171" s="56">
        <f t="shared" si="25"/>
        <v>242165</v>
      </c>
    </row>
    <row r="172" spans="1:16" ht="16.5" x14ac:dyDescent="0.2">
      <c r="A172" s="18">
        <v>127</v>
      </c>
      <c r="B172" s="18">
        <v>275015</v>
      </c>
      <c r="D172" s="86"/>
      <c r="E172" s="86"/>
      <c r="F172" s="86"/>
      <c r="G172" s="86"/>
      <c r="I172" s="55" t="s">
        <v>46</v>
      </c>
      <c r="J172" s="15">
        <f>(J166+L166+J167+L167+J168+L168+K169+K170)/(1-J171)</f>
        <v>2357100</v>
      </c>
      <c r="K172" s="16"/>
      <c r="N172" s="56">
        <v>1.6</v>
      </c>
      <c r="O172" s="22">
        <f t="shared" si="24"/>
        <v>0.10958904109589042</v>
      </c>
      <c r="P172" s="56">
        <f t="shared" si="25"/>
        <v>258310</v>
      </c>
    </row>
    <row r="173" spans="1:16" ht="16.5" x14ac:dyDescent="0.2">
      <c r="A173" s="18">
        <v>128</v>
      </c>
      <c r="B173" s="18">
        <v>291190</v>
      </c>
      <c r="D173" s="86"/>
      <c r="E173" s="86"/>
      <c r="F173" s="86"/>
      <c r="G173" s="86"/>
      <c r="N173" s="56">
        <v>1.7</v>
      </c>
      <c r="O173" s="22">
        <f t="shared" si="24"/>
        <v>0.11643835616438356</v>
      </c>
      <c r="P173" s="56">
        <f t="shared" si="25"/>
        <v>274455</v>
      </c>
    </row>
    <row r="174" spans="1:16" ht="16.5" x14ac:dyDescent="0.2">
      <c r="A174" s="18">
        <v>129</v>
      </c>
      <c r="B174" s="18">
        <v>323545</v>
      </c>
      <c r="D174" s="86"/>
      <c r="E174" s="86"/>
      <c r="F174" s="86"/>
      <c r="G174" s="86"/>
      <c r="N174" s="56">
        <v>1.8</v>
      </c>
      <c r="O174" s="22">
        <f t="shared" si="24"/>
        <v>0.12328767123287672</v>
      </c>
      <c r="P174" s="56">
        <f t="shared" si="25"/>
        <v>290600</v>
      </c>
    </row>
    <row r="175" spans="1:16" s="16" customFormat="1" ht="16.5" x14ac:dyDescent="0.2">
      <c r="I175"/>
      <c r="J175"/>
      <c r="K175"/>
      <c r="L175"/>
      <c r="M175"/>
      <c r="N175" s="56">
        <v>2</v>
      </c>
      <c r="O175" s="22">
        <f t="shared" si="24"/>
        <v>0.13698630136986301</v>
      </c>
      <c r="P175" s="56">
        <f t="shared" si="25"/>
        <v>322890</v>
      </c>
    </row>
    <row r="176" spans="1:16" s="16" customFormat="1" x14ac:dyDescent="0.2"/>
    <row r="177" spans="1:16" s="16" customFormat="1" x14ac:dyDescent="0.2"/>
    <row r="178" spans="1:16" s="16" customFormat="1" x14ac:dyDescent="0.2">
      <c r="N178" s="16">
        <f>SUM(N180:N189)</f>
        <v>14.6</v>
      </c>
    </row>
    <row r="179" spans="1:16" ht="17.25" x14ac:dyDescent="0.2">
      <c r="A179" s="18">
        <v>130</v>
      </c>
      <c r="B179" s="18">
        <v>274930</v>
      </c>
      <c r="D179" s="86"/>
      <c r="E179" s="86"/>
      <c r="F179" s="86"/>
      <c r="G179" s="86"/>
      <c r="I179" s="55" t="s">
        <v>181</v>
      </c>
      <c r="J179" s="56">
        <v>14</v>
      </c>
      <c r="K179" s="55" t="s">
        <v>181</v>
      </c>
      <c r="L179" s="56">
        <v>13</v>
      </c>
      <c r="M179" s="16"/>
      <c r="N179" s="12" t="s">
        <v>51</v>
      </c>
      <c r="O179" s="12" t="s">
        <v>49</v>
      </c>
      <c r="P179" s="12" t="s">
        <v>50</v>
      </c>
    </row>
    <row r="180" spans="1:16" ht="16.5" x14ac:dyDescent="0.2">
      <c r="A180" s="18">
        <v>131</v>
      </c>
      <c r="B180" s="18">
        <v>302420</v>
      </c>
      <c r="D180" s="86"/>
      <c r="E180" s="86"/>
      <c r="F180" s="86"/>
      <c r="G180" s="86"/>
      <c r="I180" s="55" t="s">
        <v>193</v>
      </c>
      <c r="J180" s="15">
        <f>SUMIFS(章节关卡!$AS$5:$AS$200,章节关卡!$AQ$5:$AQ$200,"="&amp;分段产出计算!J179)</f>
        <v>30000</v>
      </c>
      <c r="K180" s="55" t="s">
        <v>192</v>
      </c>
      <c r="L180" s="15">
        <f>SUMIFS(章节关卡!$AS$5:$AS$200,章节关卡!$AQ$5:$AQ$200,"="&amp;分段产出计算!L179)</f>
        <v>24000</v>
      </c>
      <c r="N180" s="56">
        <v>1</v>
      </c>
      <c r="O180" s="22">
        <f>N180/$N$122</f>
        <v>6.8493150684931503E-2</v>
      </c>
      <c r="P180" s="56">
        <f>INT($J$186*O180/5)*5</f>
        <v>265065</v>
      </c>
    </row>
    <row r="181" spans="1:16" ht="16.5" x14ac:dyDescent="0.2">
      <c r="A181" s="18">
        <v>132</v>
      </c>
      <c r="B181" s="18">
        <v>329915</v>
      </c>
      <c r="D181" s="86"/>
      <c r="E181" s="86"/>
      <c r="F181" s="86"/>
      <c r="G181" s="86"/>
      <c r="I181" s="55" t="s">
        <v>187</v>
      </c>
      <c r="J181" s="15">
        <f>SUMIFS(芦花古楼!$D$5:$D$104,芦花古楼!$B$5:$B$104,"="&amp;分段产出计算!J179)</f>
        <v>0</v>
      </c>
      <c r="K181" s="55" t="s">
        <v>188</v>
      </c>
      <c r="L181" s="15">
        <f>SUMIFS(芦花古楼!$N$5:$N$104,芦花古楼!$L$5:$L$104,"="&amp;分段产出计算!J179)</f>
        <v>0</v>
      </c>
      <c r="N181" s="56">
        <v>1.1000000000000001</v>
      </c>
      <c r="O181" s="22">
        <f t="shared" ref="O181:O189" si="26">N181/$N$122</f>
        <v>7.5342465753424667E-2</v>
      </c>
      <c r="P181" s="56">
        <f t="shared" ref="P181:P189" si="27">INT($J$186*O181/5)*5</f>
        <v>291575</v>
      </c>
    </row>
    <row r="182" spans="1:16" ht="16.5" x14ac:dyDescent="0.2">
      <c r="A182" s="18">
        <v>133</v>
      </c>
      <c r="B182" s="18">
        <v>357410</v>
      </c>
      <c r="D182" s="86"/>
      <c r="E182" s="86"/>
      <c r="F182" s="86"/>
      <c r="G182" s="86"/>
      <c r="I182" s="55" t="s">
        <v>189</v>
      </c>
      <c r="J182" s="15">
        <f>SUMIFS(芦花古楼!$X$5:$X$104,芦花古楼!$V$5:$V$104,"="&amp;分段产出计算!J179)</f>
        <v>108000</v>
      </c>
      <c r="K182" s="55" t="s">
        <v>190</v>
      </c>
      <c r="L182" s="15">
        <f>SUMIFS(芦花古楼!$AH$5:$AH$104,芦花古楼!$AF$5:$AF$104,"="&amp;分段产出计算!J179)</f>
        <v>108000</v>
      </c>
      <c r="N182" s="56">
        <v>1.2</v>
      </c>
      <c r="O182" s="22">
        <f t="shared" si="26"/>
        <v>8.2191780821917804E-2</v>
      </c>
      <c r="P182" s="56">
        <f t="shared" si="27"/>
        <v>318080</v>
      </c>
    </row>
    <row r="183" spans="1:16" ht="16.5" x14ac:dyDescent="0.2">
      <c r="A183" s="18">
        <v>134</v>
      </c>
      <c r="B183" s="18">
        <v>384900</v>
      </c>
      <c r="D183" s="86"/>
      <c r="E183" s="86"/>
      <c r="F183" s="86"/>
      <c r="G183" s="86"/>
      <c r="I183" s="55" t="s">
        <v>65</v>
      </c>
      <c r="J183" s="15">
        <f>INDEX(节奏总表!$R$4:$R$18,分段产出计算!J179)</f>
        <v>25</v>
      </c>
      <c r="K183" s="15">
        <f>日常任务!D123*分段产出计算!J183</f>
        <v>0</v>
      </c>
      <c r="N183" s="56">
        <v>1.3</v>
      </c>
      <c r="O183" s="22">
        <f t="shared" si="26"/>
        <v>8.9041095890410968E-2</v>
      </c>
      <c r="P183" s="56">
        <f t="shared" si="27"/>
        <v>344585</v>
      </c>
    </row>
    <row r="184" spans="1:16" ht="16.5" x14ac:dyDescent="0.2">
      <c r="A184" s="18">
        <v>135</v>
      </c>
      <c r="B184" s="18">
        <v>412395</v>
      </c>
      <c r="D184" s="86"/>
      <c r="E184" s="86"/>
      <c r="F184" s="86"/>
      <c r="G184" s="86"/>
      <c r="I184" s="55" t="s">
        <v>56</v>
      </c>
      <c r="J184" s="15">
        <f>INDEX(节奏总表!$R$4:$R$18,分段产出计算!J179)*24*60</f>
        <v>36000</v>
      </c>
      <c r="K184" s="15">
        <f>INDEX(章节关卡!$C$6:$C$20,分段产出计算!J179)*分段产出计算!J184</f>
        <v>3600000</v>
      </c>
      <c r="N184" s="56">
        <v>1.4</v>
      </c>
      <c r="O184" s="22">
        <f t="shared" si="26"/>
        <v>9.5890410958904104E-2</v>
      </c>
      <c r="P184" s="56">
        <f t="shared" si="27"/>
        <v>371095</v>
      </c>
    </row>
    <row r="185" spans="1:16" ht="16.5" x14ac:dyDescent="0.2">
      <c r="A185" s="18">
        <v>136</v>
      </c>
      <c r="B185" s="18">
        <v>439890</v>
      </c>
      <c r="D185" s="86"/>
      <c r="E185" s="86"/>
      <c r="F185" s="86"/>
      <c r="G185" s="86"/>
      <c r="I185" s="55" t="s">
        <v>48</v>
      </c>
      <c r="J185" s="20">
        <v>0</v>
      </c>
      <c r="K185" s="15">
        <f>J186*J185</f>
        <v>0</v>
      </c>
      <c r="N185" s="56">
        <v>1.5</v>
      </c>
      <c r="O185" s="22">
        <f t="shared" si="26"/>
        <v>0.10273972602739727</v>
      </c>
      <c r="P185" s="56">
        <f t="shared" si="27"/>
        <v>397600</v>
      </c>
    </row>
    <row r="186" spans="1:16" ht="16.5" x14ac:dyDescent="0.2">
      <c r="A186" s="18">
        <v>137</v>
      </c>
      <c r="B186" s="18">
        <v>467380</v>
      </c>
      <c r="D186" s="86"/>
      <c r="E186" s="86"/>
      <c r="F186" s="86"/>
      <c r="G186" s="86"/>
      <c r="I186" s="55" t="s">
        <v>46</v>
      </c>
      <c r="J186" s="15">
        <f>(J180+L180+J181+L181+J182+L182+K183+K184)/(1-J185)</f>
        <v>3870000</v>
      </c>
      <c r="K186" s="16"/>
      <c r="N186" s="56">
        <v>1.6</v>
      </c>
      <c r="O186" s="22">
        <f t="shared" si="26"/>
        <v>0.10958904109589042</v>
      </c>
      <c r="P186" s="56">
        <f t="shared" si="27"/>
        <v>424105</v>
      </c>
    </row>
    <row r="187" spans="1:16" ht="16.5" x14ac:dyDescent="0.2">
      <c r="A187" s="18">
        <v>138</v>
      </c>
      <c r="B187" s="18">
        <v>494875</v>
      </c>
      <c r="D187" s="86"/>
      <c r="E187" s="86"/>
      <c r="F187" s="86"/>
      <c r="G187" s="86"/>
      <c r="N187" s="56">
        <v>1.7</v>
      </c>
      <c r="O187" s="22">
        <f t="shared" si="26"/>
        <v>0.11643835616438356</v>
      </c>
      <c r="P187" s="56">
        <f t="shared" si="27"/>
        <v>450615</v>
      </c>
    </row>
    <row r="188" spans="1:16" ht="16.5" x14ac:dyDescent="0.2">
      <c r="A188" s="18">
        <v>139</v>
      </c>
      <c r="B188" s="18">
        <v>549860</v>
      </c>
      <c r="D188" s="86"/>
      <c r="E188" s="86"/>
      <c r="F188" s="86"/>
      <c r="G188" s="86"/>
      <c r="N188" s="56">
        <v>1.8</v>
      </c>
      <c r="O188" s="22">
        <f t="shared" si="26"/>
        <v>0.12328767123287672</v>
      </c>
      <c r="P188" s="56">
        <f t="shared" si="27"/>
        <v>477120</v>
      </c>
    </row>
    <row r="189" spans="1:16" s="16" customFormat="1" ht="16.5" x14ac:dyDescent="0.2">
      <c r="I189"/>
      <c r="J189"/>
      <c r="K189"/>
      <c r="L189"/>
      <c r="M189"/>
      <c r="N189" s="56">
        <v>2</v>
      </c>
      <c r="O189" s="22">
        <f t="shared" si="26"/>
        <v>0.13698630136986301</v>
      </c>
      <c r="P189" s="56">
        <f t="shared" si="27"/>
        <v>530135</v>
      </c>
    </row>
    <row r="190" spans="1:16" s="16" customFormat="1" x14ac:dyDescent="0.2"/>
    <row r="191" spans="1:16" s="16" customFormat="1" x14ac:dyDescent="0.2"/>
    <row r="192" spans="1:16" s="16" customFormat="1" x14ac:dyDescent="0.2">
      <c r="N192" s="16">
        <f>SUM(N194:N203)</f>
        <v>14.6</v>
      </c>
    </row>
    <row r="193" spans="1:16" ht="17.25" x14ac:dyDescent="0.2">
      <c r="A193" s="18">
        <v>140</v>
      </c>
      <c r="B193" s="18">
        <v>500855</v>
      </c>
      <c r="D193" s="86"/>
      <c r="E193" s="86"/>
      <c r="F193" s="86"/>
      <c r="G193" s="86"/>
      <c r="I193" s="55" t="s">
        <v>181</v>
      </c>
      <c r="J193" s="56">
        <v>15</v>
      </c>
      <c r="K193" s="55" t="s">
        <v>181</v>
      </c>
      <c r="L193" s="56">
        <v>14</v>
      </c>
      <c r="M193" s="16"/>
      <c r="N193" s="12" t="s">
        <v>51</v>
      </c>
      <c r="O193" s="12" t="s">
        <v>49</v>
      </c>
      <c r="P193" s="12" t="s">
        <v>50</v>
      </c>
    </row>
    <row r="194" spans="1:16" ht="16.5" x14ac:dyDescent="0.2">
      <c r="A194" s="18">
        <v>141</v>
      </c>
      <c r="B194" s="18">
        <v>550940</v>
      </c>
      <c r="D194" s="86"/>
      <c r="E194" s="86"/>
      <c r="F194" s="86"/>
      <c r="G194" s="86"/>
      <c r="I194" s="55" t="s">
        <v>193</v>
      </c>
      <c r="J194" s="15">
        <f>SUMIFS(章节关卡!$AS$5:$AS$200,章节关卡!$AQ$5:$AQ$200,"="&amp;分段产出计算!J193)</f>
        <v>37500</v>
      </c>
      <c r="K194" s="55" t="s">
        <v>192</v>
      </c>
      <c r="L194" s="15">
        <f>SUMIFS(章节关卡!$AS$5:$AS$200,章节关卡!$AQ$5:$AQ$200,"="&amp;分段产出计算!L193)</f>
        <v>30000</v>
      </c>
      <c r="N194" s="56">
        <v>1</v>
      </c>
      <c r="O194" s="22">
        <f>N194/$N$122</f>
        <v>6.8493150684931503E-2</v>
      </c>
      <c r="P194" s="56">
        <f>INT($J$200*O194/5)*5</f>
        <v>482360</v>
      </c>
    </row>
    <row r="195" spans="1:16" ht="16.5" x14ac:dyDescent="0.2">
      <c r="A195" s="18">
        <v>142</v>
      </c>
      <c r="B195" s="18">
        <v>601025</v>
      </c>
      <c r="D195" s="86"/>
      <c r="E195" s="86"/>
      <c r="F195" s="86"/>
      <c r="G195" s="86"/>
      <c r="I195" s="55" t="s">
        <v>187</v>
      </c>
      <c r="J195" s="15">
        <f>SUMIFS(芦花古楼!$D$5:$D$104,芦花古楼!$B$5:$B$104,"="&amp;分段产出计算!J193)</f>
        <v>0</v>
      </c>
      <c r="K195" s="55" t="s">
        <v>188</v>
      </c>
      <c r="L195" s="15">
        <f>SUMIFS(芦花古楼!$N$5:$N$104,芦花古楼!$L$5:$L$104,"="&amp;分段产出计算!J193)</f>
        <v>0</v>
      </c>
      <c r="N195" s="56">
        <v>1.1000000000000001</v>
      </c>
      <c r="O195" s="22">
        <f t="shared" ref="O195:O203" si="28">N195/$N$122</f>
        <v>7.5342465753424667E-2</v>
      </c>
      <c r="P195" s="56">
        <f t="shared" ref="P195:P203" si="29">INT($J$200*O195/5)*5</f>
        <v>530595</v>
      </c>
    </row>
    <row r="196" spans="1:16" ht="16.5" x14ac:dyDescent="0.2">
      <c r="A196" s="18">
        <v>143</v>
      </c>
      <c r="B196" s="18">
        <v>651110</v>
      </c>
      <c r="D196" s="86"/>
      <c r="E196" s="86"/>
      <c r="F196" s="86"/>
      <c r="G196" s="86"/>
      <c r="I196" s="55" t="s">
        <v>189</v>
      </c>
      <c r="J196" s="15">
        <f>SUMIFS(芦花古楼!$X$5:$X$104,芦花古楼!$V$5:$V$104,"="&amp;分段产出计算!J193)</f>
        <v>112500</v>
      </c>
      <c r="K196" s="55" t="s">
        <v>190</v>
      </c>
      <c r="L196" s="15">
        <f>SUMIFS(芦花古楼!$AH$5:$AH$104,芦花古楼!$AF$5:$AF$104,"="&amp;分段产出计算!J193)</f>
        <v>112500</v>
      </c>
      <c r="N196" s="56">
        <v>1.2</v>
      </c>
      <c r="O196" s="22">
        <f t="shared" si="28"/>
        <v>8.2191780821917804E-2</v>
      </c>
      <c r="P196" s="56">
        <f t="shared" si="29"/>
        <v>578835</v>
      </c>
    </row>
    <row r="197" spans="1:16" ht="16.5" x14ac:dyDescent="0.2">
      <c r="A197" s="18">
        <v>144</v>
      </c>
      <c r="B197" s="18">
        <v>701195</v>
      </c>
      <c r="D197" s="86"/>
      <c r="E197" s="86"/>
      <c r="F197" s="86"/>
      <c r="G197" s="86"/>
      <c r="I197" s="55" t="s">
        <v>65</v>
      </c>
      <c r="J197" s="15">
        <f>INDEX(节奏总表!$R$4:$R$18,分段产出计算!J193)</f>
        <v>37.5</v>
      </c>
      <c r="K197" s="15">
        <f>日常任务!D137*分段产出计算!J197</f>
        <v>0</v>
      </c>
      <c r="N197" s="56">
        <v>1.3</v>
      </c>
      <c r="O197" s="22">
        <f t="shared" si="28"/>
        <v>8.9041095890410968E-2</v>
      </c>
      <c r="P197" s="56">
        <f t="shared" si="29"/>
        <v>627070</v>
      </c>
    </row>
    <row r="198" spans="1:16" ht="16.5" x14ac:dyDescent="0.2">
      <c r="A198" s="18">
        <v>145</v>
      </c>
      <c r="B198" s="18">
        <v>751280</v>
      </c>
      <c r="D198" s="86"/>
      <c r="E198" s="86"/>
      <c r="F198" s="86"/>
      <c r="G198" s="86"/>
      <c r="I198" s="55" t="s">
        <v>56</v>
      </c>
      <c r="J198" s="15">
        <f>INDEX(节奏总表!$R$4:$R$18,分段产出计算!J193)*24*60</f>
        <v>54000</v>
      </c>
      <c r="K198" s="15">
        <f>INDEX(章节关卡!$C$6:$C$20,分段产出计算!J193)*分段产出计算!J198</f>
        <v>6750000</v>
      </c>
      <c r="N198" s="56">
        <v>1.4</v>
      </c>
      <c r="O198" s="22">
        <f t="shared" si="28"/>
        <v>9.5890410958904104E-2</v>
      </c>
      <c r="P198" s="56">
        <f t="shared" si="29"/>
        <v>675305</v>
      </c>
    </row>
    <row r="199" spans="1:16" ht="16.5" x14ac:dyDescent="0.2">
      <c r="A199" s="18">
        <v>146</v>
      </c>
      <c r="B199" s="18">
        <v>801365</v>
      </c>
      <c r="D199" s="86"/>
      <c r="E199" s="86"/>
      <c r="F199" s="86"/>
      <c r="G199" s="86"/>
      <c r="I199" s="55" t="s">
        <v>48</v>
      </c>
      <c r="J199" s="20">
        <v>0</v>
      </c>
      <c r="K199" s="15">
        <f>J200*J199</f>
        <v>0</v>
      </c>
      <c r="N199" s="56">
        <v>1.5</v>
      </c>
      <c r="O199" s="22">
        <f t="shared" si="28"/>
        <v>0.10273972602739727</v>
      </c>
      <c r="P199" s="56">
        <f t="shared" si="29"/>
        <v>723540</v>
      </c>
    </row>
    <row r="200" spans="1:16" ht="16.5" x14ac:dyDescent="0.2">
      <c r="A200" s="18">
        <v>147</v>
      </c>
      <c r="B200" s="18">
        <v>851455</v>
      </c>
      <c r="D200" s="86"/>
      <c r="E200" s="86"/>
      <c r="F200" s="86"/>
      <c r="G200" s="86"/>
      <c r="I200" s="55" t="s">
        <v>46</v>
      </c>
      <c r="J200" s="15">
        <f>(J194+L194+J195+L195+J196+L196+K197+K198)/(1-J199)</f>
        <v>7042500</v>
      </c>
      <c r="K200" s="16"/>
      <c r="N200" s="56">
        <v>1.6</v>
      </c>
      <c r="O200" s="22">
        <f t="shared" si="28"/>
        <v>0.10958904109589042</v>
      </c>
      <c r="P200" s="56">
        <f t="shared" si="29"/>
        <v>771780</v>
      </c>
    </row>
    <row r="201" spans="1:16" ht="16.5" x14ac:dyDescent="0.2">
      <c r="A201" s="18">
        <v>148</v>
      </c>
      <c r="B201" s="18">
        <v>901540</v>
      </c>
      <c r="D201" s="86"/>
      <c r="E201" s="86"/>
      <c r="F201" s="86"/>
      <c r="G201" s="86"/>
      <c r="N201" s="56">
        <v>1.7</v>
      </c>
      <c r="O201" s="22">
        <f t="shared" si="28"/>
        <v>0.11643835616438356</v>
      </c>
      <c r="P201" s="56">
        <f t="shared" si="29"/>
        <v>820015</v>
      </c>
    </row>
    <row r="202" spans="1:16" ht="16.5" x14ac:dyDescent="0.2">
      <c r="A202" s="18">
        <v>149</v>
      </c>
      <c r="B202" s="18">
        <v>1001710</v>
      </c>
      <c r="D202" s="86"/>
      <c r="E202" s="86"/>
      <c r="F202" s="86"/>
      <c r="G202" s="86"/>
      <c r="N202" s="56">
        <v>1.8</v>
      </c>
      <c r="O202" s="22">
        <f t="shared" si="28"/>
        <v>0.12328767123287672</v>
      </c>
      <c r="P202" s="56">
        <f t="shared" si="29"/>
        <v>868250</v>
      </c>
    </row>
    <row r="203" spans="1:16" ht="16.5" x14ac:dyDescent="0.2">
      <c r="A203" s="18">
        <v>150</v>
      </c>
      <c r="B203" s="56">
        <v>1101880</v>
      </c>
      <c r="N203" s="56">
        <v>2</v>
      </c>
      <c r="O203" s="22">
        <f t="shared" si="28"/>
        <v>0.13698630136986301</v>
      </c>
      <c r="P203" s="56">
        <f t="shared" si="29"/>
        <v>964725</v>
      </c>
    </row>
  </sheetData>
  <mergeCells count="16">
    <mergeCell ref="D137:G146"/>
    <mergeCell ref="D151:G160"/>
    <mergeCell ref="D165:G174"/>
    <mergeCell ref="D179:G188"/>
    <mergeCell ref="D193:G202"/>
    <mergeCell ref="D111:G120"/>
    <mergeCell ref="D124:G133"/>
    <mergeCell ref="D57:G66"/>
    <mergeCell ref="D71:G80"/>
    <mergeCell ref="D85:G94"/>
    <mergeCell ref="D98:G107"/>
    <mergeCell ref="A2:P2"/>
    <mergeCell ref="D5:G13"/>
    <mergeCell ref="D18:G27"/>
    <mergeCell ref="D31:G40"/>
    <mergeCell ref="D44:G5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B404"/>
  <sheetViews>
    <sheetView tabSelected="1" topLeftCell="AN1" zoomScaleNormal="100" workbookViewId="0">
      <selection activeCell="BA14" sqref="BA14"/>
    </sheetView>
  </sheetViews>
  <sheetFormatPr defaultRowHeight="14.25" x14ac:dyDescent="0.2"/>
  <cols>
    <col min="55" max="55" width="9.625" bestFit="1" customWidth="1"/>
    <col min="66" max="66" width="9" customWidth="1"/>
  </cols>
  <sheetData>
    <row r="3" spans="1:106" ht="16.5" customHeight="1" x14ac:dyDescent="0.2">
      <c r="A3" s="85" t="s">
        <v>83</v>
      </c>
      <c r="B3" s="85"/>
      <c r="C3" s="85"/>
      <c r="D3" s="85"/>
      <c r="E3" s="85"/>
      <c r="F3" s="85"/>
      <c r="G3" s="85"/>
      <c r="H3" s="85"/>
      <c r="K3" s="85" t="s">
        <v>84</v>
      </c>
      <c r="L3" s="85"/>
      <c r="M3" s="85"/>
      <c r="N3" s="85"/>
      <c r="O3" s="85"/>
      <c r="P3" s="85"/>
      <c r="Q3" s="85"/>
      <c r="R3" s="85"/>
      <c r="U3" s="85" t="s">
        <v>85</v>
      </c>
      <c r="V3" s="85"/>
      <c r="W3" s="85"/>
      <c r="X3" s="85"/>
      <c r="Y3" s="85"/>
      <c r="Z3" s="85"/>
      <c r="AA3" s="85"/>
      <c r="AB3" s="85"/>
      <c r="AE3" s="85" t="s">
        <v>86</v>
      </c>
      <c r="AF3" s="85"/>
      <c r="AG3" s="85"/>
      <c r="AH3" s="85"/>
      <c r="AI3" s="85"/>
      <c r="AJ3" s="85"/>
      <c r="AK3" s="85"/>
      <c r="AL3" s="85"/>
      <c r="AO3" s="97" t="s">
        <v>83</v>
      </c>
      <c r="AP3" s="98"/>
      <c r="AR3" s="97" t="s">
        <v>84</v>
      </c>
      <c r="AS3" s="98"/>
      <c r="AU3" s="97" t="s">
        <v>89</v>
      </c>
      <c r="AV3" s="98"/>
      <c r="AX3" s="97" t="s">
        <v>90</v>
      </c>
      <c r="AY3" s="98"/>
      <c r="BK3" s="96" t="s">
        <v>105</v>
      </c>
      <c r="BL3" s="96"/>
      <c r="BM3" s="15">
        <f>SUM(BC6:BD105)</f>
        <v>61000</v>
      </c>
    </row>
    <row r="4" spans="1:106" ht="30" x14ac:dyDescent="0.2">
      <c r="A4" s="12" t="s">
        <v>57</v>
      </c>
      <c r="B4" s="12" t="s">
        <v>181</v>
      </c>
      <c r="C4" s="12" t="s">
        <v>182</v>
      </c>
      <c r="D4" s="12" t="s">
        <v>58</v>
      </c>
      <c r="E4" s="12" t="s">
        <v>87</v>
      </c>
      <c r="F4" s="12" t="s">
        <v>87</v>
      </c>
      <c r="G4" s="12" t="s">
        <v>88</v>
      </c>
      <c r="H4" s="12" t="s">
        <v>647</v>
      </c>
      <c r="K4" s="12" t="s">
        <v>57</v>
      </c>
      <c r="L4" s="12" t="s">
        <v>183</v>
      </c>
      <c r="M4" s="12" t="s">
        <v>167</v>
      </c>
      <c r="N4" s="12" t="s">
        <v>58</v>
      </c>
      <c r="O4" s="12" t="s">
        <v>87</v>
      </c>
      <c r="P4" s="12" t="s">
        <v>87</v>
      </c>
      <c r="Q4" s="12" t="s">
        <v>88</v>
      </c>
      <c r="R4" s="12" t="s">
        <v>647</v>
      </c>
      <c r="U4" s="12" t="s">
        <v>57</v>
      </c>
      <c r="V4" s="12" t="s">
        <v>183</v>
      </c>
      <c r="W4" s="12" t="s">
        <v>167</v>
      </c>
      <c r="X4" s="12" t="s">
        <v>58</v>
      </c>
      <c r="Y4" s="12" t="s">
        <v>87</v>
      </c>
      <c r="Z4" s="12" t="s">
        <v>87</v>
      </c>
      <c r="AA4" s="12" t="s">
        <v>88</v>
      </c>
      <c r="AB4" s="12" t="s">
        <v>647</v>
      </c>
      <c r="AE4" s="12" t="s">
        <v>57</v>
      </c>
      <c r="AF4" s="12" t="s">
        <v>183</v>
      </c>
      <c r="AG4" s="12" t="s">
        <v>167</v>
      </c>
      <c r="AH4" s="12" t="s">
        <v>58</v>
      </c>
      <c r="AI4" s="12" t="s">
        <v>87</v>
      </c>
      <c r="AJ4" s="12" t="s">
        <v>87</v>
      </c>
      <c r="AK4" s="12" t="s">
        <v>88</v>
      </c>
      <c r="AL4" s="12" t="s">
        <v>647</v>
      </c>
      <c r="AO4" s="12" t="s">
        <v>91</v>
      </c>
      <c r="AP4" s="12" t="s">
        <v>92</v>
      </c>
      <c r="AR4" s="12" t="s">
        <v>91</v>
      </c>
      <c r="AS4" s="12" t="s">
        <v>92</v>
      </c>
      <c r="AU4" s="12" t="s">
        <v>91</v>
      </c>
      <c r="AV4" s="12" t="s">
        <v>92</v>
      </c>
      <c r="AX4" s="12" t="s">
        <v>91</v>
      </c>
      <c r="AY4" s="12" t="s">
        <v>92</v>
      </c>
      <c r="BB4" s="12" t="s">
        <v>93</v>
      </c>
      <c r="BC4" s="12" t="s">
        <v>96</v>
      </c>
      <c r="BD4" s="12" t="s">
        <v>97</v>
      </c>
      <c r="BE4" s="12" t="s">
        <v>98</v>
      </c>
      <c r="BF4" s="12" t="s">
        <v>648</v>
      </c>
      <c r="BH4" s="24" t="s">
        <v>94</v>
      </c>
      <c r="BI4" s="24" t="s">
        <v>95</v>
      </c>
      <c r="CD4" s="53" t="s">
        <v>513</v>
      </c>
      <c r="CE4" s="53" t="s">
        <v>514</v>
      </c>
      <c r="CF4" s="53" t="s">
        <v>515</v>
      </c>
      <c r="CG4" s="53" t="s">
        <v>516</v>
      </c>
      <c r="CH4" s="53" t="s">
        <v>535</v>
      </c>
      <c r="CI4" s="53" t="s">
        <v>536</v>
      </c>
      <c r="CJ4" s="53" t="s">
        <v>537</v>
      </c>
      <c r="CK4" s="53" t="s">
        <v>517</v>
      </c>
      <c r="CL4" s="53" t="s">
        <v>518</v>
      </c>
      <c r="CM4" s="53" t="s">
        <v>519</v>
      </c>
      <c r="CN4" s="53" t="s">
        <v>520</v>
      </c>
      <c r="CO4" s="53" t="s">
        <v>521</v>
      </c>
      <c r="CP4" s="53" t="s">
        <v>522</v>
      </c>
      <c r="CQ4" s="53" t="s">
        <v>523</v>
      </c>
      <c r="CR4" s="53" t="s">
        <v>524</v>
      </c>
      <c r="CS4" s="53" t="s">
        <v>525</v>
      </c>
      <c r="CT4" s="53" t="s">
        <v>526</v>
      </c>
      <c r="CU4" s="53" t="s">
        <v>527</v>
      </c>
      <c r="CV4" s="53" t="s">
        <v>528</v>
      </c>
      <c r="CW4" s="53" t="s">
        <v>529</v>
      </c>
      <c r="CX4" s="53" t="s">
        <v>530</v>
      </c>
      <c r="CY4" s="53" t="s">
        <v>531</v>
      </c>
      <c r="CZ4" s="53" t="s">
        <v>532</v>
      </c>
      <c r="DA4" s="53" t="s">
        <v>533</v>
      </c>
      <c r="DB4" s="53" t="s">
        <v>534</v>
      </c>
    </row>
    <row r="5" spans="1:106" ht="17.25" x14ac:dyDescent="0.2">
      <c r="A5" s="18">
        <v>1</v>
      </c>
      <c r="B5" s="26">
        <v>1</v>
      </c>
      <c r="C5" s="26">
        <v>60</v>
      </c>
      <c r="D5" s="18">
        <f>INDEX(章节关卡!$C$6:$C$20,芦花古楼!B5)*芦花古楼!C5</f>
        <v>300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600</v>
      </c>
      <c r="H5" s="15"/>
      <c r="K5" s="18">
        <v>1</v>
      </c>
      <c r="L5" s="26">
        <v>4</v>
      </c>
      <c r="M5" s="26">
        <v>120</v>
      </c>
      <c r="N5" s="26">
        <f>INDEX(章节关卡!$C$6:$C$20,芦花古楼!L5)*芦花古楼!M5</f>
        <v>1560</v>
      </c>
      <c r="O5" s="23">
        <f>INT((K5-1)/5+2)*5</f>
        <v>10</v>
      </c>
      <c r="P5" s="23">
        <f>INT(K5/5)*5+20</f>
        <v>20</v>
      </c>
      <c r="Q5" s="15">
        <f>INDEX(章节关卡!$E$6:$E$20,芦花古楼!L5)*芦花古楼!M5</f>
        <v>3000</v>
      </c>
      <c r="R5" s="15"/>
      <c r="U5" s="18">
        <v>1</v>
      </c>
      <c r="V5" s="26">
        <v>5</v>
      </c>
      <c r="W5" s="26">
        <v>180</v>
      </c>
      <c r="X5" s="26">
        <f>INDEX(章节关卡!$C$6:$C$20,芦花古楼!V5)*芦花古楼!W5</f>
        <v>2880</v>
      </c>
      <c r="Y5" s="23">
        <f t="shared" ref="Y5:Y36" si="0">INT((U5-1)/5+3)*5</f>
        <v>15</v>
      </c>
      <c r="Z5" s="23">
        <f t="shared" ref="Z5:Z36" si="1">INT(U5/5)*5+20</f>
        <v>20</v>
      </c>
      <c r="AA5" s="15">
        <f>INDEX(章节关卡!$E$6:$E$20,芦花古楼!V5)*芦花古楼!W5</f>
        <v>5760</v>
      </c>
      <c r="AB5" s="15"/>
      <c r="AE5" s="18">
        <v>1</v>
      </c>
      <c r="AF5" s="63">
        <v>5</v>
      </c>
      <c r="AG5" s="26">
        <v>180</v>
      </c>
      <c r="AH5" s="26">
        <f>INDEX(章节关卡!$C$6:$C$20,芦花古楼!AF5)*芦花古楼!AG5</f>
        <v>2880</v>
      </c>
      <c r="AI5" s="23">
        <f>INT((AE5-1)/5+4)*5</f>
        <v>20</v>
      </c>
      <c r="AJ5" s="23">
        <f>INT(AE5/5)*5+20</f>
        <v>20</v>
      </c>
      <c r="AK5" s="15">
        <f>INDEX(章节关卡!$E$6:$E$20,芦花古楼!AF5)*芦花古楼!AG5</f>
        <v>5760</v>
      </c>
      <c r="AL5" s="15"/>
      <c r="AO5" s="19">
        <v>0</v>
      </c>
      <c r="AP5" s="19">
        <v>0</v>
      </c>
      <c r="AR5" s="19">
        <v>0</v>
      </c>
      <c r="AS5" s="19">
        <v>0</v>
      </c>
      <c r="AU5" s="19">
        <v>0</v>
      </c>
      <c r="AV5" s="19">
        <v>0</v>
      </c>
      <c r="AX5" s="19">
        <v>0</v>
      </c>
      <c r="AY5" s="19">
        <v>0</v>
      </c>
      <c r="BB5" s="19">
        <v>0</v>
      </c>
      <c r="BC5" s="19"/>
      <c r="BH5" s="19">
        <v>1</v>
      </c>
      <c r="BI5" s="19">
        <v>1</v>
      </c>
      <c r="BM5" s="12" t="s">
        <v>109</v>
      </c>
      <c r="BN5" s="12" t="s">
        <v>99</v>
      </c>
      <c r="BO5" s="12" t="s">
        <v>100</v>
      </c>
      <c r="BP5" s="12" t="s">
        <v>101</v>
      </c>
      <c r="BQ5" s="12" t="s">
        <v>102</v>
      </c>
      <c r="BR5" s="12" t="s">
        <v>103</v>
      </c>
      <c r="BS5" s="12" t="s">
        <v>104</v>
      </c>
      <c r="CD5" s="52">
        <v>1</v>
      </c>
      <c r="CE5" s="52">
        <v>1</v>
      </c>
      <c r="CF5" s="54" t="s">
        <v>538</v>
      </c>
      <c r="CG5" s="52">
        <v>1</v>
      </c>
      <c r="CH5" s="52"/>
      <c r="CI5" s="52"/>
      <c r="CJ5" s="52"/>
      <c r="CK5" s="52" t="s">
        <v>539</v>
      </c>
      <c r="CL5" s="52">
        <v>900</v>
      </c>
      <c r="CM5" s="52" t="s">
        <v>540</v>
      </c>
      <c r="CN5" s="52">
        <v>5</v>
      </c>
      <c r="CO5" s="52"/>
      <c r="CP5" s="52"/>
      <c r="CQ5" s="52" t="s">
        <v>540</v>
      </c>
      <c r="CR5" s="52">
        <v>20</v>
      </c>
      <c r="CS5" s="52"/>
      <c r="CT5" s="52"/>
      <c r="CU5" s="52"/>
      <c r="CV5" s="52"/>
      <c r="CW5" s="52"/>
      <c r="CX5" s="52"/>
      <c r="CY5" s="52"/>
      <c r="CZ5" s="52"/>
      <c r="DA5" s="52"/>
      <c r="DB5" s="52"/>
    </row>
    <row r="6" spans="1:106" ht="16.5" x14ac:dyDescent="0.2">
      <c r="A6" s="18">
        <v>2</v>
      </c>
      <c r="B6" s="26">
        <v>1</v>
      </c>
      <c r="C6" s="39">
        <v>60</v>
      </c>
      <c r="D6" s="26">
        <f>INDEX(章节关卡!$C$6:$C$20,芦花古楼!B6)*芦花古楼!C6</f>
        <v>300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600</v>
      </c>
      <c r="H6" s="15"/>
      <c r="K6" s="18">
        <v>2</v>
      </c>
      <c r="L6" s="26">
        <v>4</v>
      </c>
      <c r="M6" s="39">
        <v>120</v>
      </c>
      <c r="N6" s="26">
        <f>INDEX(章节关卡!$C$6:$C$20,芦花古楼!L6)*芦花古楼!M6</f>
        <v>1560</v>
      </c>
      <c r="O6" s="23">
        <f t="shared" ref="O6:O69" si="4">INT((K6-1)/5+2)*5</f>
        <v>10</v>
      </c>
      <c r="P6" s="23">
        <f t="shared" ref="P6:P69" si="5">INT(K6/5)*5+20</f>
        <v>20</v>
      </c>
      <c r="Q6" s="15">
        <f>INDEX(章节关卡!$E$6:$E$20,芦花古楼!L6)*芦花古楼!M6</f>
        <v>3000</v>
      </c>
      <c r="R6" s="15"/>
      <c r="U6" s="18">
        <v>2</v>
      </c>
      <c r="V6" s="26">
        <v>5</v>
      </c>
      <c r="W6" s="39">
        <v>180</v>
      </c>
      <c r="X6" s="26">
        <f>INDEX(章节关卡!$C$6:$C$20,芦花古楼!V6)*芦花古楼!W6</f>
        <v>2880</v>
      </c>
      <c r="Y6" s="23">
        <f t="shared" si="0"/>
        <v>15</v>
      </c>
      <c r="Z6" s="23">
        <f t="shared" si="1"/>
        <v>20</v>
      </c>
      <c r="AA6" s="15">
        <f>INDEX(章节关卡!$E$6:$E$20,芦花古楼!V6)*芦花古楼!W6</f>
        <v>5760</v>
      </c>
      <c r="AB6" s="15"/>
      <c r="AE6" s="18">
        <v>2</v>
      </c>
      <c r="AF6" s="63">
        <v>5</v>
      </c>
      <c r="AG6" s="39">
        <v>180</v>
      </c>
      <c r="AH6" s="26">
        <f>INDEX(章节关卡!$C$6:$C$20,芦花古楼!AF6)*芦花古楼!AG6</f>
        <v>2880</v>
      </c>
      <c r="AI6" s="23">
        <f t="shared" ref="AI6:AI69" si="6">INT((AE6-1)/5+4)*5</f>
        <v>20</v>
      </c>
      <c r="AJ6" s="23">
        <f t="shared" ref="AJ6:AJ69" si="7">INT(AE6/5)*5+20</f>
        <v>20</v>
      </c>
      <c r="AK6" s="15">
        <f>INDEX(章节关卡!$E$6:$E$20,芦花古楼!AF6)*芦花古楼!AG6</f>
        <v>5760</v>
      </c>
      <c r="AL6" s="15"/>
      <c r="AO6" s="19">
        <v>1</v>
      </c>
      <c r="AP6" s="19">
        <v>1</v>
      </c>
      <c r="AR6" s="19">
        <v>1</v>
      </c>
      <c r="AS6" s="19">
        <f>AP6+1</f>
        <v>2</v>
      </c>
      <c r="AU6" s="19">
        <v>1</v>
      </c>
      <c r="AV6" s="19">
        <f>AS6+1</f>
        <v>3</v>
      </c>
      <c r="AX6" s="19">
        <v>1</v>
      </c>
      <c r="AY6" s="19">
        <f>AV6+1</f>
        <v>4</v>
      </c>
      <c r="BB6" s="19">
        <v>1</v>
      </c>
      <c r="BC6" s="15">
        <f t="shared" ref="BC6:BC37" si="8">SUMIFS($E$5:$E$104,$AP$6:$AP$105,"="&amp;BB6)+SUMIFS($O$5:$O$104,$AS$6:$AS$105,"="&amp;BB6)+SUMIFS($Y$5:$Y$104,$AV$6:$AV$105,"="&amp;BB6)+SUMIFS($AI$5:$AI$104,$AY$6:$AY$105,"="&amp;BB6)</f>
        <v>75</v>
      </c>
      <c r="BD6" s="15">
        <f t="shared" ref="BD6:BD37" si="9">INDEX($F$5:$F$104,MATCH(BB6,$AP$5:$AP$105,1)-1)+INDEX($P$5:$P$104,MATCH(BB6,$AS$5:$AS$105,1)-1)+INDEX($Z$5:$Z$104,MATCH(BB6,$AV$5:$AV$105,1)-1)+INDEX($AJ$5:$AJ$104,MATCH(BB6,$AY$5:$AY$105,1)-1)</f>
        <v>90</v>
      </c>
      <c r="BE6" s="15">
        <f t="shared" ref="BE6:BE37" si="10">SUMIFS($G$5:$G$104,$AP$6:$AP$105,"="&amp;BB6)+SUMIFS($Q$5:$Q$104,$AS$6:$AS$105,"="&amp;BB6)+SUMIFS($AA$5:$AA$104,$AV$6:$AV$105,"="&amp;BB6)+SUMIFS($AK$5:$AK$104,$AY$6:$AY$105,"="&amp;BB6)</f>
        <v>11100</v>
      </c>
      <c r="BF6" s="15">
        <f>INDEX($H$5:$H$104,MATCH(BB6,$AP$5:$AP$105,1)-1)+INDEX($R$5:$R$104,MATCH(BB6,$AS$5:$AS$105,1)-1)+INDEX($AB$5:$AB$104,MATCH(BB6,$AV$5:$AV$105,1)-1)+INDEX($AL$5:$AL$104,MATCH(BB6,$AY$5:$AY$105,1)-1)</f>
        <v>50</v>
      </c>
      <c r="BH6" s="19">
        <v>2</v>
      </c>
      <c r="BI6" s="19">
        <v>1</v>
      </c>
      <c r="BL6" s="14" t="s">
        <v>106</v>
      </c>
      <c r="BM6" s="23">
        <v>1</v>
      </c>
      <c r="BN6" s="23">
        <v>1.5</v>
      </c>
      <c r="BO6" s="23">
        <v>2.5</v>
      </c>
      <c r="BP6" s="23">
        <v>3.5</v>
      </c>
      <c r="BQ6" s="23">
        <v>5</v>
      </c>
      <c r="BR6" s="23">
        <v>5</v>
      </c>
      <c r="BS6" s="23">
        <v>5</v>
      </c>
      <c r="CD6" s="52">
        <v>2</v>
      </c>
      <c r="CE6" s="52">
        <v>1</v>
      </c>
      <c r="CF6" s="54" t="s">
        <v>538</v>
      </c>
      <c r="CG6" s="52">
        <v>2</v>
      </c>
      <c r="CH6" s="52"/>
      <c r="CI6" s="52"/>
      <c r="CJ6" s="52"/>
      <c r="CK6" s="52" t="s">
        <v>539</v>
      </c>
      <c r="CL6" s="52">
        <v>900</v>
      </c>
      <c r="CM6" s="52" t="s">
        <v>540</v>
      </c>
      <c r="CN6" s="52">
        <v>5</v>
      </c>
      <c r="CO6" s="52"/>
      <c r="CP6" s="52"/>
      <c r="CQ6" s="52" t="s">
        <v>540</v>
      </c>
      <c r="CR6" s="52">
        <v>20</v>
      </c>
      <c r="CS6" s="52"/>
      <c r="CT6" s="52"/>
      <c r="CU6" s="52"/>
      <c r="CV6" s="52"/>
      <c r="CW6" s="52"/>
      <c r="CX6" s="52"/>
      <c r="CY6" s="52"/>
      <c r="CZ6" s="52"/>
      <c r="DA6" s="52"/>
      <c r="DB6" s="52"/>
    </row>
    <row r="7" spans="1:106" ht="16.5" x14ac:dyDescent="0.2">
      <c r="A7" s="18">
        <v>3</v>
      </c>
      <c r="B7" s="26">
        <v>2</v>
      </c>
      <c r="C7" s="39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H7" s="15"/>
      <c r="K7" s="18">
        <v>3</v>
      </c>
      <c r="L7" s="26">
        <v>4</v>
      </c>
      <c r="M7" s="39">
        <v>120</v>
      </c>
      <c r="N7" s="26">
        <f>INDEX(章节关卡!$C$6:$C$20,芦花古楼!L7)*芦花古楼!M7</f>
        <v>1560</v>
      </c>
      <c r="O7" s="23">
        <f t="shared" si="4"/>
        <v>10</v>
      </c>
      <c r="P7" s="23">
        <f t="shared" si="5"/>
        <v>20</v>
      </c>
      <c r="Q7" s="15">
        <f>INDEX(章节关卡!$E$6:$E$20,芦花古楼!L7)*芦花古楼!M7</f>
        <v>3000</v>
      </c>
      <c r="R7" s="15"/>
      <c r="U7" s="18">
        <v>3</v>
      </c>
      <c r="V7" s="26">
        <v>5</v>
      </c>
      <c r="W7" s="39">
        <v>180</v>
      </c>
      <c r="X7" s="26">
        <f>INDEX(章节关卡!$C$6:$C$20,芦花古楼!V7)*芦花古楼!W7</f>
        <v>2880</v>
      </c>
      <c r="Y7" s="23">
        <f t="shared" si="0"/>
        <v>15</v>
      </c>
      <c r="Z7" s="23">
        <f t="shared" si="1"/>
        <v>20</v>
      </c>
      <c r="AA7" s="15">
        <f>INDEX(章节关卡!$E$6:$E$20,芦花古楼!V7)*芦花古楼!W7</f>
        <v>5760</v>
      </c>
      <c r="AB7" s="15"/>
      <c r="AE7" s="18">
        <v>3</v>
      </c>
      <c r="AF7" s="63">
        <v>5</v>
      </c>
      <c r="AG7" s="39">
        <v>180</v>
      </c>
      <c r="AH7" s="26">
        <f>INDEX(章节关卡!$C$6:$C$20,芦花古楼!AF7)*芦花古楼!AG7</f>
        <v>2880</v>
      </c>
      <c r="AI7" s="23">
        <f t="shared" si="6"/>
        <v>20</v>
      </c>
      <c r="AJ7" s="23">
        <f t="shared" si="7"/>
        <v>20</v>
      </c>
      <c r="AK7" s="15">
        <f>INDEX(章节关卡!$E$6:$E$20,芦花古楼!AF7)*芦花古楼!AG7</f>
        <v>5760</v>
      </c>
      <c r="AL7" s="15"/>
      <c r="AO7" s="19">
        <v>2</v>
      </c>
      <c r="AP7" s="19">
        <v>1</v>
      </c>
      <c r="AR7" s="19">
        <v>2</v>
      </c>
      <c r="AS7" s="19">
        <f t="shared" ref="AS7:AS70" si="11">AP7+1</f>
        <v>2</v>
      </c>
      <c r="AU7" s="19">
        <v>2</v>
      </c>
      <c r="AV7" s="19">
        <f t="shared" ref="AV7:AV70" si="12">AS7+1</f>
        <v>3</v>
      </c>
      <c r="AX7" s="19">
        <v>2</v>
      </c>
      <c r="AY7" s="19">
        <f t="shared" ref="AY7:AY70" si="13">AV7+1</f>
        <v>4</v>
      </c>
      <c r="BB7" s="19">
        <v>2</v>
      </c>
      <c r="BC7" s="15">
        <f t="shared" si="8"/>
        <v>240</v>
      </c>
      <c r="BD7" s="15">
        <f t="shared" si="9"/>
        <v>105</v>
      </c>
      <c r="BE7" s="15">
        <f t="shared" si="10"/>
        <v>48480</v>
      </c>
      <c r="BF7" s="15">
        <f t="shared" ref="BF7:BF70" si="14">INDEX($H$5:$H$104,MATCH(BB7,$AP$5:$AP$105,1)-1)+INDEX($R$5:$R$104,MATCH(BB7,$AS$5:$AS$105,1)-1)+INDEX($AB$5:$AB$104,MATCH(BB7,$AV$5:$AV$105,1)-1)+INDEX($AL$5:$AL$104,MATCH(BB7,$AY$5:$AY$105,1)-1)</f>
        <v>100</v>
      </c>
      <c r="BH7" s="19">
        <v>3</v>
      </c>
      <c r="BI7" s="19">
        <v>2</v>
      </c>
      <c r="BL7" s="14" t="s">
        <v>107</v>
      </c>
      <c r="BM7" s="23">
        <v>1</v>
      </c>
      <c r="BN7" s="23">
        <v>1.5</v>
      </c>
      <c r="BO7" s="23">
        <v>2.5</v>
      </c>
      <c r="BP7" s="23">
        <v>3.5</v>
      </c>
      <c r="BQ7" s="23">
        <v>5</v>
      </c>
      <c r="BR7" s="23">
        <v>5</v>
      </c>
      <c r="BS7" s="23">
        <v>5</v>
      </c>
      <c r="CD7" s="52">
        <v>3</v>
      </c>
      <c r="CE7" s="52">
        <v>1</v>
      </c>
      <c r="CF7" s="54" t="s">
        <v>538</v>
      </c>
      <c r="CG7" s="52">
        <v>3</v>
      </c>
      <c r="CH7" s="52"/>
      <c r="CI7" s="52"/>
      <c r="CJ7" s="52"/>
      <c r="CK7" s="52" t="s">
        <v>539</v>
      </c>
      <c r="CL7" s="52">
        <v>900</v>
      </c>
      <c r="CM7" s="52" t="s">
        <v>540</v>
      </c>
      <c r="CN7" s="52">
        <v>5</v>
      </c>
      <c r="CO7" s="52"/>
      <c r="CP7" s="52"/>
      <c r="CQ7" s="52" t="s">
        <v>540</v>
      </c>
      <c r="CR7" s="52">
        <v>20</v>
      </c>
      <c r="CS7" s="52"/>
      <c r="CT7" s="52"/>
      <c r="CU7" s="52"/>
      <c r="CV7" s="52"/>
      <c r="CW7" s="52"/>
      <c r="CX7" s="52"/>
      <c r="CY7" s="52"/>
      <c r="CZ7" s="52"/>
      <c r="DA7" s="52"/>
      <c r="DB7" s="52"/>
    </row>
    <row r="8" spans="1:106" ht="16.5" x14ac:dyDescent="0.2">
      <c r="A8" s="18">
        <v>4</v>
      </c>
      <c r="B8" s="26">
        <v>2</v>
      </c>
      <c r="C8" s="39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H8" s="15"/>
      <c r="K8" s="18">
        <v>4</v>
      </c>
      <c r="L8" s="26">
        <v>4</v>
      </c>
      <c r="M8" s="39">
        <v>120</v>
      </c>
      <c r="N8" s="26">
        <f>INDEX(章节关卡!$C$6:$C$20,芦花古楼!L8)*芦花古楼!M8</f>
        <v>1560</v>
      </c>
      <c r="O8" s="23">
        <f t="shared" si="4"/>
        <v>10</v>
      </c>
      <c r="P8" s="23">
        <f t="shared" si="5"/>
        <v>20</v>
      </c>
      <c r="Q8" s="15">
        <f>INDEX(章节关卡!$E$6:$E$20,芦花古楼!L8)*芦花古楼!M8</f>
        <v>3000</v>
      </c>
      <c r="R8" s="15"/>
      <c r="U8" s="18">
        <v>4</v>
      </c>
      <c r="V8" s="26">
        <v>5</v>
      </c>
      <c r="W8" s="39">
        <v>180</v>
      </c>
      <c r="X8" s="26">
        <f>INDEX(章节关卡!$C$6:$C$20,芦花古楼!V8)*芦花古楼!W8</f>
        <v>2880</v>
      </c>
      <c r="Y8" s="23">
        <f t="shared" si="0"/>
        <v>15</v>
      </c>
      <c r="Z8" s="23">
        <f t="shared" si="1"/>
        <v>20</v>
      </c>
      <c r="AA8" s="15">
        <f>INDEX(章节关卡!$E$6:$E$20,芦花古楼!V8)*芦花古楼!W8</f>
        <v>5760</v>
      </c>
      <c r="AB8" s="15"/>
      <c r="AE8" s="18">
        <v>4</v>
      </c>
      <c r="AF8" s="63">
        <v>5</v>
      </c>
      <c r="AG8" s="39">
        <v>180</v>
      </c>
      <c r="AH8" s="26">
        <f>INDEX(章节关卡!$C$6:$C$20,芦花古楼!AF8)*芦花古楼!AG8</f>
        <v>2880</v>
      </c>
      <c r="AI8" s="23">
        <f t="shared" si="6"/>
        <v>20</v>
      </c>
      <c r="AJ8" s="23">
        <f t="shared" si="7"/>
        <v>20</v>
      </c>
      <c r="AK8" s="15">
        <f>INDEX(章节关卡!$E$6:$E$20,芦花古楼!AF8)*芦花古楼!AG8</f>
        <v>5760</v>
      </c>
      <c r="AL8" s="15"/>
      <c r="AO8" s="19">
        <v>3</v>
      </c>
      <c r="AP8" s="19">
        <v>1</v>
      </c>
      <c r="AR8" s="19">
        <v>3</v>
      </c>
      <c r="AS8" s="19">
        <f t="shared" si="11"/>
        <v>2</v>
      </c>
      <c r="AU8" s="19">
        <v>3</v>
      </c>
      <c r="AV8" s="19">
        <f t="shared" si="12"/>
        <v>3</v>
      </c>
      <c r="AX8" s="19">
        <v>3</v>
      </c>
      <c r="AY8" s="19">
        <f t="shared" si="13"/>
        <v>4</v>
      </c>
      <c r="BB8" s="19">
        <v>3</v>
      </c>
      <c r="BC8" s="15">
        <f t="shared" si="8"/>
        <v>435</v>
      </c>
      <c r="BD8" s="15">
        <f t="shared" si="9"/>
        <v>125</v>
      </c>
      <c r="BE8" s="15">
        <f t="shared" si="10"/>
        <v>108960</v>
      </c>
      <c r="BF8" s="15">
        <f t="shared" si="14"/>
        <v>200</v>
      </c>
      <c r="BH8" s="19">
        <v>4</v>
      </c>
      <c r="BI8" s="19">
        <v>3</v>
      </c>
      <c r="BL8" s="14" t="s">
        <v>108</v>
      </c>
      <c r="BM8" s="23">
        <v>2</v>
      </c>
      <c r="BN8" s="23">
        <v>2</v>
      </c>
      <c r="BO8" s="23">
        <v>4</v>
      </c>
      <c r="BP8" s="23">
        <v>4</v>
      </c>
      <c r="BQ8" s="23">
        <v>6</v>
      </c>
      <c r="BR8" s="23">
        <v>6</v>
      </c>
      <c r="BS8" s="23">
        <v>6</v>
      </c>
      <c r="CD8" s="52">
        <v>4</v>
      </c>
      <c r="CE8" s="52">
        <v>1</v>
      </c>
      <c r="CF8" s="54" t="s">
        <v>538</v>
      </c>
      <c r="CG8" s="52">
        <v>4</v>
      </c>
      <c r="CH8" s="52"/>
      <c r="CI8" s="52"/>
      <c r="CJ8" s="52"/>
      <c r="CK8" s="52" t="s">
        <v>539</v>
      </c>
      <c r="CL8" s="52">
        <v>900</v>
      </c>
      <c r="CM8" s="52" t="s">
        <v>540</v>
      </c>
      <c r="CN8" s="52">
        <v>5</v>
      </c>
      <c r="CO8" s="52"/>
      <c r="CP8" s="52"/>
      <c r="CQ8" s="52" t="s">
        <v>540</v>
      </c>
      <c r="CR8" s="52">
        <v>20</v>
      </c>
      <c r="CS8" s="52"/>
      <c r="CT8" s="52"/>
      <c r="CU8" s="52"/>
      <c r="CV8" s="52"/>
      <c r="CW8" s="52"/>
      <c r="CX8" s="52"/>
      <c r="CY8" s="52"/>
      <c r="CZ8" s="52"/>
      <c r="DA8" s="52"/>
      <c r="DB8" s="52"/>
    </row>
    <row r="9" spans="1:106" ht="16.5" x14ac:dyDescent="0.2">
      <c r="A9" s="18">
        <v>5</v>
      </c>
      <c r="B9" s="26">
        <v>3</v>
      </c>
      <c r="C9" s="39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H9" s="15">
        <v>50</v>
      </c>
      <c r="K9" s="18">
        <v>5</v>
      </c>
      <c r="L9" s="26">
        <v>5</v>
      </c>
      <c r="M9" s="39">
        <v>120</v>
      </c>
      <c r="N9" s="26">
        <f>INDEX(章节关卡!$C$6:$C$20,芦花古楼!L9)*芦花古楼!M9</f>
        <v>1920</v>
      </c>
      <c r="O9" s="23">
        <f t="shared" si="4"/>
        <v>10</v>
      </c>
      <c r="P9" s="23">
        <f t="shared" si="5"/>
        <v>25</v>
      </c>
      <c r="Q9" s="15">
        <f>INDEX(章节关卡!$E$6:$E$20,芦花古楼!L9)*芦花古楼!M9</f>
        <v>3840</v>
      </c>
      <c r="R9" s="15">
        <v>50</v>
      </c>
      <c r="U9" s="18">
        <v>5</v>
      </c>
      <c r="V9" s="63">
        <v>5</v>
      </c>
      <c r="W9" s="39">
        <v>180</v>
      </c>
      <c r="X9" s="26">
        <f>INDEX(章节关卡!$C$6:$C$20,芦花古楼!V9)*芦花古楼!W9</f>
        <v>2880</v>
      </c>
      <c r="Y9" s="23">
        <f t="shared" si="0"/>
        <v>15</v>
      </c>
      <c r="Z9" s="23">
        <f t="shared" si="1"/>
        <v>25</v>
      </c>
      <c r="AA9" s="15">
        <f>INDEX(章节关卡!$E$6:$E$20,芦花古楼!V9)*芦花古楼!W9</f>
        <v>5760</v>
      </c>
      <c r="AB9" s="15">
        <v>50</v>
      </c>
      <c r="AE9" s="18">
        <v>5</v>
      </c>
      <c r="AF9" s="63">
        <v>5</v>
      </c>
      <c r="AG9" s="39">
        <v>180</v>
      </c>
      <c r="AH9" s="26">
        <f>INDEX(章节关卡!$C$6:$C$20,芦花古楼!AF9)*芦花古楼!AG9</f>
        <v>2880</v>
      </c>
      <c r="AI9" s="23">
        <f t="shared" si="6"/>
        <v>20</v>
      </c>
      <c r="AJ9" s="23">
        <f t="shared" si="7"/>
        <v>25</v>
      </c>
      <c r="AK9" s="15">
        <f>INDEX(章节关卡!$E$6:$E$20,芦花古楼!AF9)*芦花古楼!AG9</f>
        <v>5760</v>
      </c>
      <c r="AL9" s="15">
        <v>50</v>
      </c>
      <c r="AO9" s="19">
        <v>4</v>
      </c>
      <c r="AP9" s="19">
        <v>1</v>
      </c>
      <c r="AR9" s="19">
        <v>4</v>
      </c>
      <c r="AS9" s="19">
        <f t="shared" si="11"/>
        <v>2</v>
      </c>
      <c r="AU9" s="19">
        <v>4</v>
      </c>
      <c r="AV9" s="19">
        <f t="shared" si="12"/>
        <v>3</v>
      </c>
      <c r="AX9" s="19">
        <v>4</v>
      </c>
      <c r="AY9" s="19">
        <f t="shared" si="13"/>
        <v>4</v>
      </c>
      <c r="BB9" s="19">
        <v>4</v>
      </c>
      <c r="BC9" s="15">
        <f t="shared" si="8"/>
        <v>680</v>
      </c>
      <c r="BD9" s="15">
        <f t="shared" si="9"/>
        <v>150</v>
      </c>
      <c r="BE9" s="15">
        <f t="shared" si="10"/>
        <v>171000</v>
      </c>
      <c r="BF9" s="15">
        <f t="shared" si="14"/>
        <v>300</v>
      </c>
      <c r="BH9" s="19">
        <v>5</v>
      </c>
      <c r="BI9" s="19">
        <v>3</v>
      </c>
      <c r="BL9" s="14" t="s">
        <v>110</v>
      </c>
      <c r="BM9" s="15">
        <f>SUMPRODUCT(BM6:BS6,BM8:BS8)</f>
        <v>119</v>
      </c>
      <c r="BN9" s="14" t="s">
        <v>119</v>
      </c>
      <c r="BO9" s="23">
        <f>SUMPRODUCT(BM7:BS7,BM8:BS8)</f>
        <v>119</v>
      </c>
      <c r="BP9" s="14" t="s">
        <v>126</v>
      </c>
      <c r="BQ9" s="23">
        <f>SUMPRODUCT(BM7:BP7,BM8:BP8)</f>
        <v>29</v>
      </c>
      <c r="BR9" s="16"/>
      <c r="BS9" s="16"/>
      <c r="CD9" s="52">
        <v>5</v>
      </c>
      <c r="CE9" s="52">
        <v>1</v>
      </c>
      <c r="CF9" s="54" t="s">
        <v>538</v>
      </c>
      <c r="CG9" s="52">
        <v>5</v>
      </c>
      <c r="CH9" s="52"/>
      <c r="CI9" s="52"/>
      <c r="CJ9" s="52"/>
      <c r="CK9" s="52" t="s">
        <v>539</v>
      </c>
      <c r="CL9" s="52">
        <v>1200</v>
      </c>
      <c r="CM9" s="52" t="s">
        <v>540</v>
      </c>
      <c r="CN9" s="52">
        <v>5</v>
      </c>
      <c r="CO9" s="52"/>
      <c r="CP9" s="52"/>
      <c r="CQ9" s="52" t="s">
        <v>540</v>
      </c>
      <c r="CR9" s="52">
        <v>25</v>
      </c>
      <c r="CS9" s="52"/>
      <c r="CT9" s="52"/>
      <c r="CU9" s="52"/>
      <c r="CV9" s="52"/>
      <c r="CW9" s="52"/>
      <c r="CX9" s="52"/>
      <c r="CY9" s="52"/>
      <c r="CZ9" s="52"/>
      <c r="DA9" s="52"/>
      <c r="DB9" s="52"/>
    </row>
    <row r="10" spans="1:106" ht="16.5" x14ac:dyDescent="0.2">
      <c r="A10" s="18">
        <v>6</v>
      </c>
      <c r="B10" s="26">
        <v>3</v>
      </c>
      <c r="C10" s="39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H10" s="15">
        <v>50</v>
      </c>
      <c r="K10" s="18">
        <v>6</v>
      </c>
      <c r="L10" s="63">
        <v>5</v>
      </c>
      <c r="M10" s="39">
        <v>120</v>
      </c>
      <c r="N10" s="26">
        <f>INDEX(章节关卡!$C$6:$C$20,芦花古楼!L10)*芦花古楼!M10</f>
        <v>1920</v>
      </c>
      <c r="O10" s="23">
        <f t="shared" si="4"/>
        <v>15</v>
      </c>
      <c r="P10" s="23">
        <f t="shared" si="5"/>
        <v>25</v>
      </c>
      <c r="Q10" s="15">
        <f>INDEX(章节关卡!$E$6:$E$20,芦花古楼!L10)*芦花古楼!M10</f>
        <v>3840</v>
      </c>
      <c r="R10" s="15">
        <v>50</v>
      </c>
      <c r="U10" s="18">
        <v>6</v>
      </c>
      <c r="V10" s="26">
        <v>6</v>
      </c>
      <c r="W10" s="39">
        <v>180</v>
      </c>
      <c r="X10" s="26">
        <f>INDEX(章节关卡!$C$6:$C$20,芦花古楼!V10)*芦花古楼!W10</f>
        <v>3600</v>
      </c>
      <c r="Y10" s="23">
        <f t="shared" si="0"/>
        <v>20</v>
      </c>
      <c r="Z10" s="23">
        <f t="shared" si="1"/>
        <v>25</v>
      </c>
      <c r="AA10" s="15">
        <f>INDEX(章节关卡!$E$6:$E$20,芦花古楼!V10)*芦花古楼!W10</f>
        <v>7200</v>
      </c>
      <c r="AB10" s="15">
        <v>50</v>
      </c>
      <c r="AE10" s="18">
        <v>6</v>
      </c>
      <c r="AF10" s="63">
        <v>6</v>
      </c>
      <c r="AG10" s="39">
        <v>180</v>
      </c>
      <c r="AH10" s="26">
        <f>INDEX(章节关卡!$C$6:$C$20,芦花古楼!AF10)*芦花古楼!AG10</f>
        <v>3600</v>
      </c>
      <c r="AI10" s="23">
        <f t="shared" si="6"/>
        <v>25</v>
      </c>
      <c r="AJ10" s="23">
        <f t="shared" si="7"/>
        <v>25</v>
      </c>
      <c r="AK10" s="15">
        <f>INDEX(章节关卡!$E$6:$E$20,芦花古楼!AF10)*芦花古楼!AG10</f>
        <v>7200</v>
      </c>
      <c r="AL10" s="15">
        <v>50</v>
      </c>
      <c r="AO10" s="19">
        <v>5</v>
      </c>
      <c r="AP10" s="19">
        <v>1</v>
      </c>
      <c r="AR10" s="19">
        <v>5</v>
      </c>
      <c r="AS10" s="19">
        <f t="shared" si="11"/>
        <v>2</v>
      </c>
      <c r="AU10" s="19">
        <v>5</v>
      </c>
      <c r="AV10" s="19">
        <f t="shared" si="12"/>
        <v>3</v>
      </c>
      <c r="AX10" s="19">
        <v>5</v>
      </c>
      <c r="AY10" s="19">
        <f t="shared" si="13"/>
        <v>4</v>
      </c>
      <c r="BB10" s="19">
        <v>5</v>
      </c>
      <c r="BC10" s="15">
        <f t="shared" si="8"/>
        <v>665</v>
      </c>
      <c r="BD10" s="15">
        <f t="shared" si="9"/>
        <v>170</v>
      </c>
      <c r="BE10" s="15">
        <f t="shared" si="10"/>
        <v>166680</v>
      </c>
      <c r="BF10" s="15">
        <f t="shared" si="14"/>
        <v>350</v>
      </c>
      <c r="BH10" s="19">
        <v>6</v>
      </c>
      <c r="BI10" s="23">
        <v>4</v>
      </c>
      <c r="CD10" s="52">
        <v>6</v>
      </c>
      <c r="CE10" s="52">
        <v>1</v>
      </c>
      <c r="CF10" s="54" t="s">
        <v>538</v>
      </c>
      <c r="CG10" s="52">
        <v>6</v>
      </c>
      <c r="CH10" s="52"/>
      <c r="CI10" s="52"/>
      <c r="CJ10" s="52"/>
      <c r="CK10" s="52" t="s">
        <v>539</v>
      </c>
      <c r="CL10" s="52">
        <v>1200</v>
      </c>
      <c r="CM10" s="52" t="s">
        <v>540</v>
      </c>
      <c r="CN10" s="52">
        <v>10</v>
      </c>
      <c r="CO10" s="52"/>
      <c r="CP10" s="52"/>
      <c r="CQ10" s="52" t="s">
        <v>540</v>
      </c>
      <c r="CR10" s="52">
        <v>25</v>
      </c>
      <c r="CS10" s="52"/>
      <c r="CT10" s="52"/>
      <c r="CU10" s="52"/>
      <c r="CV10" s="52"/>
      <c r="CW10" s="52"/>
      <c r="CX10" s="52"/>
      <c r="CY10" s="52"/>
      <c r="CZ10" s="52"/>
      <c r="DA10" s="52"/>
      <c r="DB10" s="52"/>
    </row>
    <row r="11" spans="1:106" ht="17.25" x14ac:dyDescent="0.2">
      <c r="A11" s="18">
        <v>7</v>
      </c>
      <c r="B11" s="26">
        <v>3</v>
      </c>
      <c r="C11" s="39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H11" s="15">
        <v>50</v>
      </c>
      <c r="K11" s="18">
        <v>7</v>
      </c>
      <c r="L11" s="63">
        <v>5</v>
      </c>
      <c r="M11" s="39">
        <v>120</v>
      </c>
      <c r="N11" s="26">
        <f>INDEX(章节关卡!$C$6:$C$20,芦花古楼!L11)*芦花古楼!M11</f>
        <v>1920</v>
      </c>
      <c r="O11" s="23">
        <f t="shared" si="4"/>
        <v>15</v>
      </c>
      <c r="P11" s="23">
        <f t="shared" si="5"/>
        <v>25</v>
      </c>
      <c r="Q11" s="15">
        <f>INDEX(章节关卡!$E$6:$E$20,芦花古楼!L11)*芦花古楼!M11</f>
        <v>3840</v>
      </c>
      <c r="R11" s="15">
        <v>50</v>
      </c>
      <c r="U11" s="18">
        <v>7</v>
      </c>
      <c r="V11" s="63">
        <v>6</v>
      </c>
      <c r="W11" s="39">
        <v>180</v>
      </c>
      <c r="X11" s="26">
        <f>INDEX(章节关卡!$C$6:$C$20,芦花古楼!V11)*芦花古楼!W11</f>
        <v>3600</v>
      </c>
      <c r="Y11" s="23">
        <f t="shared" si="0"/>
        <v>20</v>
      </c>
      <c r="Z11" s="23">
        <f t="shared" si="1"/>
        <v>25</v>
      </c>
      <c r="AA11" s="15">
        <f>INDEX(章节关卡!$E$6:$E$20,芦花古楼!V11)*芦花古楼!W11</f>
        <v>7200</v>
      </c>
      <c r="AB11" s="15">
        <v>50</v>
      </c>
      <c r="AE11" s="18">
        <v>7</v>
      </c>
      <c r="AF11" s="63">
        <v>6</v>
      </c>
      <c r="AG11" s="39">
        <v>180</v>
      </c>
      <c r="AH11" s="26">
        <f>INDEX(章节关卡!$C$6:$C$20,芦花古楼!AF11)*芦花古楼!AG11</f>
        <v>3600</v>
      </c>
      <c r="AI11" s="23">
        <f t="shared" si="6"/>
        <v>25</v>
      </c>
      <c r="AJ11" s="23">
        <f t="shared" si="7"/>
        <v>25</v>
      </c>
      <c r="AK11" s="15">
        <f>INDEX(章节关卡!$E$6:$E$20,芦花古楼!AF11)*芦花古楼!AG11</f>
        <v>7200</v>
      </c>
      <c r="AL11" s="15">
        <v>50</v>
      </c>
      <c r="AO11" s="19">
        <v>6</v>
      </c>
      <c r="AP11" s="19">
        <v>1</v>
      </c>
      <c r="AR11" s="19">
        <v>6</v>
      </c>
      <c r="AS11" s="19">
        <f t="shared" si="11"/>
        <v>2</v>
      </c>
      <c r="AU11" s="19">
        <v>6</v>
      </c>
      <c r="AV11" s="19">
        <f t="shared" si="12"/>
        <v>3</v>
      </c>
      <c r="AX11" s="19">
        <v>6</v>
      </c>
      <c r="AY11" s="19">
        <f t="shared" si="13"/>
        <v>4</v>
      </c>
      <c r="BB11" s="19">
        <v>6</v>
      </c>
      <c r="BC11" s="15">
        <f t="shared" si="8"/>
        <v>655</v>
      </c>
      <c r="BD11" s="15">
        <f t="shared" si="9"/>
        <v>190</v>
      </c>
      <c r="BE11" s="15">
        <f t="shared" si="10"/>
        <v>161880</v>
      </c>
      <c r="BF11" s="15">
        <f t="shared" si="14"/>
        <v>400</v>
      </c>
      <c r="BH11" s="19">
        <v>7</v>
      </c>
      <c r="BI11" s="23">
        <v>4</v>
      </c>
      <c r="BM11" s="12" t="s">
        <v>111</v>
      </c>
      <c r="BN11" s="12" t="s">
        <v>112</v>
      </c>
      <c r="BO11" s="12" t="s">
        <v>113</v>
      </c>
      <c r="CD11" s="52">
        <v>7</v>
      </c>
      <c r="CE11" s="52">
        <v>1</v>
      </c>
      <c r="CF11" s="54" t="s">
        <v>538</v>
      </c>
      <c r="CG11" s="52">
        <v>7</v>
      </c>
      <c r="CH11" s="52"/>
      <c r="CI11" s="52"/>
      <c r="CJ11" s="52"/>
      <c r="CK11" s="52" t="s">
        <v>539</v>
      </c>
      <c r="CL11" s="52">
        <v>1200</v>
      </c>
      <c r="CM11" s="52" t="s">
        <v>540</v>
      </c>
      <c r="CN11" s="52">
        <v>10</v>
      </c>
      <c r="CO11" s="52"/>
      <c r="CP11" s="52"/>
      <c r="CQ11" s="52" t="s">
        <v>540</v>
      </c>
      <c r="CR11" s="52">
        <v>25</v>
      </c>
      <c r="CS11" s="52"/>
      <c r="CT11" s="52"/>
      <c r="CU11" s="52"/>
      <c r="CV11" s="52"/>
      <c r="CW11" s="52"/>
      <c r="CX11" s="52"/>
      <c r="CY11" s="52"/>
      <c r="CZ11" s="52"/>
      <c r="DA11" s="52"/>
      <c r="DB11" s="52"/>
    </row>
    <row r="12" spans="1:106" ht="16.5" x14ac:dyDescent="0.2">
      <c r="A12" s="18">
        <v>8</v>
      </c>
      <c r="B12" s="26">
        <v>4</v>
      </c>
      <c r="C12" s="39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H12" s="15">
        <v>50</v>
      </c>
      <c r="K12" s="18">
        <v>8</v>
      </c>
      <c r="L12" s="63">
        <v>5</v>
      </c>
      <c r="M12" s="39">
        <v>120</v>
      </c>
      <c r="N12" s="26">
        <f>INDEX(章节关卡!$C$6:$C$20,芦花古楼!L12)*芦花古楼!M12</f>
        <v>1920</v>
      </c>
      <c r="O12" s="23">
        <f t="shared" si="4"/>
        <v>15</v>
      </c>
      <c r="P12" s="23">
        <f t="shared" si="5"/>
        <v>25</v>
      </c>
      <c r="Q12" s="15">
        <f>INDEX(章节关卡!$E$6:$E$20,芦花古楼!L12)*芦花古楼!M12</f>
        <v>3840</v>
      </c>
      <c r="R12" s="15">
        <v>50</v>
      </c>
      <c r="U12" s="18">
        <v>8</v>
      </c>
      <c r="V12" s="63">
        <v>6</v>
      </c>
      <c r="W12" s="39">
        <v>180</v>
      </c>
      <c r="X12" s="26">
        <f>INDEX(章节关卡!$C$6:$C$20,芦花古楼!V12)*芦花古楼!W12</f>
        <v>3600</v>
      </c>
      <c r="Y12" s="23">
        <f t="shared" si="0"/>
        <v>20</v>
      </c>
      <c r="Z12" s="23">
        <f t="shared" si="1"/>
        <v>25</v>
      </c>
      <c r="AA12" s="15">
        <f>INDEX(章节关卡!$E$6:$E$20,芦花古楼!V12)*芦花古楼!W12</f>
        <v>7200</v>
      </c>
      <c r="AB12" s="15">
        <v>50</v>
      </c>
      <c r="AE12" s="18">
        <v>8</v>
      </c>
      <c r="AF12" s="63">
        <v>6</v>
      </c>
      <c r="AG12" s="39">
        <v>180</v>
      </c>
      <c r="AH12" s="26">
        <f>INDEX(章节关卡!$C$6:$C$20,芦花古楼!AF12)*芦花古楼!AG12</f>
        <v>3600</v>
      </c>
      <c r="AI12" s="23">
        <f t="shared" si="6"/>
        <v>25</v>
      </c>
      <c r="AJ12" s="23">
        <f t="shared" si="7"/>
        <v>25</v>
      </c>
      <c r="AK12" s="15">
        <f>INDEX(章节关卡!$E$6:$E$20,芦花古楼!AF12)*芦花古楼!AG12</f>
        <v>7200</v>
      </c>
      <c r="AL12" s="15">
        <v>50</v>
      </c>
      <c r="AO12" s="19">
        <v>7</v>
      </c>
      <c r="AP12" s="19">
        <v>1</v>
      </c>
      <c r="AR12" s="19">
        <v>7</v>
      </c>
      <c r="AS12" s="19">
        <f t="shared" si="11"/>
        <v>2</v>
      </c>
      <c r="AU12" s="19">
        <v>7</v>
      </c>
      <c r="AV12" s="19">
        <f t="shared" si="12"/>
        <v>3</v>
      </c>
      <c r="AX12" s="19">
        <v>7</v>
      </c>
      <c r="AY12" s="19">
        <f t="shared" si="13"/>
        <v>4</v>
      </c>
      <c r="BB12" s="19">
        <v>7</v>
      </c>
      <c r="BC12" s="15">
        <f t="shared" si="8"/>
        <v>655</v>
      </c>
      <c r="BD12" s="15">
        <f t="shared" si="9"/>
        <v>205</v>
      </c>
      <c r="BE12" s="15">
        <f t="shared" si="10"/>
        <v>160920</v>
      </c>
      <c r="BF12" s="15">
        <f t="shared" si="14"/>
        <v>400</v>
      </c>
      <c r="BH12" s="19">
        <v>8</v>
      </c>
      <c r="BI12" s="23">
        <v>4</v>
      </c>
      <c r="BM12" s="22">
        <v>0</v>
      </c>
      <c r="BN12" s="22">
        <v>0</v>
      </c>
      <c r="BO12" s="20">
        <v>1</v>
      </c>
      <c r="BW12" s="14" t="s">
        <v>125</v>
      </c>
      <c r="BX12" s="20">
        <v>0.5</v>
      </c>
      <c r="CD12" s="52">
        <v>8</v>
      </c>
      <c r="CE12" s="52">
        <v>1</v>
      </c>
      <c r="CF12" s="54" t="s">
        <v>538</v>
      </c>
      <c r="CG12" s="52">
        <v>8</v>
      </c>
      <c r="CH12" s="52"/>
      <c r="CI12" s="52"/>
      <c r="CJ12" s="52"/>
      <c r="CK12" s="52" t="s">
        <v>539</v>
      </c>
      <c r="CL12" s="52">
        <v>1500</v>
      </c>
      <c r="CM12" s="52" t="s">
        <v>540</v>
      </c>
      <c r="CN12" s="52">
        <v>10</v>
      </c>
      <c r="CO12" s="52"/>
      <c r="CP12" s="52"/>
      <c r="CQ12" s="52" t="s">
        <v>540</v>
      </c>
      <c r="CR12" s="52">
        <v>25</v>
      </c>
      <c r="CS12" s="52"/>
      <c r="CT12" s="52"/>
      <c r="CU12" s="52"/>
      <c r="CV12" s="52"/>
      <c r="CW12" s="52"/>
      <c r="CX12" s="52"/>
      <c r="CY12" s="52"/>
      <c r="CZ12" s="52"/>
      <c r="DA12" s="52"/>
      <c r="DB12" s="52"/>
    </row>
    <row r="13" spans="1:106" ht="16.5" x14ac:dyDescent="0.2">
      <c r="A13" s="18">
        <v>9</v>
      </c>
      <c r="B13" s="26">
        <v>4</v>
      </c>
      <c r="C13" s="39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H13" s="15">
        <v>50</v>
      </c>
      <c r="K13" s="18">
        <v>9</v>
      </c>
      <c r="L13" s="26">
        <v>5</v>
      </c>
      <c r="M13" s="39">
        <v>120</v>
      </c>
      <c r="N13" s="26">
        <f>INDEX(章节关卡!$C$6:$C$20,芦花古楼!L13)*芦花古楼!M13</f>
        <v>1920</v>
      </c>
      <c r="O13" s="23">
        <f t="shared" si="4"/>
        <v>15</v>
      </c>
      <c r="P13" s="23">
        <f t="shared" si="5"/>
        <v>25</v>
      </c>
      <c r="Q13" s="15">
        <f>INDEX(章节关卡!$E$6:$E$20,芦花古楼!L13)*芦花古楼!M13</f>
        <v>3840</v>
      </c>
      <c r="R13" s="15">
        <v>50</v>
      </c>
      <c r="U13" s="18">
        <v>9</v>
      </c>
      <c r="V13" s="63">
        <v>6</v>
      </c>
      <c r="W13" s="39">
        <v>180</v>
      </c>
      <c r="X13" s="26">
        <f>INDEX(章节关卡!$C$6:$C$20,芦花古楼!V13)*芦花古楼!W13</f>
        <v>3600</v>
      </c>
      <c r="Y13" s="23">
        <f t="shared" si="0"/>
        <v>20</v>
      </c>
      <c r="Z13" s="23">
        <f t="shared" si="1"/>
        <v>25</v>
      </c>
      <c r="AA13" s="15">
        <f>INDEX(章节关卡!$E$6:$E$20,芦花古楼!V13)*芦花古楼!W13</f>
        <v>7200</v>
      </c>
      <c r="AB13" s="15">
        <v>50</v>
      </c>
      <c r="AE13" s="18">
        <v>9</v>
      </c>
      <c r="AF13" s="63">
        <v>6</v>
      </c>
      <c r="AG13" s="39">
        <v>180</v>
      </c>
      <c r="AH13" s="26">
        <f>INDEX(章节关卡!$C$6:$C$20,芦花古楼!AF13)*芦花古楼!AG13</f>
        <v>3600</v>
      </c>
      <c r="AI13" s="23">
        <f t="shared" si="6"/>
        <v>25</v>
      </c>
      <c r="AJ13" s="23">
        <f t="shared" si="7"/>
        <v>25</v>
      </c>
      <c r="AK13" s="15">
        <f>INDEX(章节关卡!$E$6:$E$20,芦花古楼!AF13)*芦花古楼!AG13</f>
        <v>7200</v>
      </c>
      <c r="AL13" s="15">
        <v>50</v>
      </c>
      <c r="AO13" s="19">
        <v>8</v>
      </c>
      <c r="AP13" s="19">
        <v>1</v>
      </c>
      <c r="AR13" s="19">
        <v>8</v>
      </c>
      <c r="AS13" s="19">
        <f t="shared" si="11"/>
        <v>2</v>
      </c>
      <c r="AU13" s="19">
        <v>8</v>
      </c>
      <c r="AV13" s="19">
        <f t="shared" si="12"/>
        <v>3</v>
      </c>
      <c r="AX13" s="19">
        <v>8</v>
      </c>
      <c r="AY13" s="19">
        <f t="shared" si="13"/>
        <v>4</v>
      </c>
      <c r="BB13" s="19">
        <v>8</v>
      </c>
      <c r="BC13" s="15">
        <f t="shared" si="8"/>
        <v>625</v>
      </c>
      <c r="BD13" s="15">
        <f t="shared" si="9"/>
        <v>220</v>
      </c>
      <c r="BE13" s="15">
        <f t="shared" si="10"/>
        <v>153720</v>
      </c>
      <c r="BF13" s="15">
        <f t="shared" si="14"/>
        <v>450</v>
      </c>
      <c r="BH13" s="19">
        <v>9</v>
      </c>
      <c r="BI13" s="23">
        <v>4</v>
      </c>
      <c r="BW13" s="14" t="s">
        <v>124</v>
      </c>
      <c r="BX13" s="15">
        <f>BM3*BO12</f>
        <v>61000</v>
      </c>
      <c r="CD13" s="52">
        <v>9</v>
      </c>
      <c r="CE13" s="52">
        <v>1</v>
      </c>
      <c r="CF13" s="54" t="s">
        <v>538</v>
      </c>
      <c r="CG13" s="52">
        <v>9</v>
      </c>
      <c r="CH13" s="52"/>
      <c r="CI13" s="52"/>
      <c r="CJ13" s="52"/>
      <c r="CK13" s="52" t="s">
        <v>539</v>
      </c>
      <c r="CL13" s="52">
        <v>1500</v>
      </c>
      <c r="CM13" s="52" t="s">
        <v>540</v>
      </c>
      <c r="CN13" s="52">
        <v>10</v>
      </c>
      <c r="CO13" s="52"/>
      <c r="CP13" s="52"/>
      <c r="CQ13" s="52" t="s">
        <v>540</v>
      </c>
      <c r="CR13" s="52">
        <v>25</v>
      </c>
      <c r="CS13" s="52"/>
      <c r="CT13" s="52"/>
      <c r="CU13" s="52"/>
      <c r="CV13" s="52"/>
      <c r="CW13" s="52"/>
      <c r="CX13" s="52"/>
      <c r="CY13" s="52"/>
      <c r="CZ13" s="52"/>
      <c r="DA13" s="52"/>
      <c r="DB13" s="52"/>
    </row>
    <row r="14" spans="1:106" ht="16.5" x14ac:dyDescent="0.2">
      <c r="A14" s="18">
        <v>10</v>
      </c>
      <c r="B14" s="26">
        <v>4</v>
      </c>
      <c r="C14" s="39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H14" s="15">
        <v>50</v>
      </c>
      <c r="K14" s="18">
        <v>10</v>
      </c>
      <c r="L14" s="26">
        <v>5</v>
      </c>
      <c r="M14" s="39">
        <v>120</v>
      </c>
      <c r="N14" s="26">
        <f>INDEX(章节关卡!$C$6:$C$20,芦花古楼!L14)*芦花古楼!M14</f>
        <v>1920</v>
      </c>
      <c r="O14" s="23">
        <f t="shared" si="4"/>
        <v>15</v>
      </c>
      <c r="P14" s="23">
        <f t="shared" si="5"/>
        <v>30</v>
      </c>
      <c r="Q14" s="15">
        <f>INDEX(章节关卡!$E$6:$E$20,芦花古楼!L14)*芦花古楼!M14</f>
        <v>3840</v>
      </c>
      <c r="R14" s="15">
        <v>50</v>
      </c>
      <c r="U14" s="18">
        <v>10</v>
      </c>
      <c r="V14" s="63">
        <v>6</v>
      </c>
      <c r="W14" s="39">
        <v>180</v>
      </c>
      <c r="X14" s="26">
        <f>INDEX(章节关卡!$C$6:$C$20,芦花古楼!V14)*芦花古楼!W14</f>
        <v>3600</v>
      </c>
      <c r="Y14" s="23">
        <f t="shared" si="0"/>
        <v>20</v>
      </c>
      <c r="Z14" s="23">
        <f t="shared" si="1"/>
        <v>30</v>
      </c>
      <c r="AA14" s="15">
        <f>INDEX(章节关卡!$E$6:$E$20,芦花古楼!V14)*芦花古楼!W14</f>
        <v>7200</v>
      </c>
      <c r="AB14" s="15">
        <v>50</v>
      </c>
      <c r="AE14" s="18">
        <v>10</v>
      </c>
      <c r="AF14" s="63">
        <v>6</v>
      </c>
      <c r="AG14" s="39">
        <v>180</v>
      </c>
      <c r="AH14" s="26">
        <f>INDEX(章节关卡!$C$6:$C$20,芦花古楼!AF14)*芦花古楼!AG14</f>
        <v>3600</v>
      </c>
      <c r="AI14" s="23">
        <f t="shared" si="6"/>
        <v>25</v>
      </c>
      <c r="AJ14" s="23">
        <f t="shared" si="7"/>
        <v>30</v>
      </c>
      <c r="AK14" s="15">
        <f>INDEX(章节关卡!$E$6:$E$20,芦花古楼!AF14)*芦花古楼!AG14</f>
        <v>7200</v>
      </c>
      <c r="AL14" s="15">
        <v>50</v>
      </c>
      <c r="AO14" s="19">
        <v>9</v>
      </c>
      <c r="AP14" s="19">
        <v>1</v>
      </c>
      <c r="AR14" s="19">
        <v>9</v>
      </c>
      <c r="AS14" s="19">
        <f t="shared" si="11"/>
        <v>2</v>
      </c>
      <c r="AU14" s="19">
        <v>9</v>
      </c>
      <c r="AV14" s="19">
        <f t="shared" si="12"/>
        <v>3</v>
      </c>
      <c r="AX14" s="19">
        <v>9</v>
      </c>
      <c r="AY14" s="19">
        <f t="shared" si="13"/>
        <v>4</v>
      </c>
      <c r="BB14" s="19">
        <v>9</v>
      </c>
      <c r="BC14" s="15">
        <f t="shared" si="8"/>
        <v>625</v>
      </c>
      <c r="BD14" s="15">
        <f t="shared" si="9"/>
        <v>230</v>
      </c>
      <c r="BE14" s="15">
        <f t="shared" si="10"/>
        <v>146880</v>
      </c>
      <c r="BF14" s="15">
        <f t="shared" si="14"/>
        <v>500</v>
      </c>
      <c r="BH14" s="19">
        <v>10</v>
      </c>
      <c r="BI14" s="19">
        <v>7</v>
      </c>
      <c r="BL14" s="14" t="s">
        <v>114</v>
      </c>
      <c r="BM14" s="15">
        <f>BM3*BM12</f>
        <v>0</v>
      </c>
      <c r="BW14" s="14" t="s">
        <v>120</v>
      </c>
      <c r="BX14" s="23">
        <f>ROUND(BX13/BQ9/BX15/BX12,0)</f>
        <v>21</v>
      </c>
      <c r="CD14" s="52">
        <v>10</v>
      </c>
      <c r="CE14" s="52">
        <v>1</v>
      </c>
      <c r="CF14" s="54" t="s">
        <v>538</v>
      </c>
      <c r="CG14" s="52">
        <v>10</v>
      </c>
      <c r="CH14" s="52"/>
      <c r="CI14" s="52"/>
      <c r="CJ14" s="52"/>
      <c r="CK14" s="52" t="s">
        <v>539</v>
      </c>
      <c r="CL14" s="52">
        <v>1500</v>
      </c>
      <c r="CM14" s="52" t="s">
        <v>540</v>
      </c>
      <c r="CN14" s="52">
        <v>10</v>
      </c>
      <c r="CO14" s="52"/>
      <c r="CP14" s="52"/>
      <c r="CQ14" s="52" t="s">
        <v>540</v>
      </c>
      <c r="CR14" s="52">
        <v>30</v>
      </c>
      <c r="CS14" s="52"/>
      <c r="CT14" s="52"/>
      <c r="CU14" s="52"/>
      <c r="CV14" s="52"/>
      <c r="CW14" s="52"/>
      <c r="CX14" s="52"/>
      <c r="CY14" s="52"/>
      <c r="CZ14" s="52"/>
      <c r="DA14" s="52"/>
      <c r="DB14" s="52"/>
    </row>
    <row r="15" spans="1:106" ht="16.5" x14ac:dyDescent="0.2">
      <c r="A15" s="18">
        <v>11</v>
      </c>
      <c r="B15" s="26">
        <v>5</v>
      </c>
      <c r="C15" s="39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H15" s="15">
        <v>50</v>
      </c>
      <c r="K15" s="18">
        <v>11</v>
      </c>
      <c r="L15" s="26">
        <v>6</v>
      </c>
      <c r="M15" s="39">
        <v>120</v>
      </c>
      <c r="N15" s="26">
        <f>INDEX(章节关卡!$C$6:$C$20,芦花古楼!L15)*芦花古楼!M15</f>
        <v>2400</v>
      </c>
      <c r="O15" s="23">
        <f t="shared" si="4"/>
        <v>20</v>
      </c>
      <c r="P15" s="23">
        <f t="shared" si="5"/>
        <v>30</v>
      </c>
      <c r="Q15" s="15">
        <f>INDEX(章节关卡!$E$6:$E$20,芦花古楼!L15)*芦花古楼!M15</f>
        <v>4800</v>
      </c>
      <c r="R15" s="15">
        <v>50</v>
      </c>
      <c r="U15" s="18">
        <v>11</v>
      </c>
      <c r="V15" s="26">
        <v>7</v>
      </c>
      <c r="W15" s="39">
        <v>180</v>
      </c>
      <c r="X15" s="26">
        <f>INDEX(章节关卡!$C$6:$C$20,芦花古楼!V15)*芦花古楼!W15</f>
        <v>4500</v>
      </c>
      <c r="Y15" s="23">
        <f t="shared" si="0"/>
        <v>25</v>
      </c>
      <c r="Z15" s="23">
        <f t="shared" si="1"/>
        <v>30</v>
      </c>
      <c r="AA15" s="15">
        <f>INDEX(章节关卡!$E$6:$E$20,芦花古楼!V15)*芦花古楼!W15</f>
        <v>9000</v>
      </c>
      <c r="AB15" s="15">
        <v>50</v>
      </c>
      <c r="AE15" s="18">
        <v>11</v>
      </c>
      <c r="AF15" s="63">
        <v>7</v>
      </c>
      <c r="AG15" s="39">
        <v>180</v>
      </c>
      <c r="AH15" s="26">
        <f>INDEX(章节关卡!$C$6:$C$20,芦花古楼!AF15)*芦花古楼!AG15</f>
        <v>4500</v>
      </c>
      <c r="AI15" s="23">
        <f t="shared" si="6"/>
        <v>30</v>
      </c>
      <c r="AJ15" s="23">
        <f t="shared" si="7"/>
        <v>30</v>
      </c>
      <c r="AK15" s="15">
        <f>INDEX(章节关卡!$E$6:$E$20,芦花古楼!AF15)*芦花古楼!AG15</f>
        <v>9000</v>
      </c>
      <c r="AL15" s="15">
        <v>50</v>
      </c>
      <c r="AO15" s="19">
        <v>10</v>
      </c>
      <c r="AP15" s="19">
        <v>1</v>
      </c>
      <c r="AR15" s="19">
        <v>10</v>
      </c>
      <c r="AS15" s="19">
        <f t="shared" si="11"/>
        <v>2</v>
      </c>
      <c r="AU15" s="19">
        <v>10</v>
      </c>
      <c r="AV15" s="19">
        <f t="shared" si="12"/>
        <v>3</v>
      </c>
      <c r="AX15" s="19">
        <v>10</v>
      </c>
      <c r="AY15" s="19">
        <f t="shared" si="13"/>
        <v>4</v>
      </c>
      <c r="BB15" s="19">
        <v>10</v>
      </c>
      <c r="BC15" s="15">
        <f t="shared" si="8"/>
        <v>470</v>
      </c>
      <c r="BD15" s="15">
        <f t="shared" si="9"/>
        <v>235</v>
      </c>
      <c r="BE15" s="15">
        <f t="shared" si="10"/>
        <v>123120</v>
      </c>
      <c r="BF15" s="15">
        <f t="shared" si="14"/>
        <v>550</v>
      </c>
      <c r="BH15" s="19">
        <v>11</v>
      </c>
      <c r="BI15" s="23">
        <v>7</v>
      </c>
      <c r="BW15" s="14" t="s">
        <v>121</v>
      </c>
      <c r="BX15" s="23">
        <f>SUM(BX19:BX43)</f>
        <v>200</v>
      </c>
      <c r="CD15" s="52">
        <v>11</v>
      </c>
      <c r="CE15" s="52">
        <v>1</v>
      </c>
      <c r="CF15" s="54" t="s">
        <v>538</v>
      </c>
      <c r="CG15" s="52">
        <v>11</v>
      </c>
      <c r="CH15" s="52"/>
      <c r="CI15" s="52"/>
      <c r="CJ15" s="52"/>
      <c r="CK15" s="52" t="s">
        <v>539</v>
      </c>
      <c r="CL15" s="52">
        <v>1920</v>
      </c>
      <c r="CM15" s="52" t="s">
        <v>540</v>
      </c>
      <c r="CN15" s="52">
        <v>15</v>
      </c>
      <c r="CO15" s="52"/>
      <c r="CP15" s="52"/>
      <c r="CQ15" s="52" t="s">
        <v>540</v>
      </c>
      <c r="CR15" s="52">
        <v>30</v>
      </c>
      <c r="CS15" s="52"/>
      <c r="CT15" s="52"/>
      <c r="CU15" s="52"/>
      <c r="CV15" s="52"/>
      <c r="CW15" s="52"/>
      <c r="CX15" s="52"/>
      <c r="CY15" s="52"/>
      <c r="CZ15" s="52"/>
      <c r="DA15" s="52"/>
      <c r="DB15" s="52"/>
    </row>
    <row r="16" spans="1:106" ht="17.25" x14ac:dyDescent="0.2">
      <c r="A16" s="18">
        <v>12</v>
      </c>
      <c r="B16" s="26">
        <v>5</v>
      </c>
      <c r="C16" s="39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H16" s="15">
        <v>50</v>
      </c>
      <c r="K16" s="18">
        <v>12</v>
      </c>
      <c r="L16" s="63">
        <v>6</v>
      </c>
      <c r="M16" s="39">
        <v>120</v>
      </c>
      <c r="N16" s="26">
        <f>INDEX(章节关卡!$C$6:$C$20,芦花古楼!L16)*芦花古楼!M16</f>
        <v>2400</v>
      </c>
      <c r="O16" s="23">
        <f t="shared" si="4"/>
        <v>20</v>
      </c>
      <c r="P16" s="23">
        <f t="shared" si="5"/>
        <v>30</v>
      </c>
      <c r="Q16" s="15">
        <f>INDEX(章节关卡!$E$6:$E$20,芦花古楼!L16)*芦花古楼!M16</f>
        <v>4800</v>
      </c>
      <c r="R16" s="15">
        <v>50</v>
      </c>
      <c r="U16" s="18">
        <v>12</v>
      </c>
      <c r="V16" s="26">
        <v>7</v>
      </c>
      <c r="W16" s="39">
        <v>180</v>
      </c>
      <c r="X16" s="26">
        <f>INDEX(章节关卡!$C$6:$C$20,芦花古楼!V16)*芦花古楼!W16</f>
        <v>4500</v>
      </c>
      <c r="Y16" s="23">
        <f t="shared" si="0"/>
        <v>25</v>
      </c>
      <c r="Z16" s="23">
        <f t="shared" si="1"/>
        <v>30</v>
      </c>
      <c r="AA16" s="15">
        <f>INDEX(章节关卡!$E$6:$E$20,芦花古楼!V16)*芦花古楼!W16</f>
        <v>9000</v>
      </c>
      <c r="AB16" s="15">
        <v>50</v>
      </c>
      <c r="AE16" s="18">
        <v>12</v>
      </c>
      <c r="AF16" s="63">
        <v>7</v>
      </c>
      <c r="AG16" s="39">
        <v>180</v>
      </c>
      <c r="AH16" s="26">
        <f>INDEX(章节关卡!$C$6:$C$20,芦花古楼!AF16)*芦花古楼!AG16</f>
        <v>4500</v>
      </c>
      <c r="AI16" s="23">
        <f t="shared" si="6"/>
        <v>30</v>
      </c>
      <c r="AJ16" s="23">
        <f t="shared" si="7"/>
        <v>30</v>
      </c>
      <c r="AK16" s="15">
        <f>INDEX(章节关卡!$E$6:$E$20,芦花古楼!AF16)*芦花古楼!AG16</f>
        <v>9000</v>
      </c>
      <c r="AL16" s="15">
        <v>50</v>
      </c>
      <c r="AO16" s="19">
        <v>11</v>
      </c>
      <c r="AP16" s="19">
        <v>2</v>
      </c>
      <c r="AR16" s="19">
        <v>11</v>
      </c>
      <c r="AS16" s="19">
        <f t="shared" si="11"/>
        <v>3</v>
      </c>
      <c r="AU16" s="19">
        <v>11</v>
      </c>
      <c r="AV16" s="19">
        <f t="shared" si="12"/>
        <v>4</v>
      </c>
      <c r="AX16" s="19">
        <v>11</v>
      </c>
      <c r="AY16" s="19">
        <f t="shared" si="13"/>
        <v>5</v>
      </c>
      <c r="BB16" s="19">
        <v>11</v>
      </c>
      <c r="BC16" s="15">
        <f t="shared" si="8"/>
        <v>430</v>
      </c>
      <c r="BD16" s="15">
        <f t="shared" si="9"/>
        <v>245</v>
      </c>
      <c r="BE16" s="15">
        <f t="shared" si="10"/>
        <v>103200</v>
      </c>
      <c r="BF16" s="15">
        <f t="shared" si="14"/>
        <v>600</v>
      </c>
      <c r="BH16" s="19">
        <v>12</v>
      </c>
      <c r="BI16" s="23">
        <v>7</v>
      </c>
      <c r="BL16" s="12" t="s">
        <v>116</v>
      </c>
      <c r="BM16" s="12" t="s">
        <v>117</v>
      </c>
      <c r="CD16" s="52">
        <v>12</v>
      </c>
      <c r="CE16" s="52">
        <v>1</v>
      </c>
      <c r="CF16" s="54" t="s">
        <v>538</v>
      </c>
      <c r="CG16" s="52">
        <v>12</v>
      </c>
      <c r="CH16" s="52"/>
      <c r="CI16" s="52"/>
      <c r="CJ16" s="52"/>
      <c r="CK16" s="52" t="s">
        <v>539</v>
      </c>
      <c r="CL16" s="52">
        <v>1920</v>
      </c>
      <c r="CM16" s="52" t="s">
        <v>540</v>
      </c>
      <c r="CN16" s="52">
        <v>15</v>
      </c>
      <c r="CO16" s="52"/>
      <c r="CP16" s="52"/>
      <c r="CQ16" s="52" t="s">
        <v>540</v>
      </c>
      <c r="CR16" s="52">
        <v>30</v>
      </c>
      <c r="CS16" s="52"/>
      <c r="CT16" s="52"/>
      <c r="CU16" s="52"/>
      <c r="CV16" s="52"/>
      <c r="CW16" s="52"/>
      <c r="CX16" s="52"/>
      <c r="CY16" s="52"/>
      <c r="CZ16" s="52"/>
      <c r="DA16" s="52"/>
      <c r="DB16" s="52"/>
    </row>
    <row r="17" spans="1:106" ht="16.5" x14ac:dyDescent="0.2">
      <c r="A17" s="18">
        <v>13</v>
      </c>
      <c r="B17" s="26">
        <v>5</v>
      </c>
      <c r="C17" s="39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H17" s="15">
        <v>50</v>
      </c>
      <c r="K17" s="18">
        <v>13</v>
      </c>
      <c r="L17" s="63">
        <v>6</v>
      </c>
      <c r="M17" s="39">
        <v>120</v>
      </c>
      <c r="N17" s="26">
        <f>INDEX(章节关卡!$C$6:$C$20,芦花古楼!L17)*芦花古楼!M17</f>
        <v>2400</v>
      </c>
      <c r="O17" s="23">
        <f t="shared" si="4"/>
        <v>20</v>
      </c>
      <c r="P17" s="23">
        <f t="shared" si="5"/>
        <v>30</v>
      </c>
      <c r="Q17" s="15">
        <f>INDEX(章节关卡!$E$6:$E$20,芦花古楼!L17)*芦花古楼!M17</f>
        <v>4800</v>
      </c>
      <c r="R17" s="15">
        <v>50</v>
      </c>
      <c r="U17" s="18">
        <v>13</v>
      </c>
      <c r="V17" s="26">
        <v>7</v>
      </c>
      <c r="W17" s="39">
        <v>180</v>
      </c>
      <c r="X17" s="26">
        <f>INDEX(章节关卡!$C$6:$C$20,芦花古楼!V17)*芦花古楼!W17</f>
        <v>4500</v>
      </c>
      <c r="Y17" s="23">
        <f t="shared" si="0"/>
        <v>25</v>
      </c>
      <c r="Z17" s="23">
        <f t="shared" si="1"/>
        <v>30</v>
      </c>
      <c r="AA17" s="15">
        <f>INDEX(章节关卡!$E$6:$E$20,芦花古楼!V17)*芦花古楼!W17</f>
        <v>9000</v>
      </c>
      <c r="AB17" s="15">
        <v>50</v>
      </c>
      <c r="AE17" s="18">
        <v>13</v>
      </c>
      <c r="AF17" s="63">
        <v>7</v>
      </c>
      <c r="AG17" s="39">
        <v>180</v>
      </c>
      <c r="AH17" s="26">
        <f>INDEX(章节关卡!$C$6:$C$20,芦花古楼!AF17)*芦花古楼!AG17</f>
        <v>4500</v>
      </c>
      <c r="AI17" s="23">
        <f t="shared" si="6"/>
        <v>30</v>
      </c>
      <c r="AJ17" s="23">
        <f t="shared" si="7"/>
        <v>30</v>
      </c>
      <c r="AK17" s="15">
        <f>INDEX(章节关卡!$E$6:$E$20,芦花古楼!AF17)*芦花古楼!AG17</f>
        <v>9000</v>
      </c>
      <c r="AL17" s="15">
        <v>50</v>
      </c>
      <c r="AO17" s="19">
        <v>12</v>
      </c>
      <c r="AP17" s="19">
        <v>2</v>
      </c>
      <c r="AR17" s="19">
        <v>12</v>
      </c>
      <c r="AS17" s="19">
        <f t="shared" si="11"/>
        <v>3</v>
      </c>
      <c r="AU17" s="19">
        <v>12</v>
      </c>
      <c r="AV17" s="19">
        <f t="shared" si="12"/>
        <v>4</v>
      </c>
      <c r="AX17" s="19">
        <v>12</v>
      </c>
      <c r="AY17" s="19">
        <f t="shared" si="13"/>
        <v>5</v>
      </c>
      <c r="BB17" s="19">
        <v>12</v>
      </c>
      <c r="BC17" s="15">
        <f t="shared" si="8"/>
        <v>385</v>
      </c>
      <c r="BD17" s="15">
        <f t="shared" si="9"/>
        <v>250</v>
      </c>
      <c r="BE17" s="15">
        <f t="shared" si="10"/>
        <v>71880</v>
      </c>
      <c r="BF17" s="15">
        <f t="shared" si="14"/>
        <v>600</v>
      </c>
      <c r="BH17" s="19">
        <v>13</v>
      </c>
      <c r="BI17" s="23">
        <v>7</v>
      </c>
      <c r="BL17" s="23">
        <v>0.5</v>
      </c>
      <c r="BM17" s="23">
        <v>1.01</v>
      </c>
      <c r="BN17" s="15">
        <f>SUM(BM19:BM43)</f>
        <v>190.40317458789144</v>
      </c>
      <c r="CD17" s="52">
        <v>13</v>
      </c>
      <c r="CE17" s="52">
        <v>1</v>
      </c>
      <c r="CF17" s="54" t="s">
        <v>538</v>
      </c>
      <c r="CG17" s="52">
        <v>13</v>
      </c>
      <c r="CH17" s="52"/>
      <c r="CI17" s="52"/>
      <c r="CJ17" s="52"/>
      <c r="CK17" s="52" t="s">
        <v>539</v>
      </c>
      <c r="CL17" s="52">
        <v>1920</v>
      </c>
      <c r="CM17" s="52" t="s">
        <v>540</v>
      </c>
      <c r="CN17" s="52">
        <v>15</v>
      </c>
      <c r="CO17" s="52"/>
      <c r="CP17" s="52"/>
      <c r="CQ17" s="52" t="s">
        <v>540</v>
      </c>
      <c r="CR17" s="52">
        <v>30</v>
      </c>
      <c r="CS17" s="52"/>
      <c r="CT17" s="52"/>
      <c r="CU17" s="52"/>
      <c r="CV17" s="52"/>
      <c r="CW17" s="52"/>
      <c r="CX17" s="52"/>
      <c r="CY17" s="52"/>
      <c r="CZ17" s="52"/>
      <c r="DA17" s="52"/>
      <c r="DB17" s="52"/>
    </row>
    <row r="18" spans="1:106" ht="17.25" x14ac:dyDescent="0.2">
      <c r="A18" s="18">
        <v>14</v>
      </c>
      <c r="B18" s="26">
        <v>5</v>
      </c>
      <c r="C18" s="39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H18" s="15">
        <v>50</v>
      </c>
      <c r="K18" s="18">
        <v>14</v>
      </c>
      <c r="L18" s="63">
        <v>6</v>
      </c>
      <c r="M18" s="39">
        <v>120</v>
      </c>
      <c r="N18" s="26">
        <f>INDEX(章节关卡!$C$6:$C$20,芦花古楼!L18)*芦花古楼!M18</f>
        <v>2400</v>
      </c>
      <c r="O18" s="23">
        <f t="shared" si="4"/>
        <v>20</v>
      </c>
      <c r="P18" s="23">
        <f t="shared" si="5"/>
        <v>30</v>
      </c>
      <c r="Q18" s="15">
        <f>INDEX(章节关卡!$E$6:$E$20,芦花古楼!L18)*芦花古楼!M18</f>
        <v>4800</v>
      </c>
      <c r="R18" s="15">
        <v>50</v>
      </c>
      <c r="U18" s="18">
        <v>14</v>
      </c>
      <c r="V18" s="26">
        <v>7</v>
      </c>
      <c r="W18" s="39">
        <v>180</v>
      </c>
      <c r="X18" s="26">
        <f>INDEX(章节关卡!$C$6:$C$20,芦花古楼!V18)*芦花古楼!W18</f>
        <v>4500</v>
      </c>
      <c r="Y18" s="23">
        <f t="shared" si="0"/>
        <v>25</v>
      </c>
      <c r="Z18" s="23">
        <f t="shared" si="1"/>
        <v>30</v>
      </c>
      <c r="AA18" s="15">
        <f>INDEX(章节关卡!$E$6:$E$20,芦花古楼!V18)*芦花古楼!W18</f>
        <v>9000</v>
      </c>
      <c r="AB18" s="15">
        <v>50</v>
      </c>
      <c r="AE18" s="18">
        <v>14</v>
      </c>
      <c r="AF18" s="63">
        <v>7</v>
      </c>
      <c r="AG18" s="39">
        <v>180</v>
      </c>
      <c r="AH18" s="26">
        <f>INDEX(章节关卡!$C$6:$C$20,芦花古楼!AF18)*芦花古楼!AG18</f>
        <v>4500</v>
      </c>
      <c r="AI18" s="23">
        <f t="shared" si="6"/>
        <v>30</v>
      </c>
      <c r="AJ18" s="23">
        <f t="shared" si="7"/>
        <v>30</v>
      </c>
      <c r="AK18" s="15">
        <f>INDEX(章节关卡!$E$6:$E$20,芦花古楼!AF18)*芦花古楼!AG18</f>
        <v>9000</v>
      </c>
      <c r="AL18" s="15">
        <v>50</v>
      </c>
      <c r="AO18" s="19">
        <v>13</v>
      </c>
      <c r="AP18" s="19">
        <v>2</v>
      </c>
      <c r="AR18" s="19">
        <v>13</v>
      </c>
      <c r="AS18" s="19">
        <f t="shared" si="11"/>
        <v>3</v>
      </c>
      <c r="AU18" s="19">
        <v>13</v>
      </c>
      <c r="AV18" s="19">
        <f t="shared" si="12"/>
        <v>4</v>
      </c>
      <c r="AX18" s="19">
        <v>13</v>
      </c>
      <c r="AY18" s="19">
        <f t="shared" si="13"/>
        <v>5</v>
      </c>
      <c r="BB18" s="19">
        <v>13</v>
      </c>
      <c r="BC18" s="15">
        <f t="shared" si="8"/>
        <v>325</v>
      </c>
      <c r="BD18" s="15">
        <f t="shared" si="9"/>
        <v>260</v>
      </c>
      <c r="BE18" s="15">
        <f t="shared" si="10"/>
        <v>63480</v>
      </c>
      <c r="BF18" s="15">
        <f t="shared" si="14"/>
        <v>600</v>
      </c>
      <c r="BH18" s="19">
        <v>14</v>
      </c>
      <c r="BI18" s="23">
        <v>7</v>
      </c>
      <c r="BL18" s="12" t="s">
        <v>37</v>
      </c>
      <c r="BM18" s="12" t="s">
        <v>115</v>
      </c>
      <c r="BN18" s="12" t="s">
        <v>118</v>
      </c>
      <c r="BO18" s="12" t="s">
        <v>109</v>
      </c>
      <c r="BP18" s="12" t="s">
        <v>99</v>
      </c>
      <c r="BQ18" s="12" t="s">
        <v>100</v>
      </c>
      <c r="BR18" s="12" t="s">
        <v>101</v>
      </c>
      <c r="BS18" s="12" t="s">
        <v>102</v>
      </c>
      <c r="BT18" s="12" t="s">
        <v>103</v>
      </c>
      <c r="BU18" s="12" t="s">
        <v>104</v>
      </c>
      <c r="BW18" s="12" t="s">
        <v>122</v>
      </c>
      <c r="BX18" s="12" t="s">
        <v>123</v>
      </c>
      <c r="CD18" s="52">
        <v>14</v>
      </c>
      <c r="CE18" s="52">
        <v>1</v>
      </c>
      <c r="CF18" s="54" t="s">
        <v>538</v>
      </c>
      <c r="CG18" s="52">
        <v>14</v>
      </c>
      <c r="CH18" s="52"/>
      <c r="CI18" s="52"/>
      <c r="CJ18" s="52"/>
      <c r="CK18" s="52" t="s">
        <v>539</v>
      </c>
      <c r="CL18" s="52">
        <v>1920</v>
      </c>
      <c r="CM18" s="52" t="s">
        <v>540</v>
      </c>
      <c r="CN18" s="52">
        <v>15</v>
      </c>
      <c r="CO18" s="52"/>
      <c r="CP18" s="52"/>
      <c r="CQ18" s="52" t="s">
        <v>540</v>
      </c>
      <c r="CR18" s="52">
        <v>30</v>
      </c>
      <c r="CS18" s="52"/>
      <c r="CT18" s="52"/>
      <c r="CU18" s="52"/>
      <c r="CV18" s="52"/>
      <c r="CW18" s="52"/>
      <c r="CX18" s="52"/>
      <c r="CY18" s="52"/>
      <c r="CZ18" s="52"/>
      <c r="DA18" s="52"/>
      <c r="DB18" s="52"/>
    </row>
    <row r="19" spans="1:106" ht="16.5" x14ac:dyDescent="0.2">
      <c r="A19" s="18">
        <v>15</v>
      </c>
      <c r="B19" s="26">
        <v>5</v>
      </c>
      <c r="C19" s="39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H19" s="15">
        <v>50</v>
      </c>
      <c r="K19" s="18">
        <v>15</v>
      </c>
      <c r="L19" s="63">
        <v>6</v>
      </c>
      <c r="M19" s="39">
        <v>120</v>
      </c>
      <c r="N19" s="26">
        <f>INDEX(章节关卡!$C$6:$C$20,芦花古楼!L19)*芦花古楼!M19</f>
        <v>2400</v>
      </c>
      <c r="O19" s="23">
        <f t="shared" si="4"/>
        <v>20</v>
      </c>
      <c r="P19" s="23">
        <f t="shared" si="5"/>
        <v>35</v>
      </c>
      <c r="Q19" s="15">
        <f>INDEX(章节关卡!$E$6:$E$20,芦花古楼!L19)*芦花古楼!M19</f>
        <v>4800</v>
      </c>
      <c r="R19" s="15">
        <v>50</v>
      </c>
      <c r="U19" s="18">
        <v>15</v>
      </c>
      <c r="V19" s="26">
        <v>7</v>
      </c>
      <c r="W19" s="39">
        <v>180</v>
      </c>
      <c r="X19" s="26">
        <f>INDEX(章节关卡!$C$6:$C$20,芦花古楼!V19)*芦花古楼!W19</f>
        <v>4500</v>
      </c>
      <c r="Y19" s="23">
        <f t="shared" si="0"/>
        <v>25</v>
      </c>
      <c r="Z19" s="23">
        <f t="shared" si="1"/>
        <v>35</v>
      </c>
      <c r="AA19" s="15">
        <f>INDEX(章节关卡!$E$6:$E$20,芦花古楼!V19)*芦花古楼!W19</f>
        <v>9000</v>
      </c>
      <c r="AB19" s="15">
        <v>50</v>
      </c>
      <c r="AE19" s="18">
        <v>15</v>
      </c>
      <c r="AF19" s="63">
        <v>7</v>
      </c>
      <c r="AG19" s="39">
        <v>180</v>
      </c>
      <c r="AH19" s="26">
        <f>INDEX(章节关卡!$C$6:$C$20,芦花古楼!AF19)*芦花古楼!AG19</f>
        <v>4500</v>
      </c>
      <c r="AI19" s="23">
        <f t="shared" si="6"/>
        <v>30</v>
      </c>
      <c r="AJ19" s="23">
        <f t="shared" si="7"/>
        <v>35</v>
      </c>
      <c r="AK19" s="15">
        <f>INDEX(章节关卡!$E$6:$E$20,芦花古楼!AF19)*芦花古楼!AG19</f>
        <v>9000</v>
      </c>
      <c r="AL19" s="15">
        <v>50</v>
      </c>
      <c r="AO19" s="19">
        <v>14</v>
      </c>
      <c r="AP19" s="19">
        <v>2</v>
      </c>
      <c r="AR19" s="19">
        <v>14</v>
      </c>
      <c r="AS19" s="19">
        <f t="shared" si="11"/>
        <v>3</v>
      </c>
      <c r="AU19" s="19">
        <v>14</v>
      </c>
      <c r="AV19" s="19">
        <f t="shared" si="12"/>
        <v>4</v>
      </c>
      <c r="AX19" s="19">
        <v>14</v>
      </c>
      <c r="AY19" s="19">
        <f t="shared" si="13"/>
        <v>5</v>
      </c>
      <c r="BB19" s="19">
        <v>14</v>
      </c>
      <c r="BC19" s="15">
        <f t="shared" si="8"/>
        <v>465</v>
      </c>
      <c r="BD19" s="15">
        <f t="shared" si="9"/>
        <v>270</v>
      </c>
      <c r="BE19" s="15">
        <f t="shared" si="10"/>
        <v>103680</v>
      </c>
      <c r="BF19" s="15">
        <f t="shared" si="14"/>
        <v>600</v>
      </c>
      <c r="BH19" s="19">
        <v>15</v>
      </c>
      <c r="BI19" s="19">
        <v>10</v>
      </c>
      <c r="BL19" s="23">
        <v>1</v>
      </c>
      <c r="BM19" s="23">
        <v>1</v>
      </c>
      <c r="BN19" s="21">
        <f>BM19/BN$17</f>
        <v>5.2520132721757375E-3</v>
      </c>
      <c r="BO19" s="15">
        <f>INT($BM$14/$BM$9*$BN19*BM$6/5)*5</f>
        <v>0</v>
      </c>
      <c r="BP19" s="15">
        <f t="shared" ref="BP19:BU19" si="15">INT($BM$14/$BM$9*$BN19*BN$6/5)*5</f>
        <v>0</v>
      </c>
      <c r="BQ19" s="15">
        <f t="shared" si="15"/>
        <v>0</v>
      </c>
      <c r="BR19" s="15">
        <f t="shared" si="15"/>
        <v>0</v>
      </c>
      <c r="BS19" s="15">
        <f t="shared" si="15"/>
        <v>0</v>
      </c>
      <c r="BT19" s="15">
        <f t="shared" si="15"/>
        <v>0</v>
      </c>
      <c r="BU19" s="15">
        <f t="shared" si="15"/>
        <v>0</v>
      </c>
      <c r="BW19" s="23">
        <v>1</v>
      </c>
      <c r="BX19" s="23">
        <v>1</v>
      </c>
      <c r="CD19" s="52">
        <v>15</v>
      </c>
      <c r="CE19" s="52">
        <v>1</v>
      </c>
      <c r="CF19" s="54" t="s">
        <v>538</v>
      </c>
      <c r="CG19" s="52">
        <v>15</v>
      </c>
      <c r="CH19" s="52"/>
      <c r="CI19" s="52"/>
      <c r="CJ19" s="52"/>
      <c r="CK19" s="52" t="s">
        <v>539</v>
      </c>
      <c r="CL19" s="52">
        <v>1920</v>
      </c>
      <c r="CM19" s="52" t="s">
        <v>540</v>
      </c>
      <c r="CN19" s="52">
        <v>15</v>
      </c>
      <c r="CO19" s="52"/>
      <c r="CP19" s="52"/>
      <c r="CQ19" s="52" t="s">
        <v>540</v>
      </c>
      <c r="CR19" s="52">
        <v>35</v>
      </c>
      <c r="CS19" s="52"/>
      <c r="CT19" s="52"/>
      <c r="CU19" s="52"/>
      <c r="CV19" s="52"/>
      <c r="CW19" s="52"/>
      <c r="CX19" s="52"/>
      <c r="CY19" s="52"/>
      <c r="CZ19" s="52"/>
      <c r="DA19" s="52"/>
      <c r="DB19" s="52"/>
    </row>
    <row r="20" spans="1:106" ht="16.5" x14ac:dyDescent="0.2">
      <c r="A20" s="18">
        <v>16</v>
      </c>
      <c r="B20" s="63">
        <v>5</v>
      </c>
      <c r="C20" s="39">
        <v>60</v>
      </c>
      <c r="D20" s="26">
        <f>INDEX(章节关卡!$C$6:$C$20,芦花古楼!B20)*芦花古楼!C20</f>
        <v>960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1920</v>
      </c>
      <c r="H20" s="15">
        <v>50</v>
      </c>
      <c r="K20" s="18">
        <v>16</v>
      </c>
      <c r="L20" s="63">
        <v>6</v>
      </c>
      <c r="M20" s="39">
        <v>120</v>
      </c>
      <c r="N20" s="26">
        <f>INDEX(章节关卡!$C$6:$C$20,芦花古楼!L20)*芦花古楼!M20</f>
        <v>2400</v>
      </c>
      <c r="O20" s="23">
        <f t="shared" si="4"/>
        <v>25</v>
      </c>
      <c r="P20" s="23">
        <f t="shared" si="5"/>
        <v>35</v>
      </c>
      <c r="Q20" s="15">
        <f>INDEX(章节关卡!$E$6:$E$20,芦花古楼!L20)*芦花古楼!M20</f>
        <v>4800</v>
      </c>
      <c r="R20" s="15">
        <v>50</v>
      </c>
      <c r="U20" s="18">
        <v>16</v>
      </c>
      <c r="V20" s="26">
        <v>8</v>
      </c>
      <c r="W20" s="39">
        <v>180</v>
      </c>
      <c r="X20" s="26">
        <f>INDEX(章节关卡!$C$6:$C$20,芦花古楼!V20)*芦花古楼!W20</f>
        <v>5400</v>
      </c>
      <c r="Y20" s="23">
        <f t="shared" si="0"/>
        <v>30</v>
      </c>
      <c r="Z20" s="23">
        <f t="shared" si="1"/>
        <v>35</v>
      </c>
      <c r="AA20" s="15">
        <f>INDEX(章节关卡!$E$6:$E$20,芦花古楼!V20)*芦花古楼!W20</f>
        <v>10800</v>
      </c>
      <c r="AB20" s="15">
        <v>50</v>
      </c>
      <c r="AE20" s="18">
        <v>16</v>
      </c>
      <c r="AF20" s="63">
        <v>8</v>
      </c>
      <c r="AG20" s="39">
        <v>180</v>
      </c>
      <c r="AH20" s="26">
        <f>INDEX(章节关卡!$C$6:$C$20,芦花古楼!AF20)*芦花古楼!AG20</f>
        <v>5400</v>
      </c>
      <c r="AI20" s="23">
        <f t="shared" si="6"/>
        <v>35</v>
      </c>
      <c r="AJ20" s="23">
        <f t="shared" si="7"/>
        <v>35</v>
      </c>
      <c r="AK20" s="15">
        <f>INDEX(章节关卡!$E$6:$E$20,芦花古楼!AF20)*芦花古楼!AG20</f>
        <v>10800</v>
      </c>
      <c r="AL20" s="15">
        <v>50</v>
      </c>
      <c r="AO20" s="19">
        <v>15</v>
      </c>
      <c r="AP20" s="19">
        <v>2</v>
      </c>
      <c r="AR20" s="19">
        <v>15</v>
      </c>
      <c r="AS20" s="19">
        <f t="shared" si="11"/>
        <v>3</v>
      </c>
      <c r="AU20" s="19">
        <v>15</v>
      </c>
      <c r="AV20" s="19">
        <f t="shared" si="12"/>
        <v>4</v>
      </c>
      <c r="AX20" s="19">
        <v>15</v>
      </c>
      <c r="AY20" s="19">
        <f t="shared" si="13"/>
        <v>5</v>
      </c>
      <c r="BB20" s="19">
        <v>15</v>
      </c>
      <c r="BC20" s="15">
        <f t="shared" si="8"/>
        <v>480</v>
      </c>
      <c r="BD20" s="15">
        <f t="shared" si="9"/>
        <v>275</v>
      </c>
      <c r="BE20" s="15">
        <f t="shared" si="10"/>
        <v>103680</v>
      </c>
      <c r="BF20" s="15">
        <f t="shared" si="14"/>
        <v>600</v>
      </c>
      <c r="BH20" s="19">
        <v>16</v>
      </c>
      <c r="BI20" s="23">
        <v>10</v>
      </c>
      <c r="BL20" s="23">
        <v>2</v>
      </c>
      <c r="BM20" s="23">
        <f>BM19*$BM$17+$BL$17</f>
        <v>1.51</v>
      </c>
      <c r="BN20" s="21">
        <f t="shared" ref="BN20:BN43" si="16">BM20/BN$17</f>
        <v>7.9305400409853642E-3</v>
      </c>
      <c r="BO20" s="15">
        <f t="shared" ref="BO20:BO44" si="17">INT($BM$14/$BM$9*$BN20*BM$6/5)*5</f>
        <v>0</v>
      </c>
      <c r="BP20" s="15">
        <f t="shared" ref="BP20:BP44" si="18">INT($BM$14/$BM$9*$BN20*BN$6/5)*5</f>
        <v>0</v>
      </c>
      <c r="BQ20" s="15">
        <f t="shared" ref="BQ20:BQ44" si="19">INT($BM$14/$BM$9*$BN20*BO$6/5)*5</f>
        <v>0</v>
      </c>
      <c r="BR20" s="15">
        <f t="shared" ref="BR20:BR44" si="20">INT($BM$14/$BM$9*$BN20*BP$6/5)*5</f>
        <v>0</v>
      </c>
      <c r="BS20" s="15">
        <f t="shared" ref="BS20:BS44" si="21">INT($BM$14/$BM$9*$BN20*BQ$6/5)*5</f>
        <v>0</v>
      </c>
      <c r="BT20" s="15">
        <f t="shared" ref="BT20:BT44" si="22">INT($BM$14/$BM$9*$BN20*BR$6/5)*5</f>
        <v>0</v>
      </c>
      <c r="BU20" s="15">
        <f t="shared" ref="BU20:BU44" si="23">INT($BM$14/$BM$9*$BN20*BS$6/5)*5</f>
        <v>0</v>
      </c>
      <c r="BW20" s="23">
        <v>2</v>
      </c>
      <c r="BX20" s="23">
        <v>1</v>
      </c>
      <c r="CD20" s="52">
        <v>16</v>
      </c>
      <c r="CE20" s="52">
        <v>1</v>
      </c>
      <c r="CF20" s="54" t="s">
        <v>538</v>
      </c>
      <c r="CG20" s="52">
        <v>16</v>
      </c>
      <c r="CH20" s="52"/>
      <c r="CI20" s="52"/>
      <c r="CJ20" s="52"/>
      <c r="CK20" s="52" t="s">
        <v>539</v>
      </c>
      <c r="CL20" s="52">
        <v>2400</v>
      </c>
      <c r="CM20" s="52" t="s">
        <v>540</v>
      </c>
      <c r="CN20" s="52">
        <v>20</v>
      </c>
      <c r="CO20" s="52"/>
      <c r="CP20" s="52"/>
      <c r="CQ20" s="52" t="s">
        <v>540</v>
      </c>
      <c r="CR20" s="52">
        <v>35</v>
      </c>
      <c r="CS20" s="52"/>
      <c r="CT20" s="52"/>
      <c r="CU20" s="52"/>
      <c r="CV20" s="52"/>
      <c r="CW20" s="52"/>
      <c r="CX20" s="52"/>
      <c r="CY20" s="52"/>
      <c r="CZ20" s="52"/>
      <c r="DA20" s="52"/>
      <c r="DB20" s="52"/>
    </row>
    <row r="21" spans="1:106" ht="16.5" x14ac:dyDescent="0.2">
      <c r="A21" s="18">
        <v>17</v>
      </c>
      <c r="B21" s="63">
        <v>5</v>
      </c>
      <c r="C21" s="39">
        <v>60</v>
      </c>
      <c r="D21" s="26">
        <f>INDEX(章节关卡!$C$6:$C$20,芦花古楼!B21)*芦花古楼!C21</f>
        <v>960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1920</v>
      </c>
      <c r="H21" s="15">
        <v>50</v>
      </c>
      <c r="K21" s="18">
        <v>17</v>
      </c>
      <c r="L21" s="63">
        <v>6</v>
      </c>
      <c r="M21" s="39">
        <v>120</v>
      </c>
      <c r="N21" s="26">
        <f>INDEX(章节关卡!$C$6:$C$20,芦花古楼!L21)*芦花古楼!M21</f>
        <v>2400</v>
      </c>
      <c r="O21" s="23">
        <f t="shared" si="4"/>
        <v>25</v>
      </c>
      <c r="P21" s="23">
        <f t="shared" si="5"/>
        <v>35</v>
      </c>
      <c r="Q21" s="15">
        <f>INDEX(章节关卡!$E$6:$E$20,芦花古楼!L21)*芦花古楼!M21</f>
        <v>4800</v>
      </c>
      <c r="R21" s="15">
        <v>50</v>
      </c>
      <c r="U21" s="18">
        <v>17</v>
      </c>
      <c r="V21" s="63">
        <v>8</v>
      </c>
      <c r="W21" s="39">
        <v>180</v>
      </c>
      <c r="X21" s="26">
        <f>INDEX(章节关卡!$C$6:$C$20,芦花古楼!V21)*芦花古楼!W21</f>
        <v>5400</v>
      </c>
      <c r="Y21" s="23">
        <f t="shared" si="0"/>
        <v>30</v>
      </c>
      <c r="Z21" s="23">
        <f t="shared" si="1"/>
        <v>35</v>
      </c>
      <c r="AA21" s="15">
        <f>INDEX(章节关卡!$E$6:$E$20,芦花古楼!V21)*芦花古楼!W21</f>
        <v>10800</v>
      </c>
      <c r="AB21" s="15">
        <v>50</v>
      </c>
      <c r="AE21" s="18">
        <v>17</v>
      </c>
      <c r="AF21" s="63">
        <v>8</v>
      </c>
      <c r="AG21" s="39">
        <v>180</v>
      </c>
      <c r="AH21" s="26">
        <f>INDEX(章节关卡!$C$6:$C$20,芦花古楼!AF21)*芦花古楼!AG21</f>
        <v>5400</v>
      </c>
      <c r="AI21" s="23">
        <f t="shared" si="6"/>
        <v>35</v>
      </c>
      <c r="AJ21" s="23">
        <f t="shared" si="7"/>
        <v>35</v>
      </c>
      <c r="AK21" s="15">
        <f>INDEX(章节关卡!$E$6:$E$20,芦花古楼!AF21)*芦花古楼!AG21</f>
        <v>10800</v>
      </c>
      <c r="AL21" s="15">
        <v>50</v>
      </c>
      <c r="AO21" s="19">
        <v>16</v>
      </c>
      <c r="AP21" s="19">
        <v>2</v>
      </c>
      <c r="AR21" s="19">
        <v>16</v>
      </c>
      <c r="AS21" s="19">
        <f t="shared" si="11"/>
        <v>3</v>
      </c>
      <c r="AU21" s="19">
        <v>16</v>
      </c>
      <c r="AV21" s="19">
        <f t="shared" si="12"/>
        <v>4</v>
      </c>
      <c r="AX21" s="19">
        <v>16</v>
      </c>
      <c r="AY21" s="19">
        <f t="shared" si="13"/>
        <v>5</v>
      </c>
      <c r="BB21" s="19">
        <v>16</v>
      </c>
      <c r="BC21" s="15">
        <f t="shared" si="8"/>
        <v>495</v>
      </c>
      <c r="BD21" s="15">
        <f t="shared" si="9"/>
        <v>285</v>
      </c>
      <c r="BE21" s="15">
        <f t="shared" si="10"/>
        <v>103680</v>
      </c>
      <c r="BF21" s="15">
        <f t="shared" si="14"/>
        <v>600</v>
      </c>
      <c r="BH21" s="19">
        <v>17</v>
      </c>
      <c r="BI21" s="23">
        <v>10</v>
      </c>
      <c r="BL21" s="23">
        <v>3</v>
      </c>
      <c r="BM21" s="23">
        <f t="shared" ref="BM21:BM43" si="24">BM20*$BM$17+$BL$17</f>
        <v>2.0251000000000001</v>
      </c>
      <c r="BN21" s="21">
        <f t="shared" si="16"/>
        <v>1.0635852077483087E-2</v>
      </c>
      <c r="BO21" s="15">
        <f t="shared" si="17"/>
        <v>0</v>
      </c>
      <c r="BP21" s="15">
        <f t="shared" si="18"/>
        <v>0</v>
      </c>
      <c r="BQ21" s="15">
        <f t="shared" si="19"/>
        <v>0</v>
      </c>
      <c r="BR21" s="15">
        <f t="shared" si="20"/>
        <v>0</v>
      </c>
      <c r="BS21" s="15">
        <f t="shared" si="21"/>
        <v>0</v>
      </c>
      <c r="BT21" s="15">
        <f t="shared" si="22"/>
        <v>0</v>
      </c>
      <c r="BU21" s="15">
        <f t="shared" si="23"/>
        <v>0</v>
      </c>
      <c r="BW21" s="23">
        <v>3</v>
      </c>
      <c r="BX21" s="23">
        <v>2</v>
      </c>
      <c r="CD21" s="52">
        <v>17</v>
      </c>
      <c r="CE21" s="52">
        <v>1</v>
      </c>
      <c r="CF21" s="54" t="s">
        <v>538</v>
      </c>
      <c r="CG21" s="52">
        <v>17</v>
      </c>
      <c r="CH21" s="52"/>
      <c r="CI21" s="52"/>
      <c r="CJ21" s="52"/>
      <c r="CK21" s="52" t="s">
        <v>539</v>
      </c>
      <c r="CL21" s="52">
        <v>2400</v>
      </c>
      <c r="CM21" s="52" t="s">
        <v>540</v>
      </c>
      <c r="CN21" s="52">
        <v>20</v>
      </c>
      <c r="CO21" s="52"/>
      <c r="CP21" s="52"/>
      <c r="CQ21" s="52" t="s">
        <v>540</v>
      </c>
      <c r="CR21" s="52">
        <v>35</v>
      </c>
      <c r="CS21" s="52"/>
      <c r="CT21" s="52"/>
      <c r="CU21" s="52"/>
      <c r="CV21" s="52"/>
      <c r="CW21" s="52"/>
      <c r="CX21" s="52"/>
      <c r="CY21" s="52"/>
      <c r="CZ21" s="52"/>
      <c r="DA21" s="52"/>
      <c r="DB21" s="52"/>
    </row>
    <row r="22" spans="1:106" ht="16.5" x14ac:dyDescent="0.2">
      <c r="A22" s="18">
        <v>18</v>
      </c>
      <c r="B22" s="63">
        <v>5</v>
      </c>
      <c r="C22" s="39">
        <v>60</v>
      </c>
      <c r="D22" s="26">
        <f>INDEX(章节关卡!$C$6:$C$20,芦花古楼!B22)*芦花古楼!C22</f>
        <v>960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1920</v>
      </c>
      <c r="H22" s="15">
        <v>50</v>
      </c>
      <c r="K22" s="18">
        <v>18</v>
      </c>
      <c r="L22" s="63">
        <v>6</v>
      </c>
      <c r="M22" s="39">
        <v>120</v>
      </c>
      <c r="N22" s="26">
        <f>INDEX(章节关卡!$C$6:$C$20,芦花古楼!L22)*芦花古楼!M22</f>
        <v>2400</v>
      </c>
      <c r="O22" s="23">
        <f t="shared" si="4"/>
        <v>25</v>
      </c>
      <c r="P22" s="23">
        <f t="shared" si="5"/>
        <v>35</v>
      </c>
      <c r="Q22" s="15">
        <f>INDEX(章节关卡!$E$6:$E$20,芦花古楼!L22)*芦花古楼!M22</f>
        <v>4800</v>
      </c>
      <c r="R22" s="15">
        <v>50</v>
      </c>
      <c r="U22" s="18">
        <v>18</v>
      </c>
      <c r="V22" s="63">
        <v>8</v>
      </c>
      <c r="W22" s="39">
        <v>180</v>
      </c>
      <c r="X22" s="26">
        <f>INDEX(章节关卡!$C$6:$C$20,芦花古楼!V22)*芦花古楼!W22</f>
        <v>5400</v>
      </c>
      <c r="Y22" s="23">
        <f t="shared" si="0"/>
        <v>30</v>
      </c>
      <c r="Z22" s="23">
        <f t="shared" si="1"/>
        <v>35</v>
      </c>
      <c r="AA22" s="15">
        <f>INDEX(章节关卡!$E$6:$E$20,芦花古楼!V22)*芦花古楼!W22</f>
        <v>10800</v>
      </c>
      <c r="AB22" s="15">
        <v>50</v>
      </c>
      <c r="AE22" s="18">
        <v>18</v>
      </c>
      <c r="AF22" s="63">
        <v>8</v>
      </c>
      <c r="AG22" s="39">
        <v>180</v>
      </c>
      <c r="AH22" s="26">
        <f>INDEX(章节关卡!$C$6:$C$20,芦花古楼!AF22)*芦花古楼!AG22</f>
        <v>5400</v>
      </c>
      <c r="AI22" s="23">
        <f t="shared" si="6"/>
        <v>35</v>
      </c>
      <c r="AJ22" s="23">
        <f t="shared" si="7"/>
        <v>35</v>
      </c>
      <c r="AK22" s="15">
        <f>INDEX(章节关卡!$E$6:$E$20,芦花古楼!AF22)*芦花古楼!AG22</f>
        <v>10800</v>
      </c>
      <c r="AL22" s="15">
        <v>50</v>
      </c>
      <c r="AO22" s="19">
        <v>17</v>
      </c>
      <c r="AP22" s="19">
        <v>2</v>
      </c>
      <c r="AR22" s="19">
        <v>17</v>
      </c>
      <c r="AS22" s="19">
        <f t="shared" si="11"/>
        <v>3</v>
      </c>
      <c r="AU22" s="19">
        <v>17</v>
      </c>
      <c r="AV22" s="19">
        <f t="shared" si="12"/>
        <v>4</v>
      </c>
      <c r="AX22" s="19">
        <v>17</v>
      </c>
      <c r="AY22" s="19">
        <f t="shared" si="13"/>
        <v>5</v>
      </c>
      <c r="BB22" s="19">
        <v>17</v>
      </c>
      <c r="BC22" s="15">
        <f t="shared" si="8"/>
        <v>515</v>
      </c>
      <c r="BD22" s="15">
        <f t="shared" si="9"/>
        <v>290</v>
      </c>
      <c r="BE22" s="15">
        <f t="shared" si="10"/>
        <v>108000</v>
      </c>
      <c r="BF22" s="15">
        <f t="shared" si="14"/>
        <v>600</v>
      </c>
      <c r="BH22" s="19">
        <v>18</v>
      </c>
      <c r="BI22" s="23">
        <v>10</v>
      </c>
      <c r="BL22" s="23">
        <v>4</v>
      </c>
      <c r="BM22" s="23">
        <f t="shared" si="24"/>
        <v>2.5453510000000001</v>
      </c>
      <c r="BN22" s="21">
        <f t="shared" si="16"/>
        <v>1.3368217234345788E-2</v>
      </c>
      <c r="BO22" s="15">
        <f t="shared" si="17"/>
        <v>0</v>
      </c>
      <c r="BP22" s="15">
        <f t="shared" si="18"/>
        <v>0</v>
      </c>
      <c r="BQ22" s="15">
        <f t="shared" si="19"/>
        <v>0</v>
      </c>
      <c r="BR22" s="15">
        <f t="shared" si="20"/>
        <v>0</v>
      </c>
      <c r="BS22" s="15">
        <f t="shared" si="21"/>
        <v>0</v>
      </c>
      <c r="BT22" s="15">
        <f t="shared" si="22"/>
        <v>0</v>
      </c>
      <c r="BU22" s="15">
        <f t="shared" si="23"/>
        <v>0</v>
      </c>
      <c r="BW22" s="23">
        <v>4</v>
      </c>
      <c r="BX22" s="23">
        <v>3</v>
      </c>
      <c r="CD22" s="52">
        <v>18</v>
      </c>
      <c r="CE22" s="52">
        <v>1</v>
      </c>
      <c r="CF22" s="54" t="s">
        <v>538</v>
      </c>
      <c r="CG22" s="52">
        <v>18</v>
      </c>
      <c r="CH22" s="52"/>
      <c r="CI22" s="52"/>
      <c r="CJ22" s="52"/>
      <c r="CK22" s="52" t="s">
        <v>539</v>
      </c>
      <c r="CL22" s="52">
        <v>2400</v>
      </c>
      <c r="CM22" s="52" t="s">
        <v>540</v>
      </c>
      <c r="CN22" s="52">
        <v>20</v>
      </c>
      <c r="CO22" s="52"/>
      <c r="CP22" s="52"/>
      <c r="CQ22" s="52" t="s">
        <v>540</v>
      </c>
      <c r="CR22" s="52">
        <v>35</v>
      </c>
      <c r="CS22" s="52"/>
      <c r="CT22" s="52"/>
      <c r="CU22" s="52"/>
      <c r="CV22" s="52"/>
      <c r="CW22" s="52"/>
      <c r="CX22" s="52"/>
      <c r="CY22" s="52"/>
      <c r="CZ22" s="52"/>
      <c r="DA22" s="52"/>
      <c r="DB22" s="52"/>
    </row>
    <row r="23" spans="1:106" ht="16.5" x14ac:dyDescent="0.2">
      <c r="A23" s="18">
        <v>19</v>
      </c>
      <c r="B23" s="63">
        <v>5</v>
      </c>
      <c r="C23" s="39">
        <v>60</v>
      </c>
      <c r="D23" s="26">
        <f>INDEX(章节关卡!$C$6:$C$20,芦花古楼!B23)*芦花古楼!C23</f>
        <v>960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1920</v>
      </c>
      <c r="H23" s="15">
        <v>50</v>
      </c>
      <c r="K23" s="18">
        <v>19</v>
      </c>
      <c r="L23" s="63">
        <v>6</v>
      </c>
      <c r="M23" s="39">
        <v>120</v>
      </c>
      <c r="N23" s="26">
        <f>INDEX(章节关卡!$C$6:$C$20,芦花古楼!L23)*芦花古楼!M23</f>
        <v>2400</v>
      </c>
      <c r="O23" s="23">
        <f t="shared" si="4"/>
        <v>25</v>
      </c>
      <c r="P23" s="23">
        <f t="shared" si="5"/>
        <v>35</v>
      </c>
      <c r="Q23" s="15">
        <f>INDEX(章节关卡!$E$6:$E$20,芦花古楼!L23)*芦花古楼!M23</f>
        <v>4800</v>
      </c>
      <c r="R23" s="15">
        <v>50</v>
      </c>
      <c r="U23" s="18">
        <v>19</v>
      </c>
      <c r="V23" s="63">
        <v>8</v>
      </c>
      <c r="W23" s="39">
        <v>180</v>
      </c>
      <c r="X23" s="26">
        <f>INDEX(章节关卡!$C$6:$C$20,芦花古楼!V23)*芦花古楼!W23</f>
        <v>5400</v>
      </c>
      <c r="Y23" s="23">
        <f t="shared" si="0"/>
        <v>30</v>
      </c>
      <c r="Z23" s="23">
        <f t="shared" si="1"/>
        <v>35</v>
      </c>
      <c r="AA23" s="15">
        <f>INDEX(章节关卡!$E$6:$E$20,芦花古楼!V23)*芦花古楼!W23</f>
        <v>10800</v>
      </c>
      <c r="AB23" s="15">
        <v>50</v>
      </c>
      <c r="AE23" s="18">
        <v>19</v>
      </c>
      <c r="AF23" s="63">
        <v>8</v>
      </c>
      <c r="AG23" s="39">
        <v>180</v>
      </c>
      <c r="AH23" s="26">
        <f>INDEX(章节关卡!$C$6:$C$20,芦花古楼!AF23)*芦花古楼!AG23</f>
        <v>5400</v>
      </c>
      <c r="AI23" s="23">
        <f t="shared" si="6"/>
        <v>35</v>
      </c>
      <c r="AJ23" s="23">
        <f t="shared" si="7"/>
        <v>35</v>
      </c>
      <c r="AK23" s="15">
        <f>INDEX(章节关卡!$E$6:$E$20,芦花古楼!AF23)*芦花古楼!AG23</f>
        <v>10800</v>
      </c>
      <c r="AL23" s="15">
        <v>50</v>
      </c>
      <c r="AO23" s="19">
        <v>18</v>
      </c>
      <c r="AP23" s="19">
        <v>3</v>
      </c>
      <c r="AR23" s="19">
        <v>18</v>
      </c>
      <c r="AS23" s="19">
        <f t="shared" si="11"/>
        <v>4</v>
      </c>
      <c r="AU23" s="19">
        <v>18</v>
      </c>
      <c r="AV23" s="19">
        <f t="shared" si="12"/>
        <v>5</v>
      </c>
      <c r="AX23" s="19">
        <v>18</v>
      </c>
      <c r="AY23" s="19">
        <f t="shared" si="13"/>
        <v>6</v>
      </c>
      <c r="BB23" s="19">
        <v>18</v>
      </c>
      <c r="BC23" s="15">
        <f t="shared" si="8"/>
        <v>525</v>
      </c>
      <c r="BD23" s="15">
        <f t="shared" si="9"/>
        <v>300</v>
      </c>
      <c r="BE23" s="15">
        <f t="shared" si="10"/>
        <v>108000</v>
      </c>
      <c r="BF23" s="15">
        <f t="shared" si="14"/>
        <v>650</v>
      </c>
      <c r="BH23" s="19">
        <v>19</v>
      </c>
      <c r="BI23" s="23">
        <v>10</v>
      </c>
      <c r="BL23" s="23">
        <v>5</v>
      </c>
      <c r="BM23" s="23">
        <f t="shared" si="24"/>
        <v>3.0708045100000003</v>
      </c>
      <c r="BN23" s="21">
        <f t="shared" si="16"/>
        <v>1.6127906042777116E-2</v>
      </c>
      <c r="BO23" s="15">
        <f t="shared" si="17"/>
        <v>0</v>
      </c>
      <c r="BP23" s="15">
        <f t="shared" si="18"/>
        <v>0</v>
      </c>
      <c r="BQ23" s="15">
        <f t="shared" si="19"/>
        <v>0</v>
      </c>
      <c r="BR23" s="15">
        <f t="shared" si="20"/>
        <v>0</v>
      </c>
      <c r="BS23" s="15">
        <f t="shared" si="21"/>
        <v>0</v>
      </c>
      <c r="BT23" s="15">
        <f t="shared" si="22"/>
        <v>0</v>
      </c>
      <c r="BU23" s="15">
        <f t="shared" si="23"/>
        <v>0</v>
      </c>
      <c r="BW23" s="23">
        <v>5</v>
      </c>
      <c r="BX23" s="23">
        <v>3</v>
      </c>
      <c r="CD23" s="52">
        <v>19</v>
      </c>
      <c r="CE23" s="52">
        <v>1</v>
      </c>
      <c r="CF23" s="54" t="s">
        <v>538</v>
      </c>
      <c r="CG23" s="52">
        <v>19</v>
      </c>
      <c r="CH23" s="52"/>
      <c r="CI23" s="52"/>
      <c r="CJ23" s="52"/>
      <c r="CK23" s="52" t="s">
        <v>539</v>
      </c>
      <c r="CL23" s="52">
        <v>2400</v>
      </c>
      <c r="CM23" s="52" t="s">
        <v>540</v>
      </c>
      <c r="CN23" s="52">
        <v>20</v>
      </c>
      <c r="CO23" s="52"/>
      <c r="CP23" s="52"/>
      <c r="CQ23" s="52" t="s">
        <v>540</v>
      </c>
      <c r="CR23" s="52">
        <v>35</v>
      </c>
      <c r="CS23" s="52"/>
      <c r="CT23" s="52"/>
      <c r="CU23" s="52"/>
      <c r="CV23" s="52"/>
      <c r="CW23" s="52"/>
      <c r="CX23" s="52"/>
      <c r="CY23" s="52"/>
      <c r="CZ23" s="52"/>
      <c r="DA23" s="52"/>
      <c r="DB23" s="52"/>
    </row>
    <row r="24" spans="1:106" ht="16.5" x14ac:dyDescent="0.2">
      <c r="A24" s="18">
        <v>20</v>
      </c>
      <c r="B24" s="63">
        <v>5</v>
      </c>
      <c r="C24" s="39">
        <v>60</v>
      </c>
      <c r="D24" s="26">
        <f>INDEX(章节关卡!$C$6:$C$20,芦花古楼!B24)*芦花古楼!C24</f>
        <v>960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1920</v>
      </c>
      <c r="H24" s="15">
        <v>100</v>
      </c>
      <c r="K24" s="18">
        <v>20</v>
      </c>
      <c r="L24" s="63">
        <v>7</v>
      </c>
      <c r="M24" s="39">
        <v>120</v>
      </c>
      <c r="N24" s="26">
        <f>INDEX(章节关卡!$C$6:$C$20,芦花古楼!L24)*芦花古楼!M24</f>
        <v>3000</v>
      </c>
      <c r="O24" s="23">
        <f t="shared" si="4"/>
        <v>25</v>
      </c>
      <c r="P24" s="23">
        <f t="shared" si="5"/>
        <v>40</v>
      </c>
      <c r="Q24" s="15">
        <f>INDEX(章节关卡!$E$6:$E$20,芦花古楼!L24)*芦花古楼!M24</f>
        <v>6000</v>
      </c>
      <c r="R24" s="15">
        <v>100</v>
      </c>
      <c r="U24" s="18">
        <v>20</v>
      </c>
      <c r="V24" s="26">
        <v>9</v>
      </c>
      <c r="W24" s="39">
        <v>180</v>
      </c>
      <c r="X24" s="26">
        <f>INDEX(章节关卡!$C$6:$C$20,芦花古楼!V24)*芦花古楼!W24</f>
        <v>6480</v>
      </c>
      <c r="Y24" s="23">
        <f t="shared" si="0"/>
        <v>30</v>
      </c>
      <c r="Z24" s="23">
        <f t="shared" si="1"/>
        <v>40</v>
      </c>
      <c r="AA24" s="15">
        <f>INDEX(章节关卡!$E$6:$E$20,芦花古楼!V24)*芦花古楼!W24</f>
        <v>12960</v>
      </c>
      <c r="AB24" s="15">
        <v>100</v>
      </c>
      <c r="AE24" s="18">
        <v>20</v>
      </c>
      <c r="AF24" s="63">
        <v>9</v>
      </c>
      <c r="AG24" s="39">
        <v>180</v>
      </c>
      <c r="AH24" s="26">
        <f>INDEX(章节关卡!$C$6:$C$20,芦花古楼!AF24)*芦花古楼!AG24</f>
        <v>6480</v>
      </c>
      <c r="AI24" s="23">
        <f t="shared" si="6"/>
        <v>35</v>
      </c>
      <c r="AJ24" s="23">
        <f t="shared" si="7"/>
        <v>40</v>
      </c>
      <c r="AK24" s="15">
        <f>INDEX(章节关卡!$E$6:$E$20,芦花古楼!AF24)*芦花古楼!AG24</f>
        <v>12960</v>
      </c>
      <c r="AL24" s="15">
        <v>100</v>
      </c>
      <c r="AO24" s="19">
        <v>19</v>
      </c>
      <c r="AP24" s="19">
        <v>3</v>
      </c>
      <c r="AR24" s="19">
        <v>19</v>
      </c>
      <c r="AS24" s="19">
        <f t="shared" si="11"/>
        <v>4</v>
      </c>
      <c r="AU24" s="19">
        <v>19</v>
      </c>
      <c r="AV24" s="19">
        <f t="shared" si="12"/>
        <v>5</v>
      </c>
      <c r="AX24" s="19">
        <v>19</v>
      </c>
      <c r="AY24" s="19">
        <f t="shared" si="13"/>
        <v>6</v>
      </c>
      <c r="BB24" s="19">
        <v>19</v>
      </c>
      <c r="BC24" s="15">
        <f t="shared" si="8"/>
        <v>480</v>
      </c>
      <c r="BD24" s="15">
        <f t="shared" si="9"/>
        <v>310</v>
      </c>
      <c r="BE24" s="15">
        <f t="shared" si="10"/>
        <v>104400</v>
      </c>
      <c r="BF24" s="15">
        <f t="shared" si="14"/>
        <v>700</v>
      </c>
      <c r="BH24" s="19">
        <v>20</v>
      </c>
      <c r="BI24" s="23">
        <v>20</v>
      </c>
      <c r="BL24" s="23">
        <v>6</v>
      </c>
      <c r="BM24" s="23">
        <f t="shared" si="24"/>
        <v>3.6015125551000002</v>
      </c>
      <c r="BN24" s="21">
        <f t="shared" si="16"/>
        <v>1.8915191739292753E-2</v>
      </c>
      <c r="BO24" s="15">
        <f t="shared" si="17"/>
        <v>0</v>
      </c>
      <c r="BP24" s="15">
        <f t="shared" si="18"/>
        <v>0</v>
      </c>
      <c r="BQ24" s="15">
        <f t="shared" si="19"/>
        <v>0</v>
      </c>
      <c r="BR24" s="15">
        <f t="shared" si="20"/>
        <v>0</v>
      </c>
      <c r="BS24" s="15">
        <f t="shared" si="21"/>
        <v>0</v>
      </c>
      <c r="BT24" s="15">
        <f t="shared" si="22"/>
        <v>0</v>
      </c>
      <c r="BU24" s="15">
        <f t="shared" si="23"/>
        <v>0</v>
      </c>
      <c r="BW24" s="23">
        <v>6</v>
      </c>
      <c r="BX24" s="23">
        <v>5</v>
      </c>
      <c r="CD24" s="52">
        <v>20</v>
      </c>
      <c r="CE24" s="52">
        <v>1</v>
      </c>
      <c r="CF24" s="54" t="s">
        <v>538</v>
      </c>
      <c r="CG24" s="52">
        <v>20</v>
      </c>
      <c r="CH24" s="52"/>
      <c r="CI24" s="52"/>
      <c r="CJ24" s="52"/>
      <c r="CK24" s="52" t="s">
        <v>539</v>
      </c>
      <c r="CL24" s="52">
        <v>2400</v>
      </c>
      <c r="CM24" s="52" t="s">
        <v>540</v>
      </c>
      <c r="CN24" s="52">
        <v>20</v>
      </c>
      <c r="CO24" s="52"/>
      <c r="CP24" s="52"/>
      <c r="CQ24" s="52" t="s">
        <v>540</v>
      </c>
      <c r="CR24" s="52">
        <v>40</v>
      </c>
      <c r="CS24" s="52"/>
      <c r="CT24" s="52"/>
      <c r="CU24" s="52"/>
      <c r="CV24" s="52"/>
      <c r="CW24" s="52"/>
      <c r="CX24" s="52"/>
      <c r="CY24" s="52"/>
      <c r="CZ24" s="52"/>
      <c r="DA24" s="52"/>
      <c r="DB24" s="52"/>
    </row>
    <row r="25" spans="1:106" ht="16.5" x14ac:dyDescent="0.2">
      <c r="A25" s="18">
        <v>21</v>
      </c>
      <c r="B25" s="26">
        <v>6</v>
      </c>
      <c r="C25" s="39">
        <v>60</v>
      </c>
      <c r="D25" s="26">
        <f>INDEX(章节关卡!$C$6:$C$20,芦花古楼!B25)*芦花古楼!C25</f>
        <v>1200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2400</v>
      </c>
      <c r="H25" s="15">
        <v>100</v>
      </c>
      <c r="K25" s="18">
        <v>21</v>
      </c>
      <c r="L25" s="26">
        <v>7</v>
      </c>
      <c r="M25" s="39">
        <v>120</v>
      </c>
      <c r="N25" s="26">
        <f>INDEX(章节关卡!$C$6:$C$20,芦花古楼!L25)*芦花古楼!M25</f>
        <v>3000</v>
      </c>
      <c r="O25" s="23">
        <f t="shared" si="4"/>
        <v>30</v>
      </c>
      <c r="P25" s="23">
        <f t="shared" si="5"/>
        <v>40</v>
      </c>
      <c r="Q25" s="15">
        <f>INDEX(章节关卡!$E$6:$E$20,芦花古楼!L25)*芦花古楼!M25</f>
        <v>6000</v>
      </c>
      <c r="R25" s="15">
        <v>100</v>
      </c>
      <c r="U25" s="18">
        <v>21</v>
      </c>
      <c r="V25" s="63">
        <v>9</v>
      </c>
      <c r="W25" s="39">
        <v>180</v>
      </c>
      <c r="X25" s="26">
        <f>INDEX(章节关卡!$C$6:$C$20,芦花古楼!V25)*芦花古楼!W25</f>
        <v>6480</v>
      </c>
      <c r="Y25" s="23">
        <f t="shared" si="0"/>
        <v>35</v>
      </c>
      <c r="Z25" s="23">
        <f t="shared" si="1"/>
        <v>40</v>
      </c>
      <c r="AA25" s="15">
        <f>INDEX(章节关卡!$E$6:$E$20,芦花古楼!V25)*芦花古楼!W25</f>
        <v>12960</v>
      </c>
      <c r="AB25" s="15">
        <v>100</v>
      </c>
      <c r="AE25" s="18">
        <v>21</v>
      </c>
      <c r="AF25" s="63">
        <v>9</v>
      </c>
      <c r="AG25" s="39">
        <v>180</v>
      </c>
      <c r="AH25" s="26">
        <f>INDEX(章节关卡!$C$6:$C$20,芦花古楼!AF25)*芦花古楼!AG25</f>
        <v>6480</v>
      </c>
      <c r="AI25" s="23">
        <f t="shared" si="6"/>
        <v>40</v>
      </c>
      <c r="AJ25" s="23">
        <f t="shared" si="7"/>
        <v>40</v>
      </c>
      <c r="AK25" s="15">
        <f>INDEX(章节关卡!$E$6:$E$20,芦花古楼!AF25)*芦花古楼!AG25</f>
        <v>12960</v>
      </c>
      <c r="AL25" s="15">
        <v>100</v>
      </c>
      <c r="AO25" s="19">
        <v>20</v>
      </c>
      <c r="AP25" s="19">
        <v>3</v>
      </c>
      <c r="AR25" s="19">
        <v>20</v>
      </c>
      <c r="AS25" s="19">
        <f t="shared" si="11"/>
        <v>4</v>
      </c>
      <c r="AU25" s="19">
        <v>20</v>
      </c>
      <c r="AV25" s="19">
        <f t="shared" si="12"/>
        <v>5</v>
      </c>
      <c r="AX25" s="19">
        <v>20</v>
      </c>
      <c r="AY25" s="19">
        <f t="shared" si="13"/>
        <v>6</v>
      </c>
      <c r="BB25" s="19">
        <v>20</v>
      </c>
      <c r="BC25" s="15">
        <f t="shared" si="8"/>
        <v>425</v>
      </c>
      <c r="BD25" s="15">
        <f t="shared" si="9"/>
        <v>315</v>
      </c>
      <c r="BE25" s="15">
        <f t="shared" si="10"/>
        <v>97200</v>
      </c>
      <c r="BF25" s="15">
        <f t="shared" si="14"/>
        <v>750</v>
      </c>
      <c r="BH25" s="19">
        <v>21</v>
      </c>
      <c r="BI25" s="23">
        <v>20</v>
      </c>
      <c r="BL25" s="23">
        <v>7</v>
      </c>
      <c r="BM25" s="23">
        <f t="shared" si="24"/>
        <v>4.1375276806510008</v>
      </c>
      <c r="BN25" s="21">
        <f t="shared" si="16"/>
        <v>2.1730350292773554E-2</v>
      </c>
      <c r="BO25" s="15">
        <f t="shared" si="17"/>
        <v>0</v>
      </c>
      <c r="BP25" s="15">
        <f t="shared" si="18"/>
        <v>0</v>
      </c>
      <c r="BQ25" s="15">
        <f t="shared" si="19"/>
        <v>0</v>
      </c>
      <c r="BR25" s="15">
        <f t="shared" si="20"/>
        <v>0</v>
      </c>
      <c r="BS25" s="15">
        <f t="shared" si="21"/>
        <v>0</v>
      </c>
      <c r="BT25" s="15">
        <f t="shared" si="22"/>
        <v>0</v>
      </c>
      <c r="BU25" s="15">
        <f t="shared" si="23"/>
        <v>0</v>
      </c>
      <c r="BW25" s="23">
        <v>7</v>
      </c>
      <c r="BX25" s="23">
        <v>5</v>
      </c>
      <c r="CD25" s="52">
        <v>21</v>
      </c>
      <c r="CE25" s="52">
        <v>1</v>
      </c>
      <c r="CF25" s="54" t="s">
        <v>538</v>
      </c>
      <c r="CG25" s="52">
        <v>21</v>
      </c>
      <c r="CH25" s="52"/>
      <c r="CI25" s="52"/>
      <c r="CJ25" s="52"/>
      <c r="CK25" s="52" t="s">
        <v>539</v>
      </c>
      <c r="CL25" s="52">
        <v>3000</v>
      </c>
      <c r="CM25" s="52" t="s">
        <v>540</v>
      </c>
      <c r="CN25" s="52">
        <v>25</v>
      </c>
      <c r="CO25" s="52"/>
      <c r="CP25" s="52"/>
      <c r="CQ25" s="52" t="s">
        <v>540</v>
      </c>
      <c r="CR25" s="52">
        <v>40</v>
      </c>
      <c r="CS25" s="52"/>
      <c r="CT25" s="52"/>
      <c r="CU25" s="52"/>
      <c r="CV25" s="52"/>
      <c r="CW25" s="52"/>
      <c r="CX25" s="52"/>
      <c r="CY25" s="52"/>
      <c r="CZ25" s="52"/>
      <c r="DA25" s="52"/>
      <c r="DB25" s="52"/>
    </row>
    <row r="26" spans="1:106" ht="16.5" x14ac:dyDescent="0.2">
      <c r="A26" s="18">
        <v>22</v>
      </c>
      <c r="B26" s="63">
        <v>6</v>
      </c>
      <c r="C26" s="39">
        <v>60</v>
      </c>
      <c r="D26" s="26">
        <f>INDEX(章节关卡!$C$6:$C$20,芦花古楼!B26)*芦花古楼!C26</f>
        <v>1200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2400</v>
      </c>
      <c r="H26" s="15">
        <v>100</v>
      </c>
      <c r="K26" s="18">
        <v>22</v>
      </c>
      <c r="L26" s="63">
        <v>7</v>
      </c>
      <c r="M26" s="39">
        <v>120</v>
      </c>
      <c r="N26" s="26">
        <f>INDEX(章节关卡!$C$6:$C$20,芦花古楼!L26)*芦花古楼!M26</f>
        <v>3000</v>
      </c>
      <c r="O26" s="23">
        <f t="shared" si="4"/>
        <v>30</v>
      </c>
      <c r="P26" s="23">
        <f t="shared" si="5"/>
        <v>40</v>
      </c>
      <c r="Q26" s="15">
        <f>INDEX(章节关卡!$E$6:$E$20,芦花古楼!L26)*芦花古楼!M26</f>
        <v>6000</v>
      </c>
      <c r="R26" s="15">
        <v>100</v>
      </c>
      <c r="U26" s="18">
        <v>22</v>
      </c>
      <c r="V26" s="63">
        <v>9</v>
      </c>
      <c r="W26" s="39">
        <v>180</v>
      </c>
      <c r="X26" s="26">
        <f>INDEX(章节关卡!$C$6:$C$20,芦花古楼!V26)*芦花古楼!W26</f>
        <v>6480</v>
      </c>
      <c r="Y26" s="23">
        <f t="shared" si="0"/>
        <v>35</v>
      </c>
      <c r="Z26" s="23">
        <f t="shared" si="1"/>
        <v>40</v>
      </c>
      <c r="AA26" s="15">
        <f>INDEX(章节关卡!$E$6:$E$20,芦花古楼!V26)*芦花古楼!W26</f>
        <v>12960</v>
      </c>
      <c r="AB26" s="15">
        <v>100</v>
      </c>
      <c r="AE26" s="18">
        <v>22</v>
      </c>
      <c r="AF26" s="63">
        <v>9</v>
      </c>
      <c r="AG26" s="39">
        <v>180</v>
      </c>
      <c r="AH26" s="26">
        <f>INDEX(章节关卡!$C$6:$C$20,芦花古楼!AF26)*芦花古楼!AG26</f>
        <v>6480</v>
      </c>
      <c r="AI26" s="23">
        <f t="shared" si="6"/>
        <v>40</v>
      </c>
      <c r="AJ26" s="23">
        <f t="shared" si="7"/>
        <v>40</v>
      </c>
      <c r="AK26" s="15">
        <f>INDEX(章节关卡!$E$6:$E$20,芦花古楼!AF26)*芦花古楼!AG26</f>
        <v>12960</v>
      </c>
      <c r="AL26" s="15">
        <v>100</v>
      </c>
      <c r="AO26" s="19">
        <v>21</v>
      </c>
      <c r="AP26" s="19">
        <v>3</v>
      </c>
      <c r="AR26" s="19">
        <v>21</v>
      </c>
      <c r="AS26" s="19">
        <f t="shared" si="11"/>
        <v>4</v>
      </c>
      <c r="AU26" s="19">
        <v>21</v>
      </c>
      <c r="AV26" s="19">
        <f t="shared" si="12"/>
        <v>5</v>
      </c>
      <c r="AX26" s="19">
        <v>21</v>
      </c>
      <c r="AY26" s="19">
        <f t="shared" si="13"/>
        <v>6</v>
      </c>
      <c r="BB26" s="19">
        <v>21</v>
      </c>
      <c r="BC26" s="15">
        <f t="shared" si="8"/>
        <v>360</v>
      </c>
      <c r="BD26" s="15">
        <f t="shared" si="9"/>
        <v>320</v>
      </c>
      <c r="BE26" s="15">
        <f t="shared" si="10"/>
        <v>81000</v>
      </c>
      <c r="BF26" s="15">
        <f t="shared" si="14"/>
        <v>800</v>
      </c>
      <c r="BH26" s="19">
        <v>22</v>
      </c>
      <c r="BI26" s="23">
        <v>20</v>
      </c>
      <c r="BL26" s="23">
        <v>8</v>
      </c>
      <c r="BM26" s="23">
        <f t="shared" si="24"/>
        <v>4.6789029574575105</v>
      </c>
      <c r="BN26" s="21">
        <f t="shared" si="16"/>
        <v>2.4573660431789157E-2</v>
      </c>
      <c r="BO26" s="15">
        <f t="shared" si="17"/>
        <v>0</v>
      </c>
      <c r="BP26" s="15">
        <f t="shared" si="18"/>
        <v>0</v>
      </c>
      <c r="BQ26" s="15">
        <f t="shared" si="19"/>
        <v>0</v>
      </c>
      <c r="BR26" s="15">
        <f t="shared" si="20"/>
        <v>0</v>
      </c>
      <c r="BS26" s="15">
        <f t="shared" si="21"/>
        <v>0</v>
      </c>
      <c r="BT26" s="15">
        <f t="shared" si="22"/>
        <v>0</v>
      </c>
      <c r="BU26" s="15">
        <f t="shared" si="23"/>
        <v>0</v>
      </c>
      <c r="BW26" s="23">
        <v>8</v>
      </c>
      <c r="BX26" s="23">
        <v>5</v>
      </c>
      <c r="CD26" s="52">
        <v>22</v>
      </c>
      <c r="CE26" s="52">
        <v>1</v>
      </c>
      <c r="CF26" s="54" t="s">
        <v>538</v>
      </c>
      <c r="CG26" s="52">
        <v>22</v>
      </c>
      <c r="CH26" s="52"/>
      <c r="CI26" s="52"/>
      <c r="CJ26" s="52"/>
      <c r="CK26" s="52" t="s">
        <v>539</v>
      </c>
      <c r="CL26" s="52">
        <v>3000</v>
      </c>
      <c r="CM26" s="52" t="s">
        <v>540</v>
      </c>
      <c r="CN26" s="52">
        <v>25</v>
      </c>
      <c r="CO26" s="52"/>
      <c r="CP26" s="52"/>
      <c r="CQ26" s="52" t="s">
        <v>540</v>
      </c>
      <c r="CR26" s="52">
        <v>40</v>
      </c>
      <c r="CS26" s="52"/>
      <c r="CT26" s="52"/>
      <c r="CU26" s="52"/>
      <c r="CV26" s="52"/>
      <c r="CW26" s="52"/>
      <c r="CX26" s="52"/>
      <c r="CY26" s="52"/>
      <c r="CZ26" s="52"/>
      <c r="DA26" s="52"/>
      <c r="DB26" s="52"/>
    </row>
    <row r="27" spans="1:106" ht="16.5" x14ac:dyDescent="0.2">
      <c r="A27" s="18">
        <v>23</v>
      </c>
      <c r="B27" s="63">
        <v>6</v>
      </c>
      <c r="C27" s="39">
        <v>60</v>
      </c>
      <c r="D27" s="26">
        <f>INDEX(章节关卡!$C$6:$C$20,芦花古楼!B27)*芦花古楼!C27</f>
        <v>1200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2400</v>
      </c>
      <c r="H27" s="15">
        <v>100</v>
      </c>
      <c r="K27" s="18">
        <v>23</v>
      </c>
      <c r="L27" s="63">
        <v>7</v>
      </c>
      <c r="M27" s="39">
        <v>120</v>
      </c>
      <c r="N27" s="26">
        <f>INDEX(章节关卡!$C$6:$C$20,芦花古楼!L27)*芦花古楼!M27</f>
        <v>3000</v>
      </c>
      <c r="O27" s="23">
        <f t="shared" si="4"/>
        <v>30</v>
      </c>
      <c r="P27" s="23">
        <f t="shared" si="5"/>
        <v>40</v>
      </c>
      <c r="Q27" s="15">
        <f>INDEX(章节关卡!$E$6:$E$20,芦花古楼!L27)*芦花古楼!M27</f>
        <v>6000</v>
      </c>
      <c r="R27" s="15">
        <v>100</v>
      </c>
      <c r="U27" s="18">
        <v>23</v>
      </c>
      <c r="V27" s="63">
        <v>9</v>
      </c>
      <c r="W27" s="39">
        <v>180</v>
      </c>
      <c r="X27" s="26">
        <f>INDEX(章节关卡!$C$6:$C$20,芦花古楼!V27)*芦花古楼!W27</f>
        <v>6480</v>
      </c>
      <c r="Y27" s="23">
        <f t="shared" si="0"/>
        <v>35</v>
      </c>
      <c r="Z27" s="23">
        <f t="shared" si="1"/>
        <v>40</v>
      </c>
      <c r="AA27" s="15">
        <f>INDEX(章节关卡!$E$6:$E$20,芦花古楼!V27)*芦花古楼!W27</f>
        <v>12960</v>
      </c>
      <c r="AB27" s="15">
        <v>100</v>
      </c>
      <c r="AE27" s="18">
        <v>23</v>
      </c>
      <c r="AF27" s="63">
        <v>9</v>
      </c>
      <c r="AG27" s="39">
        <v>180</v>
      </c>
      <c r="AH27" s="26">
        <f>INDEX(章节关卡!$C$6:$C$20,芦花古楼!AF27)*芦花古楼!AG27</f>
        <v>6480</v>
      </c>
      <c r="AI27" s="23">
        <f t="shared" si="6"/>
        <v>40</v>
      </c>
      <c r="AJ27" s="23">
        <f t="shared" si="7"/>
        <v>40</v>
      </c>
      <c r="AK27" s="15">
        <f>INDEX(章节关卡!$E$6:$E$20,芦花古楼!AF27)*芦花古楼!AG27</f>
        <v>12960</v>
      </c>
      <c r="AL27" s="15">
        <v>100</v>
      </c>
      <c r="AO27" s="19">
        <v>22</v>
      </c>
      <c r="AP27" s="19">
        <v>3</v>
      </c>
      <c r="AR27" s="19">
        <v>22</v>
      </c>
      <c r="AS27" s="19">
        <f t="shared" si="11"/>
        <v>4</v>
      </c>
      <c r="AU27" s="19">
        <v>22</v>
      </c>
      <c r="AV27" s="19">
        <f t="shared" si="12"/>
        <v>5</v>
      </c>
      <c r="AX27" s="19">
        <v>22</v>
      </c>
      <c r="AY27" s="19">
        <f t="shared" si="13"/>
        <v>6</v>
      </c>
      <c r="BB27" s="19">
        <v>22</v>
      </c>
      <c r="BC27" s="15">
        <f t="shared" si="8"/>
        <v>290</v>
      </c>
      <c r="BD27" s="15">
        <f t="shared" si="9"/>
        <v>320</v>
      </c>
      <c r="BE27" s="15">
        <f t="shared" si="10"/>
        <v>61200</v>
      </c>
      <c r="BF27" s="15">
        <f t="shared" si="14"/>
        <v>800</v>
      </c>
      <c r="BH27" s="19">
        <v>23</v>
      </c>
      <c r="BI27" s="23">
        <v>20</v>
      </c>
      <c r="BL27" s="23">
        <v>9</v>
      </c>
      <c r="BM27" s="23">
        <f t="shared" si="24"/>
        <v>5.2256919870320857</v>
      </c>
      <c r="BN27" s="21">
        <f t="shared" si="16"/>
        <v>2.7445403672194918E-2</v>
      </c>
      <c r="BO27" s="15">
        <f t="shared" si="17"/>
        <v>0</v>
      </c>
      <c r="BP27" s="15">
        <f t="shared" si="18"/>
        <v>0</v>
      </c>
      <c r="BQ27" s="15">
        <f t="shared" si="19"/>
        <v>0</v>
      </c>
      <c r="BR27" s="15">
        <f t="shared" si="20"/>
        <v>0</v>
      </c>
      <c r="BS27" s="15">
        <f t="shared" si="21"/>
        <v>0</v>
      </c>
      <c r="BT27" s="15">
        <f t="shared" si="22"/>
        <v>0</v>
      </c>
      <c r="BU27" s="15">
        <f t="shared" si="23"/>
        <v>0</v>
      </c>
      <c r="BW27" s="23">
        <v>9</v>
      </c>
      <c r="BX27" s="23">
        <v>5</v>
      </c>
      <c r="CD27" s="52">
        <v>23</v>
      </c>
      <c r="CE27" s="52">
        <v>1</v>
      </c>
      <c r="CF27" s="54" t="s">
        <v>538</v>
      </c>
      <c r="CG27" s="52">
        <v>23</v>
      </c>
      <c r="CH27" s="52"/>
      <c r="CI27" s="52"/>
      <c r="CJ27" s="52"/>
      <c r="CK27" s="52" t="s">
        <v>539</v>
      </c>
      <c r="CL27" s="52">
        <v>3000</v>
      </c>
      <c r="CM27" s="52" t="s">
        <v>540</v>
      </c>
      <c r="CN27" s="52">
        <v>25</v>
      </c>
      <c r="CO27" s="52"/>
      <c r="CP27" s="52"/>
      <c r="CQ27" s="52" t="s">
        <v>540</v>
      </c>
      <c r="CR27" s="52">
        <v>40</v>
      </c>
      <c r="CS27" s="52"/>
      <c r="CT27" s="52"/>
      <c r="CU27" s="52"/>
      <c r="CV27" s="52"/>
      <c r="CW27" s="52"/>
      <c r="CX27" s="52"/>
      <c r="CY27" s="52"/>
      <c r="CZ27" s="52"/>
      <c r="DA27" s="52"/>
      <c r="DB27" s="52"/>
    </row>
    <row r="28" spans="1:106" ht="16.5" x14ac:dyDescent="0.2">
      <c r="A28" s="18">
        <v>24</v>
      </c>
      <c r="B28" s="63">
        <v>6</v>
      </c>
      <c r="C28" s="39">
        <v>60</v>
      </c>
      <c r="D28" s="26">
        <f>INDEX(章节关卡!$C$6:$C$20,芦花古楼!B28)*芦花古楼!C28</f>
        <v>1200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2400</v>
      </c>
      <c r="H28" s="15">
        <v>100</v>
      </c>
      <c r="K28" s="18">
        <v>24</v>
      </c>
      <c r="L28" s="63">
        <v>7</v>
      </c>
      <c r="M28" s="39">
        <v>120</v>
      </c>
      <c r="N28" s="26">
        <f>INDEX(章节关卡!$C$6:$C$20,芦花古楼!L28)*芦花古楼!M28</f>
        <v>3000</v>
      </c>
      <c r="O28" s="23">
        <f t="shared" si="4"/>
        <v>30</v>
      </c>
      <c r="P28" s="23">
        <f t="shared" si="5"/>
        <v>40</v>
      </c>
      <c r="Q28" s="15">
        <f>INDEX(章节关卡!$E$6:$E$20,芦花古楼!L28)*芦花古楼!M28</f>
        <v>6000</v>
      </c>
      <c r="R28" s="15">
        <v>100</v>
      </c>
      <c r="U28" s="18">
        <v>24</v>
      </c>
      <c r="V28" s="63">
        <v>9</v>
      </c>
      <c r="W28" s="39">
        <v>180</v>
      </c>
      <c r="X28" s="26">
        <f>INDEX(章节关卡!$C$6:$C$20,芦花古楼!V28)*芦花古楼!W28</f>
        <v>6480</v>
      </c>
      <c r="Y28" s="23">
        <f t="shared" si="0"/>
        <v>35</v>
      </c>
      <c r="Z28" s="23">
        <f t="shared" si="1"/>
        <v>40</v>
      </c>
      <c r="AA28" s="15">
        <f>INDEX(章节关卡!$E$6:$E$20,芦花古楼!V28)*芦花古楼!W28</f>
        <v>12960</v>
      </c>
      <c r="AB28" s="15">
        <v>100</v>
      </c>
      <c r="AE28" s="18">
        <v>24</v>
      </c>
      <c r="AF28" s="63">
        <v>9</v>
      </c>
      <c r="AG28" s="39">
        <v>180</v>
      </c>
      <c r="AH28" s="26">
        <f>INDEX(章节关卡!$C$6:$C$20,芦花古楼!AF28)*芦花古楼!AG28</f>
        <v>6480</v>
      </c>
      <c r="AI28" s="23">
        <f t="shared" si="6"/>
        <v>40</v>
      </c>
      <c r="AJ28" s="23">
        <f t="shared" si="7"/>
        <v>40</v>
      </c>
      <c r="AK28" s="15">
        <f>INDEX(章节关卡!$E$6:$E$20,芦花古楼!AF28)*芦花古楼!AG28</f>
        <v>12960</v>
      </c>
      <c r="AL28" s="15">
        <v>100</v>
      </c>
      <c r="AO28" s="19">
        <v>23</v>
      </c>
      <c r="AP28" s="19">
        <v>4</v>
      </c>
      <c r="AR28" s="19">
        <v>23</v>
      </c>
      <c r="AS28" s="19">
        <f t="shared" si="11"/>
        <v>5</v>
      </c>
      <c r="AU28" s="19">
        <v>23</v>
      </c>
      <c r="AV28" s="19">
        <f t="shared" si="12"/>
        <v>6</v>
      </c>
      <c r="AX28" s="19">
        <v>23</v>
      </c>
      <c r="AY28" s="19">
        <f t="shared" si="13"/>
        <v>7</v>
      </c>
      <c r="BB28" s="19">
        <v>23</v>
      </c>
      <c r="BC28" s="15">
        <f t="shared" si="8"/>
        <v>290</v>
      </c>
      <c r="BD28" s="15">
        <f t="shared" si="9"/>
        <v>325</v>
      </c>
      <c r="BE28" s="15">
        <f t="shared" si="10"/>
        <v>61920</v>
      </c>
      <c r="BF28" s="15">
        <f t="shared" si="14"/>
        <v>800</v>
      </c>
      <c r="BH28" s="19">
        <v>24</v>
      </c>
      <c r="BI28" s="23">
        <v>20</v>
      </c>
      <c r="BL28" s="23">
        <v>10</v>
      </c>
      <c r="BM28" s="23">
        <f t="shared" si="24"/>
        <v>5.7779489069024068</v>
      </c>
      <c r="BN28" s="21">
        <f t="shared" si="16"/>
        <v>3.0345864345004737E-2</v>
      </c>
      <c r="BO28" s="15">
        <f t="shared" si="17"/>
        <v>0</v>
      </c>
      <c r="BP28" s="15">
        <f t="shared" si="18"/>
        <v>0</v>
      </c>
      <c r="BQ28" s="15">
        <f t="shared" si="19"/>
        <v>0</v>
      </c>
      <c r="BR28" s="15">
        <f t="shared" si="20"/>
        <v>0</v>
      </c>
      <c r="BS28" s="15">
        <f t="shared" si="21"/>
        <v>0</v>
      </c>
      <c r="BT28" s="15">
        <f t="shared" si="22"/>
        <v>0</v>
      </c>
      <c r="BU28" s="15">
        <f t="shared" si="23"/>
        <v>0</v>
      </c>
      <c r="BW28" s="23">
        <v>10</v>
      </c>
      <c r="BX28" s="23">
        <v>7</v>
      </c>
      <c r="CD28" s="52">
        <v>24</v>
      </c>
      <c r="CE28" s="52">
        <v>1</v>
      </c>
      <c r="CF28" s="54" t="s">
        <v>538</v>
      </c>
      <c r="CG28" s="52">
        <v>24</v>
      </c>
      <c r="CH28" s="52"/>
      <c r="CI28" s="52"/>
      <c r="CJ28" s="52"/>
      <c r="CK28" s="52" t="s">
        <v>539</v>
      </c>
      <c r="CL28" s="52">
        <v>3000</v>
      </c>
      <c r="CM28" s="52" t="s">
        <v>540</v>
      </c>
      <c r="CN28" s="52">
        <v>25</v>
      </c>
      <c r="CO28" s="52"/>
      <c r="CP28" s="52"/>
      <c r="CQ28" s="52" t="s">
        <v>540</v>
      </c>
      <c r="CR28" s="52">
        <v>40</v>
      </c>
      <c r="CS28" s="52"/>
      <c r="CT28" s="52"/>
      <c r="CU28" s="52"/>
      <c r="CV28" s="52"/>
      <c r="CW28" s="52"/>
      <c r="CX28" s="52"/>
      <c r="CY28" s="52"/>
      <c r="CZ28" s="52"/>
      <c r="DA28" s="52"/>
      <c r="DB28" s="52"/>
    </row>
    <row r="29" spans="1:106" ht="16.5" x14ac:dyDescent="0.2">
      <c r="A29" s="18">
        <v>25</v>
      </c>
      <c r="B29" s="63">
        <v>6</v>
      </c>
      <c r="C29" s="39">
        <v>60</v>
      </c>
      <c r="D29" s="26">
        <f>INDEX(章节关卡!$C$6:$C$20,芦花古楼!B29)*芦花古楼!C29</f>
        <v>1200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2400</v>
      </c>
      <c r="H29" s="15">
        <v>100</v>
      </c>
      <c r="K29" s="18">
        <v>25</v>
      </c>
      <c r="L29" s="63">
        <v>7</v>
      </c>
      <c r="M29" s="39">
        <v>120</v>
      </c>
      <c r="N29" s="26">
        <f>INDEX(章节关卡!$C$6:$C$20,芦花古楼!L29)*芦花古楼!M29</f>
        <v>3000</v>
      </c>
      <c r="O29" s="23">
        <f t="shared" si="4"/>
        <v>30</v>
      </c>
      <c r="P29" s="23">
        <f t="shared" si="5"/>
        <v>45</v>
      </c>
      <c r="Q29" s="15">
        <f>INDEX(章节关卡!$E$6:$E$20,芦花古楼!L29)*芦花古楼!M29</f>
        <v>6000</v>
      </c>
      <c r="R29" s="15">
        <v>100</v>
      </c>
      <c r="U29" s="18">
        <v>25</v>
      </c>
      <c r="V29" s="63">
        <v>9</v>
      </c>
      <c r="W29" s="39">
        <v>180</v>
      </c>
      <c r="X29" s="26">
        <f>INDEX(章节关卡!$C$6:$C$20,芦花古楼!V29)*芦花古楼!W29</f>
        <v>6480</v>
      </c>
      <c r="Y29" s="23">
        <f t="shared" si="0"/>
        <v>35</v>
      </c>
      <c r="Z29" s="23">
        <f t="shared" si="1"/>
        <v>45</v>
      </c>
      <c r="AA29" s="15">
        <f>INDEX(章节关卡!$E$6:$E$20,芦花古楼!V29)*芦花古楼!W29</f>
        <v>12960</v>
      </c>
      <c r="AB29" s="15">
        <v>100</v>
      </c>
      <c r="AE29" s="18">
        <v>25</v>
      </c>
      <c r="AF29" s="63">
        <v>9</v>
      </c>
      <c r="AG29" s="39">
        <v>180</v>
      </c>
      <c r="AH29" s="26">
        <f>INDEX(章节关卡!$C$6:$C$20,芦花古楼!AF29)*芦花古楼!AG29</f>
        <v>6480</v>
      </c>
      <c r="AI29" s="23">
        <f t="shared" si="6"/>
        <v>40</v>
      </c>
      <c r="AJ29" s="23">
        <f t="shared" si="7"/>
        <v>45</v>
      </c>
      <c r="AK29" s="15">
        <f>INDEX(章节关卡!$E$6:$E$20,芦花古楼!AF29)*芦花古楼!AG29</f>
        <v>12960</v>
      </c>
      <c r="AL29" s="15">
        <v>100</v>
      </c>
      <c r="AO29" s="19">
        <v>24</v>
      </c>
      <c r="AP29" s="19">
        <v>4</v>
      </c>
      <c r="AR29" s="19">
        <v>24</v>
      </c>
      <c r="AS29" s="19">
        <f t="shared" si="11"/>
        <v>5</v>
      </c>
      <c r="AU29" s="19">
        <v>24</v>
      </c>
      <c r="AV29" s="19">
        <f t="shared" si="12"/>
        <v>6</v>
      </c>
      <c r="AX29" s="19">
        <v>24</v>
      </c>
      <c r="AY29" s="19">
        <f t="shared" si="13"/>
        <v>7</v>
      </c>
      <c r="BB29" s="19">
        <v>24</v>
      </c>
      <c r="BC29" s="15">
        <f t="shared" si="8"/>
        <v>295</v>
      </c>
      <c r="BD29" s="15">
        <f t="shared" si="9"/>
        <v>330</v>
      </c>
      <c r="BE29" s="15">
        <f t="shared" si="10"/>
        <v>61920</v>
      </c>
      <c r="BF29" s="15">
        <f t="shared" si="14"/>
        <v>800</v>
      </c>
      <c r="BH29" s="19">
        <v>25</v>
      </c>
      <c r="BI29" s="23">
        <v>20</v>
      </c>
      <c r="BL29" s="23">
        <v>11</v>
      </c>
      <c r="BM29" s="23">
        <f t="shared" si="24"/>
        <v>6.3357283959714312</v>
      </c>
      <c r="BN29" s="21">
        <f t="shared" si="16"/>
        <v>3.3275329624542653E-2</v>
      </c>
      <c r="BO29" s="15">
        <f t="shared" si="17"/>
        <v>0</v>
      </c>
      <c r="BP29" s="15">
        <f t="shared" si="18"/>
        <v>0</v>
      </c>
      <c r="BQ29" s="15">
        <f t="shared" si="19"/>
        <v>0</v>
      </c>
      <c r="BR29" s="15">
        <f t="shared" si="20"/>
        <v>0</v>
      </c>
      <c r="BS29" s="15">
        <f t="shared" si="21"/>
        <v>0</v>
      </c>
      <c r="BT29" s="15">
        <f t="shared" si="22"/>
        <v>0</v>
      </c>
      <c r="BU29" s="15">
        <f t="shared" si="23"/>
        <v>0</v>
      </c>
      <c r="BW29" s="23">
        <v>11</v>
      </c>
      <c r="BX29" s="23">
        <v>7</v>
      </c>
      <c r="CD29" s="52">
        <v>25</v>
      </c>
      <c r="CE29" s="52">
        <v>1</v>
      </c>
      <c r="CF29" s="54" t="s">
        <v>538</v>
      </c>
      <c r="CG29" s="52">
        <v>25</v>
      </c>
      <c r="CH29" s="52"/>
      <c r="CI29" s="52"/>
      <c r="CJ29" s="52"/>
      <c r="CK29" s="52" t="s">
        <v>539</v>
      </c>
      <c r="CL29" s="52">
        <v>3000</v>
      </c>
      <c r="CM29" s="52" t="s">
        <v>540</v>
      </c>
      <c r="CN29" s="52">
        <v>25</v>
      </c>
      <c r="CO29" s="52"/>
      <c r="CP29" s="52"/>
      <c r="CQ29" s="52" t="s">
        <v>540</v>
      </c>
      <c r="CR29" s="52">
        <v>45</v>
      </c>
      <c r="CS29" s="52"/>
      <c r="CT29" s="52"/>
      <c r="CU29" s="52"/>
      <c r="CV29" s="52"/>
      <c r="CW29" s="52"/>
      <c r="CX29" s="52"/>
      <c r="CY29" s="52"/>
      <c r="CZ29" s="52"/>
      <c r="DA29" s="52"/>
      <c r="DB29" s="52"/>
    </row>
    <row r="30" spans="1:106" ht="16.5" x14ac:dyDescent="0.2">
      <c r="A30" s="18">
        <v>26</v>
      </c>
      <c r="B30" s="63">
        <v>6</v>
      </c>
      <c r="C30" s="39">
        <v>60</v>
      </c>
      <c r="D30" s="26">
        <f>INDEX(章节关卡!$C$6:$C$20,芦花古楼!B30)*芦花古楼!C30</f>
        <v>1200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2400</v>
      </c>
      <c r="H30" s="15">
        <v>100</v>
      </c>
      <c r="K30" s="18">
        <v>26</v>
      </c>
      <c r="L30" s="63">
        <v>7</v>
      </c>
      <c r="M30" s="39">
        <v>120</v>
      </c>
      <c r="N30" s="26">
        <f>INDEX(章节关卡!$C$6:$C$20,芦花古楼!L30)*芦花古楼!M30</f>
        <v>3000</v>
      </c>
      <c r="O30" s="23">
        <f t="shared" si="4"/>
        <v>35</v>
      </c>
      <c r="P30" s="23">
        <f t="shared" si="5"/>
        <v>45</v>
      </c>
      <c r="Q30" s="15">
        <f>INDEX(章节关卡!$E$6:$E$20,芦花古楼!L30)*芦花古楼!M30</f>
        <v>6000</v>
      </c>
      <c r="R30" s="15">
        <v>100</v>
      </c>
      <c r="U30" s="18">
        <v>26</v>
      </c>
      <c r="V30" s="63">
        <v>9</v>
      </c>
      <c r="W30" s="39">
        <v>180</v>
      </c>
      <c r="X30" s="26">
        <f>INDEX(章节关卡!$C$6:$C$20,芦花古楼!V30)*芦花古楼!W30</f>
        <v>6480</v>
      </c>
      <c r="Y30" s="23">
        <f t="shared" si="0"/>
        <v>40</v>
      </c>
      <c r="Z30" s="23">
        <f t="shared" si="1"/>
        <v>45</v>
      </c>
      <c r="AA30" s="15">
        <f>INDEX(章节关卡!$E$6:$E$20,芦花古楼!V30)*芦花古楼!W30</f>
        <v>12960</v>
      </c>
      <c r="AB30" s="15">
        <v>100</v>
      </c>
      <c r="AE30" s="18">
        <v>26</v>
      </c>
      <c r="AF30" s="63">
        <v>9</v>
      </c>
      <c r="AG30" s="39">
        <v>180</v>
      </c>
      <c r="AH30" s="26">
        <f>INDEX(章节关卡!$C$6:$C$20,芦花古楼!AF30)*芦花古楼!AG30</f>
        <v>6480</v>
      </c>
      <c r="AI30" s="23">
        <f t="shared" si="6"/>
        <v>45</v>
      </c>
      <c r="AJ30" s="23">
        <f t="shared" si="7"/>
        <v>45</v>
      </c>
      <c r="AK30" s="15">
        <f>INDEX(章节关卡!$E$6:$E$20,芦花古楼!AF30)*芦花古楼!AG30</f>
        <v>12960</v>
      </c>
      <c r="AL30" s="15">
        <v>100</v>
      </c>
      <c r="AO30" s="19">
        <v>25</v>
      </c>
      <c r="AP30" s="19">
        <v>4</v>
      </c>
      <c r="AR30" s="19">
        <v>25</v>
      </c>
      <c r="AS30" s="19">
        <f t="shared" si="11"/>
        <v>5</v>
      </c>
      <c r="AU30" s="19">
        <v>25</v>
      </c>
      <c r="AV30" s="19">
        <f t="shared" si="12"/>
        <v>6</v>
      </c>
      <c r="AX30" s="19">
        <v>25</v>
      </c>
      <c r="AY30" s="19">
        <f t="shared" si="13"/>
        <v>7</v>
      </c>
      <c r="BB30" s="19">
        <v>25</v>
      </c>
      <c r="BC30" s="15">
        <f t="shared" si="8"/>
        <v>300</v>
      </c>
      <c r="BD30" s="15">
        <f t="shared" si="9"/>
        <v>335</v>
      </c>
      <c r="BE30" s="15">
        <f t="shared" si="10"/>
        <v>61920</v>
      </c>
      <c r="BF30" s="15">
        <f t="shared" si="14"/>
        <v>800</v>
      </c>
      <c r="BH30" s="19">
        <v>26</v>
      </c>
      <c r="BI30" s="23">
        <v>20</v>
      </c>
      <c r="BL30" s="23">
        <v>12</v>
      </c>
      <c r="BM30" s="23">
        <f t="shared" si="24"/>
        <v>6.8990856799311455</v>
      </c>
      <c r="BN30" s="21">
        <f t="shared" si="16"/>
        <v>3.6234089556875952E-2</v>
      </c>
      <c r="BO30" s="15">
        <f t="shared" si="17"/>
        <v>0</v>
      </c>
      <c r="BP30" s="15">
        <f t="shared" si="18"/>
        <v>0</v>
      </c>
      <c r="BQ30" s="15">
        <f t="shared" si="19"/>
        <v>0</v>
      </c>
      <c r="BR30" s="15">
        <f t="shared" si="20"/>
        <v>0</v>
      </c>
      <c r="BS30" s="15">
        <f t="shared" si="21"/>
        <v>0</v>
      </c>
      <c r="BT30" s="15">
        <f t="shared" si="22"/>
        <v>0</v>
      </c>
      <c r="BU30" s="15">
        <f t="shared" si="23"/>
        <v>0</v>
      </c>
      <c r="BW30" s="23">
        <v>12</v>
      </c>
      <c r="BX30" s="23">
        <v>7</v>
      </c>
      <c r="CD30" s="52">
        <v>26</v>
      </c>
      <c r="CE30" s="52">
        <v>1</v>
      </c>
      <c r="CF30" s="54" t="s">
        <v>538</v>
      </c>
      <c r="CG30" s="52">
        <v>26</v>
      </c>
      <c r="CH30" s="52"/>
      <c r="CI30" s="52"/>
      <c r="CJ30" s="52"/>
      <c r="CK30" s="52" t="s">
        <v>539</v>
      </c>
      <c r="CL30" s="52">
        <v>3000</v>
      </c>
      <c r="CM30" s="52" t="s">
        <v>540</v>
      </c>
      <c r="CN30" s="52">
        <v>30</v>
      </c>
      <c r="CO30" s="52"/>
      <c r="CP30" s="52"/>
      <c r="CQ30" s="52" t="s">
        <v>540</v>
      </c>
      <c r="CR30" s="52">
        <v>45</v>
      </c>
      <c r="CS30" s="52"/>
      <c r="CT30" s="52"/>
      <c r="CU30" s="52"/>
      <c r="CV30" s="52"/>
      <c r="CW30" s="52"/>
      <c r="CX30" s="52"/>
      <c r="CY30" s="52"/>
      <c r="CZ30" s="52"/>
      <c r="DA30" s="52"/>
      <c r="DB30" s="52"/>
    </row>
    <row r="31" spans="1:106" ht="16.5" x14ac:dyDescent="0.2">
      <c r="A31" s="18">
        <v>27</v>
      </c>
      <c r="B31" s="63">
        <v>6</v>
      </c>
      <c r="C31" s="39">
        <v>60</v>
      </c>
      <c r="D31" s="26">
        <f>INDEX(章节关卡!$C$6:$C$20,芦花古楼!B31)*芦花古楼!C31</f>
        <v>1200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2400</v>
      </c>
      <c r="H31" s="15">
        <v>100</v>
      </c>
      <c r="K31" s="18">
        <v>27</v>
      </c>
      <c r="L31" s="63">
        <v>7</v>
      </c>
      <c r="M31" s="39">
        <v>120</v>
      </c>
      <c r="N31" s="26">
        <f>INDEX(章节关卡!$C$6:$C$20,芦花古楼!L31)*芦花古楼!M31</f>
        <v>3000</v>
      </c>
      <c r="O31" s="23">
        <f t="shared" si="4"/>
        <v>35</v>
      </c>
      <c r="P31" s="23">
        <f t="shared" si="5"/>
        <v>45</v>
      </c>
      <c r="Q31" s="15">
        <f>INDEX(章节关卡!$E$6:$E$20,芦花古楼!L31)*芦花古楼!M31</f>
        <v>6000</v>
      </c>
      <c r="R31" s="15">
        <v>100</v>
      </c>
      <c r="U31" s="18">
        <v>27</v>
      </c>
      <c r="V31" s="63">
        <v>9</v>
      </c>
      <c r="W31" s="39">
        <v>180</v>
      </c>
      <c r="X31" s="26">
        <f>INDEX(章节关卡!$C$6:$C$20,芦花古楼!V31)*芦花古楼!W31</f>
        <v>6480</v>
      </c>
      <c r="Y31" s="23">
        <f t="shared" si="0"/>
        <v>40</v>
      </c>
      <c r="Z31" s="23">
        <f t="shared" si="1"/>
        <v>45</v>
      </c>
      <c r="AA31" s="15">
        <f>INDEX(章节关卡!$E$6:$E$20,芦花古楼!V31)*芦花古楼!W31</f>
        <v>12960</v>
      </c>
      <c r="AB31" s="15">
        <v>100</v>
      </c>
      <c r="AE31" s="18">
        <v>27</v>
      </c>
      <c r="AF31" s="63">
        <v>9</v>
      </c>
      <c r="AG31" s="39">
        <v>180</v>
      </c>
      <c r="AH31" s="26">
        <f>INDEX(章节关卡!$C$6:$C$20,芦花古楼!AF31)*芦花古楼!AG31</f>
        <v>6480</v>
      </c>
      <c r="AI31" s="23">
        <f t="shared" si="6"/>
        <v>45</v>
      </c>
      <c r="AJ31" s="23">
        <f t="shared" si="7"/>
        <v>45</v>
      </c>
      <c r="AK31" s="15">
        <f>INDEX(章节关卡!$E$6:$E$20,芦花古楼!AF31)*芦花古楼!AG31</f>
        <v>12960</v>
      </c>
      <c r="AL31" s="15">
        <v>100</v>
      </c>
      <c r="AO31" s="19">
        <v>26</v>
      </c>
      <c r="AP31" s="19">
        <v>4</v>
      </c>
      <c r="AR31" s="19">
        <v>26</v>
      </c>
      <c r="AS31" s="19">
        <f t="shared" si="11"/>
        <v>5</v>
      </c>
      <c r="AU31" s="19">
        <v>26</v>
      </c>
      <c r="AV31" s="19">
        <f t="shared" si="12"/>
        <v>6</v>
      </c>
      <c r="AX31" s="19">
        <v>26</v>
      </c>
      <c r="AY31" s="19">
        <f t="shared" si="13"/>
        <v>7</v>
      </c>
      <c r="BB31" s="19">
        <v>26</v>
      </c>
      <c r="BC31" s="15">
        <f t="shared" si="8"/>
        <v>305</v>
      </c>
      <c r="BD31" s="15">
        <f t="shared" si="9"/>
        <v>340</v>
      </c>
      <c r="BE31" s="15">
        <f t="shared" si="10"/>
        <v>61920</v>
      </c>
      <c r="BF31" s="15">
        <f t="shared" si="14"/>
        <v>800</v>
      </c>
      <c r="BH31" s="19">
        <v>27</v>
      </c>
      <c r="BI31" s="23">
        <v>20</v>
      </c>
      <c r="BL31" s="23">
        <v>13</v>
      </c>
      <c r="BM31" s="23">
        <f t="shared" si="24"/>
        <v>7.4680765367304573</v>
      </c>
      <c r="BN31" s="21">
        <f t="shared" si="16"/>
        <v>3.9222437088532583E-2</v>
      </c>
      <c r="BO31" s="15">
        <f t="shared" si="17"/>
        <v>0</v>
      </c>
      <c r="BP31" s="15">
        <f t="shared" si="18"/>
        <v>0</v>
      </c>
      <c r="BQ31" s="15">
        <f t="shared" si="19"/>
        <v>0</v>
      </c>
      <c r="BR31" s="15">
        <f t="shared" si="20"/>
        <v>0</v>
      </c>
      <c r="BS31" s="15">
        <f t="shared" si="21"/>
        <v>0</v>
      </c>
      <c r="BT31" s="15">
        <f t="shared" si="22"/>
        <v>0</v>
      </c>
      <c r="BU31" s="15">
        <f t="shared" si="23"/>
        <v>0</v>
      </c>
      <c r="BW31" s="23">
        <v>13</v>
      </c>
      <c r="BX31" s="23">
        <v>7</v>
      </c>
      <c r="CD31" s="52">
        <v>27</v>
      </c>
      <c r="CE31" s="52">
        <v>1</v>
      </c>
      <c r="CF31" s="54" t="s">
        <v>538</v>
      </c>
      <c r="CG31" s="52">
        <v>27</v>
      </c>
      <c r="CH31" s="52"/>
      <c r="CI31" s="52"/>
      <c r="CJ31" s="52"/>
      <c r="CK31" s="52" t="s">
        <v>539</v>
      </c>
      <c r="CL31" s="52">
        <v>3000</v>
      </c>
      <c r="CM31" s="52" t="s">
        <v>540</v>
      </c>
      <c r="CN31" s="52">
        <v>30</v>
      </c>
      <c r="CO31" s="52"/>
      <c r="CP31" s="52"/>
      <c r="CQ31" s="52" t="s">
        <v>540</v>
      </c>
      <c r="CR31" s="52">
        <v>45</v>
      </c>
      <c r="CS31" s="52"/>
      <c r="CT31" s="52"/>
      <c r="CU31" s="52"/>
      <c r="CV31" s="52"/>
      <c r="CW31" s="52"/>
      <c r="CX31" s="52"/>
      <c r="CY31" s="52"/>
      <c r="CZ31" s="52"/>
      <c r="DA31" s="52"/>
      <c r="DB31" s="52"/>
    </row>
    <row r="32" spans="1:106" ht="16.5" x14ac:dyDescent="0.2">
      <c r="A32" s="18">
        <v>28</v>
      </c>
      <c r="B32" s="63">
        <v>6</v>
      </c>
      <c r="C32" s="39">
        <v>60</v>
      </c>
      <c r="D32" s="26">
        <f>INDEX(章节关卡!$C$6:$C$20,芦花古楼!B32)*芦花古楼!C32</f>
        <v>1200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2400</v>
      </c>
      <c r="H32" s="15">
        <v>100</v>
      </c>
      <c r="K32" s="18">
        <v>28</v>
      </c>
      <c r="L32" s="63">
        <v>7</v>
      </c>
      <c r="M32" s="39">
        <v>120</v>
      </c>
      <c r="N32" s="26">
        <f>INDEX(章节关卡!$C$6:$C$20,芦花古楼!L32)*芦花古楼!M32</f>
        <v>3000</v>
      </c>
      <c r="O32" s="23">
        <f t="shared" si="4"/>
        <v>35</v>
      </c>
      <c r="P32" s="23">
        <f t="shared" si="5"/>
        <v>45</v>
      </c>
      <c r="Q32" s="15">
        <f>INDEX(章节关卡!$E$6:$E$20,芦花古楼!L32)*芦花古楼!M32</f>
        <v>6000</v>
      </c>
      <c r="R32" s="15">
        <v>100</v>
      </c>
      <c r="U32" s="18">
        <v>28</v>
      </c>
      <c r="V32" s="63">
        <v>9</v>
      </c>
      <c r="W32" s="39">
        <v>180</v>
      </c>
      <c r="X32" s="26">
        <f>INDEX(章节关卡!$C$6:$C$20,芦花古楼!V32)*芦花古楼!W32</f>
        <v>6480</v>
      </c>
      <c r="Y32" s="23">
        <f t="shared" si="0"/>
        <v>40</v>
      </c>
      <c r="Z32" s="23">
        <f t="shared" si="1"/>
        <v>45</v>
      </c>
      <c r="AA32" s="15">
        <f>INDEX(章节关卡!$E$6:$E$20,芦花古楼!V32)*芦花古楼!W32</f>
        <v>12960</v>
      </c>
      <c r="AB32" s="15">
        <v>100</v>
      </c>
      <c r="AE32" s="18">
        <v>28</v>
      </c>
      <c r="AF32" s="63">
        <v>9</v>
      </c>
      <c r="AG32" s="39">
        <v>180</v>
      </c>
      <c r="AH32" s="26">
        <f>INDEX(章节关卡!$C$6:$C$20,芦花古楼!AF32)*芦花古楼!AG32</f>
        <v>6480</v>
      </c>
      <c r="AI32" s="23">
        <f t="shared" si="6"/>
        <v>45</v>
      </c>
      <c r="AJ32" s="23">
        <f t="shared" si="7"/>
        <v>45</v>
      </c>
      <c r="AK32" s="15">
        <f>INDEX(章节关卡!$E$6:$E$20,芦花古楼!AF32)*芦花古楼!AG32</f>
        <v>12960</v>
      </c>
      <c r="AL32" s="15">
        <v>100</v>
      </c>
      <c r="AO32" s="19">
        <v>27</v>
      </c>
      <c r="AP32" s="19">
        <v>4</v>
      </c>
      <c r="AR32" s="19">
        <v>27</v>
      </c>
      <c r="AS32" s="19">
        <f t="shared" si="11"/>
        <v>5</v>
      </c>
      <c r="AU32" s="19">
        <v>27</v>
      </c>
      <c r="AV32" s="19">
        <f t="shared" si="12"/>
        <v>6</v>
      </c>
      <c r="AX32" s="19">
        <v>27</v>
      </c>
      <c r="AY32" s="19">
        <f t="shared" si="13"/>
        <v>7</v>
      </c>
      <c r="BB32" s="19">
        <v>27</v>
      </c>
      <c r="BC32" s="15">
        <f t="shared" si="8"/>
        <v>310</v>
      </c>
      <c r="BD32" s="15">
        <f t="shared" si="9"/>
        <v>340</v>
      </c>
      <c r="BE32" s="15">
        <f t="shared" si="10"/>
        <v>61920</v>
      </c>
      <c r="BF32" s="15">
        <f t="shared" si="14"/>
        <v>800</v>
      </c>
      <c r="BH32" s="19">
        <v>28</v>
      </c>
      <c r="BI32" s="23">
        <v>20</v>
      </c>
      <c r="BL32" s="23">
        <v>14</v>
      </c>
      <c r="BM32" s="23">
        <f t="shared" si="24"/>
        <v>8.0427573020977619</v>
      </c>
      <c r="BN32" s="21">
        <f t="shared" si="16"/>
        <v>4.2240668095505772E-2</v>
      </c>
      <c r="BO32" s="15">
        <f t="shared" si="17"/>
        <v>0</v>
      </c>
      <c r="BP32" s="15">
        <f t="shared" si="18"/>
        <v>0</v>
      </c>
      <c r="BQ32" s="15">
        <f t="shared" si="19"/>
        <v>0</v>
      </c>
      <c r="BR32" s="15">
        <f t="shared" si="20"/>
        <v>0</v>
      </c>
      <c r="BS32" s="15">
        <f t="shared" si="21"/>
        <v>0</v>
      </c>
      <c r="BT32" s="15">
        <f t="shared" si="22"/>
        <v>0</v>
      </c>
      <c r="BU32" s="15">
        <f t="shared" si="23"/>
        <v>0</v>
      </c>
      <c r="BW32" s="23">
        <v>14</v>
      </c>
      <c r="BX32" s="23">
        <v>7</v>
      </c>
      <c r="CD32" s="52">
        <v>28</v>
      </c>
      <c r="CE32" s="52">
        <v>1</v>
      </c>
      <c r="CF32" s="54" t="s">
        <v>538</v>
      </c>
      <c r="CG32" s="52">
        <v>28</v>
      </c>
      <c r="CH32" s="52"/>
      <c r="CI32" s="52"/>
      <c r="CJ32" s="52"/>
      <c r="CK32" s="52" t="s">
        <v>539</v>
      </c>
      <c r="CL32" s="52">
        <v>3000</v>
      </c>
      <c r="CM32" s="52" t="s">
        <v>540</v>
      </c>
      <c r="CN32" s="52">
        <v>30</v>
      </c>
      <c r="CO32" s="52"/>
      <c r="CP32" s="52"/>
      <c r="CQ32" s="52" t="s">
        <v>540</v>
      </c>
      <c r="CR32" s="52">
        <v>45</v>
      </c>
      <c r="CS32" s="52"/>
      <c r="CT32" s="52"/>
      <c r="CU32" s="52"/>
      <c r="CV32" s="52"/>
      <c r="CW32" s="52"/>
      <c r="CX32" s="52"/>
      <c r="CY32" s="52"/>
      <c r="CZ32" s="52"/>
      <c r="DA32" s="52"/>
      <c r="DB32" s="52"/>
    </row>
    <row r="33" spans="1:106" ht="16.5" x14ac:dyDescent="0.2">
      <c r="A33" s="18">
        <v>29</v>
      </c>
      <c r="B33" s="63">
        <v>6</v>
      </c>
      <c r="C33" s="39">
        <v>60</v>
      </c>
      <c r="D33" s="26">
        <f>INDEX(章节关卡!$C$6:$C$20,芦花古楼!B33)*芦花古楼!C33</f>
        <v>1200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2400</v>
      </c>
      <c r="H33" s="15">
        <v>100</v>
      </c>
      <c r="K33" s="18">
        <v>29</v>
      </c>
      <c r="L33" s="63">
        <v>7</v>
      </c>
      <c r="M33" s="39">
        <v>120</v>
      </c>
      <c r="N33" s="26">
        <f>INDEX(章节关卡!$C$6:$C$20,芦花古楼!L33)*芦花古楼!M33</f>
        <v>3000</v>
      </c>
      <c r="O33" s="23">
        <f t="shared" si="4"/>
        <v>35</v>
      </c>
      <c r="P33" s="23">
        <f t="shared" si="5"/>
        <v>45</v>
      </c>
      <c r="Q33" s="15">
        <f>INDEX(章节关卡!$E$6:$E$20,芦花古楼!L33)*芦花古楼!M33</f>
        <v>6000</v>
      </c>
      <c r="R33" s="15">
        <v>100</v>
      </c>
      <c r="U33" s="18">
        <v>29</v>
      </c>
      <c r="V33" s="63">
        <v>9</v>
      </c>
      <c r="W33" s="39">
        <v>180</v>
      </c>
      <c r="X33" s="26">
        <f>INDEX(章节关卡!$C$6:$C$20,芦花古楼!V33)*芦花古楼!W33</f>
        <v>6480</v>
      </c>
      <c r="Y33" s="23">
        <f t="shared" si="0"/>
        <v>40</v>
      </c>
      <c r="Z33" s="23">
        <f t="shared" si="1"/>
        <v>45</v>
      </c>
      <c r="AA33" s="15">
        <f>INDEX(章节关卡!$E$6:$E$20,芦花古楼!V33)*芦花古楼!W33</f>
        <v>12960</v>
      </c>
      <c r="AB33" s="15">
        <v>100</v>
      </c>
      <c r="AE33" s="18">
        <v>29</v>
      </c>
      <c r="AF33" s="63">
        <v>9</v>
      </c>
      <c r="AG33" s="39">
        <v>180</v>
      </c>
      <c r="AH33" s="26">
        <f>INDEX(章节关卡!$C$6:$C$20,芦花古楼!AF33)*芦花古楼!AG33</f>
        <v>6480</v>
      </c>
      <c r="AI33" s="23">
        <f t="shared" si="6"/>
        <v>45</v>
      </c>
      <c r="AJ33" s="23">
        <f t="shared" si="7"/>
        <v>45</v>
      </c>
      <c r="AK33" s="15">
        <f>INDEX(章节关卡!$E$6:$E$20,芦花古楼!AF33)*芦花古楼!AG33</f>
        <v>12960</v>
      </c>
      <c r="AL33" s="15">
        <v>100</v>
      </c>
      <c r="AO33" s="19">
        <v>28</v>
      </c>
      <c r="AP33" s="19">
        <v>5</v>
      </c>
      <c r="AR33" s="19">
        <v>28</v>
      </c>
      <c r="AS33" s="19">
        <f t="shared" si="11"/>
        <v>6</v>
      </c>
      <c r="AU33" s="19">
        <v>28</v>
      </c>
      <c r="AV33" s="19">
        <f t="shared" si="12"/>
        <v>7</v>
      </c>
      <c r="AX33" s="19">
        <v>28</v>
      </c>
      <c r="AY33" s="19">
        <f t="shared" si="13"/>
        <v>8</v>
      </c>
      <c r="BB33" s="19">
        <v>28</v>
      </c>
      <c r="BC33" s="15">
        <f t="shared" si="8"/>
        <v>310</v>
      </c>
      <c r="BD33" s="15">
        <f t="shared" si="9"/>
        <v>345</v>
      </c>
      <c r="BE33" s="15">
        <f t="shared" si="10"/>
        <v>61920</v>
      </c>
      <c r="BF33" s="15">
        <f t="shared" si="14"/>
        <v>800</v>
      </c>
      <c r="BH33" s="19">
        <v>29</v>
      </c>
      <c r="BI33" s="23">
        <v>20</v>
      </c>
      <c r="BL33" s="23">
        <v>15</v>
      </c>
      <c r="BM33" s="23">
        <f t="shared" si="24"/>
        <v>8.6231848751187403</v>
      </c>
      <c r="BN33" s="21">
        <f t="shared" si="16"/>
        <v>4.5289081412548705E-2</v>
      </c>
      <c r="BO33" s="15">
        <f t="shared" si="17"/>
        <v>0</v>
      </c>
      <c r="BP33" s="15">
        <f t="shared" si="18"/>
        <v>0</v>
      </c>
      <c r="BQ33" s="15">
        <f t="shared" si="19"/>
        <v>0</v>
      </c>
      <c r="BR33" s="15">
        <f t="shared" si="20"/>
        <v>0</v>
      </c>
      <c r="BS33" s="15">
        <f t="shared" si="21"/>
        <v>0</v>
      </c>
      <c r="BT33" s="15">
        <f t="shared" si="22"/>
        <v>0</v>
      </c>
      <c r="BU33" s="15">
        <f t="shared" si="23"/>
        <v>0</v>
      </c>
      <c r="BW33" s="23">
        <v>15</v>
      </c>
      <c r="BX33" s="23">
        <v>10</v>
      </c>
      <c r="CD33" s="52">
        <v>29</v>
      </c>
      <c r="CE33" s="52">
        <v>1</v>
      </c>
      <c r="CF33" s="54" t="s">
        <v>538</v>
      </c>
      <c r="CG33" s="52">
        <v>29</v>
      </c>
      <c r="CH33" s="52"/>
      <c r="CI33" s="52"/>
      <c r="CJ33" s="52"/>
      <c r="CK33" s="52" t="s">
        <v>539</v>
      </c>
      <c r="CL33" s="52">
        <v>3000</v>
      </c>
      <c r="CM33" s="52" t="s">
        <v>540</v>
      </c>
      <c r="CN33" s="52">
        <v>30</v>
      </c>
      <c r="CO33" s="52"/>
      <c r="CP33" s="52"/>
      <c r="CQ33" s="52" t="s">
        <v>540</v>
      </c>
      <c r="CR33" s="52">
        <v>45</v>
      </c>
      <c r="CS33" s="52"/>
      <c r="CT33" s="52"/>
      <c r="CU33" s="52"/>
      <c r="CV33" s="52"/>
      <c r="CW33" s="52"/>
      <c r="CX33" s="52"/>
      <c r="CY33" s="52"/>
      <c r="CZ33" s="52"/>
      <c r="DA33" s="52"/>
      <c r="DB33" s="52"/>
    </row>
    <row r="34" spans="1:106" ht="16.5" x14ac:dyDescent="0.2">
      <c r="A34" s="18">
        <v>30</v>
      </c>
      <c r="B34" s="63">
        <v>6</v>
      </c>
      <c r="C34" s="39">
        <v>60</v>
      </c>
      <c r="D34" s="26">
        <f>INDEX(章节关卡!$C$6:$C$20,芦花古楼!B34)*芦花古楼!C34</f>
        <v>1200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2400</v>
      </c>
      <c r="H34" s="15">
        <v>100</v>
      </c>
      <c r="K34" s="18">
        <v>30</v>
      </c>
      <c r="L34" s="26">
        <v>8</v>
      </c>
      <c r="M34" s="39">
        <v>120</v>
      </c>
      <c r="N34" s="26">
        <f>INDEX(章节关卡!$C$6:$C$20,芦花古楼!L34)*芦花古楼!M34</f>
        <v>3600</v>
      </c>
      <c r="O34" s="23">
        <f t="shared" si="4"/>
        <v>35</v>
      </c>
      <c r="P34" s="23">
        <f t="shared" si="5"/>
        <v>50</v>
      </c>
      <c r="Q34" s="15">
        <f>INDEX(章节关卡!$E$6:$E$20,芦花古楼!L34)*芦花古楼!M34</f>
        <v>7200</v>
      </c>
      <c r="R34" s="15">
        <v>100</v>
      </c>
      <c r="U34" s="18">
        <v>30</v>
      </c>
      <c r="V34" s="26">
        <v>10</v>
      </c>
      <c r="W34" s="39">
        <v>180</v>
      </c>
      <c r="X34" s="26">
        <f>INDEX(章节关卡!$C$6:$C$20,芦花古楼!V34)*芦花古楼!W34</f>
        <v>7920</v>
      </c>
      <c r="Y34" s="23">
        <f t="shared" si="0"/>
        <v>40</v>
      </c>
      <c r="Z34" s="23">
        <f t="shared" si="1"/>
        <v>50</v>
      </c>
      <c r="AA34" s="15">
        <f>INDEX(章节关卡!$E$6:$E$20,芦花古楼!V34)*芦花古楼!W34</f>
        <v>16200</v>
      </c>
      <c r="AB34" s="15">
        <v>100</v>
      </c>
      <c r="AE34" s="18">
        <v>30</v>
      </c>
      <c r="AF34" s="63">
        <v>10</v>
      </c>
      <c r="AG34" s="39">
        <v>180</v>
      </c>
      <c r="AH34" s="26">
        <f>INDEX(章节关卡!$C$6:$C$20,芦花古楼!AF34)*芦花古楼!AG34</f>
        <v>7920</v>
      </c>
      <c r="AI34" s="23">
        <f t="shared" si="6"/>
        <v>45</v>
      </c>
      <c r="AJ34" s="23">
        <f t="shared" si="7"/>
        <v>50</v>
      </c>
      <c r="AK34" s="15">
        <f>INDEX(章节关卡!$E$6:$E$20,芦花古楼!AF34)*芦花古楼!AG34</f>
        <v>16200</v>
      </c>
      <c r="AL34" s="15">
        <v>100</v>
      </c>
      <c r="AO34" s="19">
        <v>29</v>
      </c>
      <c r="AP34" s="19">
        <v>5</v>
      </c>
      <c r="AR34" s="19">
        <v>29</v>
      </c>
      <c r="AS34" s="19">
        <f t="shared" si="11"/>
        <v>6</v>
      </c>
      <c r="AU34" s="19">
        <v>29</v>
      </c>
      <c r="AV34" s="19">
        <f t="shared" si="12"/>
        <v>7</v>
      </c>
      <c r="AX34" s="19">
        <v>29</v>
      </c>
      <c r="AY34" s="19">
        <f t="shared" si="13"/>
        <v>8</v>
      </c>
      <c r="BB34" s="19">
        <v>29</v>
      </c>
      <c r="BC34" s="15">
        <f t="shared" si="8"/>
        <v>315</v>
      </c>
      <c r="BD34" s="15">
        <f t="shared" si="9"/>
        <v>350</v>
      </c>
      <c r="BE34" s="15">
        <f t="shared" si="10"/>
        <v>64320</v>
      </c>
      <c r="BF34" s="15">
        <f t="shared" si="14"/>
        <v>800</v>
      </c>
      <c r="BH34" s="19">
        <v>30</v>
      </c>
      <c r="BI34" s="19">
        <v>30</v>
      </c>
      <c r="BL34" s="23">
        <v>16</v>
      </c>
      <c r="BM34" s="23">
        <f t="shared" si="24"/>
        <v>9.2094167238699285</v>
      </c>
      <c r="BN34" s="21">
        <f t="shared" si="16"/>
        <v>4.8367978862762062E-2</v>
      </c>
      <c r="BO34" s="15">
        <f t="shared" si="17"/>
        <v>0</v>
      </c>
      <c r="BP34" s="15">
        <f t="shared" si="18"/>
        <v>0</v>
      </c>
      <c r="BQ34" s="15">
        <f t="shared" si="19"/>
        <v>0</v>
      </c>
      <c r="BR34" s="15">
        <f t="shared" si="20"/>
        <v>0</v>
      </c>
      <c r="BS34" s="15">
        <f t="shared" si="21"/>
        <v>0</v>
      </c>
      <c r="BT34" s="15">
        <f t="shared" si="22"/>
        <v>0</v>
      </c>
      <c r="BU34" s="15">
        <f t="shared" si="23"/>
        <v>0</v>
      </c>
      <c r="BW34" s="23">
        <v>16</v>
      </c>
      <c r="BX34" s="23">
        <v>10</v>
      </c>
      <c r="CD34" s="52">
        <v>30</v>
      </c>
      <c r="CE34" s="52">
        <v>1</v>
      </c>
      <c r="CF34" s="54" t="s">
        <v>538</v>
      </c>
      <c r="CG34" s="52">
        <v>30</v>
      </c>
      <c r="CH34" s="52"/>
      <c r="CI34" s="52"/>
      <c r="CJ34" s="52"/>
      <c r="CK34" s="52" t="s">
        <v>539</v>
      </c>
      <c r="CL34" s="52">
        <v>3600</v>
      </c>
      <c r="CM34" s="52" t="s">
        <v>540</v>
      </c>
      <c r="CN34" s="52">
        <v>30</v>
      </c>
      <c r="CO34" s="52"/>
      <c r="CP34" s="52"/>
      <c r="CQ34" s="52" t="s">
        <v>540</v>
      </c>
      <c r="CR34" s="52">
        <v>50</v>
      </c>
      <c r="CS34" s="52"/>
      <c r="CT34" s="52"/>
      <c r="CU34" s="52"/>
      <c r="CV34" s="52"/>
      <c r="CW34" s="52"/>
      <c r="CX34" s="52"/>
      <c r="CY34" s="52"/>
      <c r="CZ34" s="52"/>
      <c r="DA34" s="52"/>
      <c r="DB34" s="52"/>
    </row>
    <row r="35" spans="1:106" ht="16.5" x14ac:dyDescent="0.2">
      <c r="A35" s="18">
        <v>31</v>
      </c>
      <c r="B35" s="63">
        <v>6</v>
      </c>
      <c r="C35" s="39">
        <v>60</v>
      </c>
      <c r="D35" s="26">
        <f>INDEX(章节关卡!$C$6:$C$20,芦花古楼!B35)*芦花古楼!C35</f>
        <v>1200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2400</v>
      </c>
      <c r="H35" s="15">
        <v>100</v>
      </c>
      <c r="K35" s="18">
        <v>31</v>
      </c>
      <c r="L35" s="63">
        <v>8</v>
      </c>
      <c r="M35" s="39">
        <v>120</v>
      </c>
      <c r="N35" s="26">
        <f>INDEX(章节关卡!$C$6:$C$20,芦花古楼!L35)*芦花古楼!M35</f>
        <v>3600</v>
      </c>
      <c r="O35" s="23">
        <f t="shared" si="4"/>
        <v>40</v>
      </c>
      <c r="P35" s="23">
        <f t="shared" si="5"/>
        <v>50</v>
      </c>
      <c r="Q35" s="15">
        <f>INDEX(章节关卡!$E$6:$E$20,芦花古楼!L35)*芦花古楼!M35</f>
        <v>7200</v>
      </c>
      <c r="R35" s="15">
        <v>100</v>
      </c>
      <c r="U35" s="18">
        <v>31</v>
      </c>
      <c r="V35" s="63">
        <v>10</v>
      </c>
      <c r="W35" s="39">
        <v>180</v>
      </c>
      <c r="X35" s="26">
        <f>INDEX(章节关卡!$C$6:$C$20,芦花古楼!V35)*芦花古楼!W35</f>
        <v>7920</v>
      </c>
      <c r="Y35" s="23">
        <f t="shared" si="0"/>
        <v>45</v>
      </c>
      <c r="Z35" s="23">
        <f t="shared" si="1"/>
        <v>50</v>
      </c>
      <c r="AA35" s="15">
        <f>INDEX(章节关卡!$E$6:$E$20,芦花古楼!V35)*芦花古楼!W35</f>
        <v>16200</v>
      </c>
      <c r="AB35" s="15">
        <v>100</v>
      </c>
      <c r="AE35" s="18">
        <v>31</v>
      </c>
      <c r="AF35" s="63">
        <v>10</v>
      </c>
      <c r="AG35" s="39">
        <v>180</v>
      </c>
      <c r="AH35" s="26">
        <f>INDEX(章节关卡!$C$6:$C$20,芦花古楼!AF35)*芦花古楼!AG35</f>
        <v>7920</v>
      </c>
      <c r="AI35" s="23">
        <f t="shared" si="6"/>
        <v>50</v>
      </c>
      <c r="AJ35" s="23">
        <f t="shared" si="7"/>
        <v>50</v>
      </c>
      <c r="AK35" s="15">
        <f>INDEX(章节关卡!$E$6:$E$20,芦花古楼!AF35)*芦花古楼!AG35</f>
        <v>16200</v>
      </c>
      <c r="AL35" s="15">
        <v>100</v>
      </c>
      <c r="AO35" s="19">
        <v>30</v>
      </c>
      <c r="AP35" s="19">
        <v>5</v>
      </c>
      <c r="AR35" s="19">
        <v>30</v>
      </c>
      <c r="AS35" s="19">
        <f t="shared" si="11"/>
        <v>6</v>
      </c>
      <c r="AU35" s="19">
        <v>30</v>
      </c>
      <c r="AV35" s="19">
        <f t="shared" si="12"/>
        <v>7</v>
      </c>
      <c r="AX35" s="19">
        <v>30</v>
      </c>
      <c r="AY35" s="19">
        <f t="shared" si="13"/>
        <v>8</v>
      </c>
      <c r="BB35" s="19">
        <v>30</v>
      </c>
      <c r="BC35" s="15">
        <f t="shared" si="8"/>
        <v>320</v>
      </c>
      <c r="BD35" s="15">
        <f t="shared" si="9"/>
        <v>355</v>
      </c>
      <c r="BE35" s="15">
        <f t="shared" si="10"/>
        <v>64320</v>
      </c>
      <c r="BF35" s="15">
        <f t="shared" si="14"/>
        <v>800</v>
      </c>
      <c r="BH35" s="19">
        <v>31</v>
      </c>
      <c r="BI35" s="23">
        <v>30</v>
      </c>
      <c r="BL35" s="23">
        <v>17</v>
      </c>
      <c r="BM35" s="23">
        <f t="shared" si="24"/>
        <v>9.8015108911086273</v>
      </c>
      <c r="BN35" s="21">
        <f t="shared" si="16"/>
        <v>5.1477665287477554E-2</v>
      </c>
      <c r="BO35" s="15">
        <f t="shared" si="17"/>
        <v>0</v>
      </c>
      <c r="BP35" s="15">
        <f t="shared" si="18"/>
        <v>0</v>
      </c>
      <c r="BQ35" s="15">
        <f t="shared" si="19"/>
        <v>0</v>
      </c>
      <c r="BR35" s="15">
        <f t="shared" si="20"/>
        <v>0</v>
      </c>
      <c r="BS35" s="15">
        <f t="shared" si="21"/>
        <v>0</v>
      </c>
      <c r="BT35" s="15">
        <f t="shared" si="22"/>
        <v>0</v>
      </c>
      <c r="BU35" s="15">
        <f t="shared" si="23"/>
        <v>0</v>
      </c>
      <c r="BW35" s="23">
        <v>17</v>
      </c>
      <c r="BX35" s="23">
        <v>10</v>
      </c>
      <c r="CD35" s="52">
        <v>31</v>
      </c>
      <c r="CE35" s="52">
        <v>1</v>
      </c>
      <c r="CF35" s="54" t="s">
        <v>538</v>
      </c>
      <c r="CG35" s="52">
        <v>31</v>
      </c>
      <c r="CH35" s="52"/>
      <c r="CI35" s="52"/>
      <c r="CJ35" s="52"/>
      <c r="CK35" s="52" t="s">
        <v>539</v>
      </c>
      <c r="CL35" s="52">
        <v>3600</v>
      </c>
      <c r="CM35" s="52" t="s">
        <v>540</v>
      </c>
      <c r="CN35" s="52">
        <v>35</v>
      </c>
      <c r="CO35" s="52"/>
      <c r="CP35" s="52"/>
      <c r="CQ35" s="52" t="s">
        <v>540</v>
      </c>
      <c r="CR35" s="52">
        <v>50</v>
      </c>
      <c r="CS35" s="52"/>
      <c r="CT35" s="52"/>
      <c r="CU35" s="52"/>
      <c r="CV35" s="52"/>
      <c r="CW35" s="52"/>
      <c r="CX35" s="52"/>
      <c r="CY35" s="52"/>
      <c r="CZ35" s="52"/>
      <c r="DA35" s="52"/>
      <c r="DB35" s="52"/>
    </row>
    <row r="36" spans="1:106" ht="16.5" x14ac:dyDescent="0.2">
      <c r="A36" s="18">
        <v>32</v>
      </c>
      <c r="B36" s="63">
        <v>6</v>
      </c>
      <c r="C36" s="39">
        <v>60</v>
      </c>
      <c r="D36" s="26">
        <f>INDEX(章节关卡!$C$6:$C$20,芦花古楼!B36)*芦花古楼!C36</f>
        <v>1200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2400</v>
      </c>
      <c r="H36" s="15">
        <v>100</v>
      </c>
      <c r="K36" s="18">
        <v>32</v>
      </c>
      <c r="L36" s="63">
        <v>8</v>
      </c>
      <c r="M36" s="39">
        <v>120</v>
      </c>
      <c r="N36" s="26">
        <f>INDEX(章节关卡!$C$6:$C$20,芦花古楼!L36)*芦花古楼!M36</f>
        <v>3600</v>
      </c>
      <c r="O36" s="23">
        <f t="shared" si="4"/>
        <v>40</v>
      </c>
      <c r="P36" s="23">
        <f t="shared" si="5"/>
        <v>50</v>
      </c>
      <c r="Q36" s="15">
        <f>INDEX(章节关卡!$E$6:$E$20,芦花古楼!L36)*芦花古楼!M36</f>
        <v>7200</v>
      </c>
      <c r="R36" s="15">
        <v>100</v>
      </c>
      <c r="U36" s="18">
        <v>32</v>
      </c>
      <c r="V36" s="63">
        <v>10</v>
      </c>
      <c r="W36" s="39">
        <v>180</v>
      </c>
      <c r="X36" s="26">
        <f>INDEX(章节关卡!$C$6:$C$20,芦花古楼!V36)*芦花古楼!W36</f>
        <v>7920</v>
      </c>
      <c r="Y36" s="23">
        <f t="shared" si="0"/>
        <v>45</v>
      </c>
      <c r="Z36" s="23">
        <f t="shared" si="1"/>
        <v>50</v>
      </c>
      <c r="AA36" s="15">
        <f>INDEX(章节关卡!$E$6:$E$20,芦花古楼!V36)*芦花古楼!W36</f>
        <v>16200</v>
      </c>
      <c r="AB36" s="15">
        <v>100</v>
      </c>
      <c r="AE36" s="18">
        <v>32</v>
      </c>
      <c r="AF36" s="63">
        <v>10</v>
      </c>
      <c r="AG36" s="39">
        <v>180</v>
      </c>
      <c r="AH36" s="26">
        <f>INDEX(章节关卡!$C$6:$C$20,芦花古楼!AF36)*芦花古楼!AG36</f>
        <v>7920</v>
      </c>
      <c r="AI36" s="23">
        <f t="shared" si="6"/>
        <v>50</v>
      </c>
      <c r="AJ36" s="23">
        <f t="shared" si="7"/>
        <v>50</v>
      </c>
      <c r="AK36" s="15">
        <f>INDEX(章节关卡!$E$6:$E$20,芦花古楼!AF36)*芦花古楼!AG36</f>
        <v>16200</v>
      </c>
      <c r="AL36" s="15">
        <v>100</v>
      </c>
      <c r="AO36" s="19">
        <v>31</v>
      </c>
      <c r="AP36" s="19">
        <v>5</v>
      </c>
      <c r="AR36" s="19">
        <v>31</v>
      </c>
      <c r="AS36" s="19">
        <f t="shared" si="11"/>
        <v>6</v>
      </c>
      <c r="AU36" s="19">
        <v>31</v>
      </c>
      <c r="AV36" s="19">
        <f t="shared" si="12"/>
        <v>7</v>
      </c>
      <c r="AX36" s="19">
        <v>31</v>
      </c>
      <c r="AY36" s="19">
        <f t="shared" si="13"/>
        <v>8</v>
      </c>
      <c r="BB36" s="19">
        <v>31</v>
      </c>
      <c r="BC36" s="15">
        <f t="shared" si="8"/>
        <v>250</v>
      </c>
      <c r="BD36" s="15">
        <f t="shared" si="9"/>
        <v>360</v>
      </c>
      <c r="BE36" s="15">
        <f t="shared" si="10"/>
        <v>60000</v>
      </c>
      <c r="BF36" s="15">
        <f t="shared" si="14"/>
        <v>800</v>
      </c>
      <c r="BH36" s="19">
        <v>32</v>
      </c>
      <c r="BI36" s="23">
        <v>30</v>
      </c>
      <c r="BL36" s="23">
        <v>18</v>
      </c>
      <c r="BM36" s="23">
        <f t="shared" si="24"/>
        <v>10.399526000019714</v>
      </c>
      <c r="BN36" s="21">
        <f t="shared" si="16"/>
        <v>5.4618448576440201E-2</v>
      </c>
      <c r="BO36" s="15">
        <f t="shared" si="17"/>
        <v>0</v>
      </c>
      <c r="BP36" s="15">
        <f t="shared" si="18"/>
        <v>0</v>
      </c>
      <c r="BQ36" s="15">
        <f t="shared" si="19"/>
        <v>0</v>
      </c>
      <c r="BR36" s="15">
        <f t="shared" si="20"/>
        <v>0</v>
      </c>
      <c r="BS36" s="15">
        <f t="shared" si="21"/>
        <v>0</v>
      </c>
      <c r="BT36" s="15">
        <f t="shared" si="22"/>
        <v>0</v>
      </c>
      <c r="BU36" s="15">
        <f t="shared" si="23"/>
        <v>0</v>
      </c>
      <c r="BW36" s="23">
        <v>18</v>
      </c>
      <c r="BX36" s="23">
        <v>10</v>
      </c>
      <c r="CD36" s="52">
        <v>32</v>
      </c>
      <c r="CE36" s="52">
        <v>1</v>
      </c>
      <c r="CF36" s="54" t="s">
        <v>538</v>
      </c>
      <c r="CG36" s="52">
        <v>32</v>
      </c>
      <c r="CH36" s="52"/>
      <c r="CI36" s="52"/>
      <c r="CJ36" s="52"/>
      <c r="CK36" s="52" t="s">
        <v>539</v>
      </c>
      <c r="CL36" s="52">
        <v>3600</v>
      </c>
      <c r="CM36" s="52" t="s">
        <v>540</v>
      </c>
      <c r="CN36" s="52">
        <v>35</v>
      </c>
      <c r="CO36" s="52"/>
      <c r="CP36" s="52"/>
      <c r="CQ36" s="52" t="s">
        <v>540</v>
      </c>
      <c r="CR36" s="52">
        <v>50</v>
      </c>
      <c r="CS36" s="52"/>
      <c r="CT36" s="52"/>
      <c r="CU36" s="52"/>
      <c r="CV36" s="52"/>
      <c r="CW36" s="52"/>
      <c r="CX36" s="52"/>
      <c r="CY36" s="52"/>
      <c r="CZ36" s="52"/>
      <c r="DA36" s="52"/>
      <c r="DB36" s="52"/>
    </row>
    <row r="37" spans="1:106" ht="16.5" x14ac:dyDescent="0.2">
      <c r="A37" s="18">
        <v>33</v>
      </c>
      <c r="B37" s="63">
        <v>6</v>
      </c>
      <c r="C37" s="39">
        <v>60</v>
      </c>
      <c r="D37" s="26">
        <f>INDEX(章节关卡!$C$6:$C$20,芦花古楼!B37)*芦花古楼!C37</f>
        <v>1200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2400</v>
      </c>
      <c r="H37" s="15">
        <v>100</v>
      </c>
      <c r="K37" s="18">
        <v>33</v>
      </c>
      <c r="L37" s="63">
        <v>8</v>
      </c>
      <c r="M37" s="39">
        <v>120</v>
      </c>
      <c r="N37" s="26">
        <f>INDEX(章节关卡!$C$6:$C$20,芦花古楼!L37)*芦花古楼!M37</f>
        <v>3600</v>
      </c>
      <c r="O37" s="23">
        <f t="shared" si="4"/>
        <v>40</v>
      </c>
      <c r="P37" s="23">
        <f t="shared" si="5"/>
        <v>50</v>
      </c>
      <c r="Q37" s="15">
        <f>INDEX(章节关卡!$E$6:$E$20,芦花古楼!L37)*芦花古楼!M37</f>
        <v>7200</v>
      </c>
      <c r="R37" s="15">
        <v>100</v>
      </c>
      <c r="U37" s="18">
        <v>33</v>
      </c>
      <c r="V37" s="63">
        <v>10</v>
      </c>
      <c r="W37" s="39">
        <v>180</v>
      </c>
      <c r="X37" s="26">
        <f>INDEX(章节关卡!$C$6:$C$20,芦花古楼!V37)*芦花古楼!W37</f>
        <v>7920</v>
      </c>
      <c r="Y37" s="23">
        <f t="shared" ref="Y37:Y68" si="25">INT((U37-1)/5+3)*5</f>
        <v>45</v>
      </c>
      <c r="Z37" s="23">
        <f t="shared" ref="Z37:Z68" si="26">INT(U37/5)*5+20</f>
        <v>50</v>
      </c>
      <c r="AA37" s="15">
        <f>INDEX(章节关卡!$E$6:$E$20,芦花古楼!V37)*芦花古楼!W37</f>
        <v>16200</v>
      </c>
      <c r="AB37" s="15">
        <v>100</v>
      </c>
      <c r="AE37" s="18">
        <v>33</v>
      </c>
      <c r="AF37" s="63">
        <v>10</v>
      </c>
      <c r="AG37" s="39">
        <v>180</v>
      </c>
      <c r="AH37" s="26">
        <f>INDEX(章节关卡!$C$6:$C$20,芦花古楼!AF37)*芦花古楼!AG37</f>
        <v>7920</v>
      </c>
      <c r="AI37" s="23">
        <f t="shared" si="6"/>
        <v>50</v>
      </c>
      <c r="AJ37" s="23">
        <f t="shared" si="7"/>
        <v>50</v>
      </c>
      <c r="AK37" s="15">
        <f>INDEX(章节关卡!$E$6:$E$20,芦花古楼!AF37)*芦花古楼!AG37</f>
        <v>16200</v>
      </c>
      <c r="AL37" s="15">
        <v>100</v>
      </c>
      <c r="AO37" s="19">
        <v>32</v>
      </c>
      <c r="AP37" s="19">
        <v>6</v>
      </c>
      <c r="AR37" s="19">
        <v>32</v>
      </c>
      <c r="AS37" s="19">
        <f t="shared" si="11"/>
        <v>7</v>
      </c>
      <c r="AU37" s="19">
        <v>32</v>
      </c>
      <c r="AV37" s="19">
        <f t="shared" si="12"/>
        <v>8</v>
      </c>
      <c r="AX37" s="19">
        <v>32</v>
      </c>
      <c r="AY37" s="19">
        <f t="shared" si="13"/>
        <v>9</v>
      </c>
      <c r="BB37" s="19">
        <v>32</v>
      </c>
      <c r="BC37" s="15">
        <f t="shared" si="8"/>
        <v>250</v>
      </c>
      <c r="BD37" s="15">
        <f t="shared" si="9"/>
        <v>360</v>
      </c>
      <c r="BE37" s="15">
        <f t="shared" si="10"/>
        <v>51120</v>
      </c>
      <c r="BF37" s="15">
        <f t="shared" si="14"/>
        <v>800</v>
      </c>
      <c r="BH37" s="19">
        <v>33</v>
      </c>
      <c r="BI37" s="23">
        <v>30</v>
      </c>
      <c r="BL37" s="23">
        <v>19</v>
      </c>
      <c r="BM37" s="23">
        <f t="shared" si="24"/>
        <v>11.003521260019911</v>
      </c>
      <c r="BN37" s="21">
        <f t="shared" si="16"/>
        <v>5.779063969829247E-2</v>
      </c>
      <c r="BO37" s="15">
        <f t="shared" si="17"/>
        <v>0</v>
      </c>
      <c r="BP37" s="15">
        <f t="shared" si="18"/>
        <v>0</v>
      </c>
      <c r="BQ37" s="15">
        <f t="shared" si="19"/>
        <v>0</v>
      </c>
      <c r="BR37" s="15">
        <f t="shared" si="20"/>
        <v>0</v>
      </c>
      <c r="BS37" s="15">
        <f t="shared" si="21"/>
        <v>0</v>
      </c>
      <c r="BT37" s="15">
        <f t="shared" si="22"/>
        <v>0</v>
      </c>
      <c r="BU37" s="15">
        <f t="shared" si="23"/>
        <v>0</v>
      </c>
      <c r="BW37" s="23">
        <v>19</v>
      </c>
      <c r="BX37" s="23">
        <v>10</v>
      </c>
      <c r="CD37" s="52">
        <v>33</v>
      </c>
      <c r="CE37" s="52">
        <v>1</v>
      </c>
      <c r="CF37" s="54" t="s">
        <v>538</v>
      </c>
      <c r="CG37" s="52">
        <v>33</v>
      </c>
      <c r="CH37" s="52"/>
      <c r="CI37" s="52"/>
      <c r="CJ37" s="52"/>
      <c r="CK37" s="52" t="s">
        <v>539</v>
      </c>
      <c r="CL37" s="52">
        <v>3600</v>
      </c>
      <c r="CM37" s="52" t="s">
        <v>540</v>
      </c>
      <c r="CN37" s="52">
        <v>35</v>
      </c>
      <c r="CO37" s="52"/>
      <c r="CP37" s="52"/>
      <c r="CQ37" s="52" t="s">
        <v>540</v>
      </c>
      <c r="CR37" s="52">
        <v>50</v>
      </c>
      <c r="CS37" s="52"/>
      <c r="CT37" s="52"/>
      <c r="CU37" s="52"/>
      <c r="CV37" s="52"/>
      <c r="CW37" s="52"/>
      <c r="CX37" s="52"/>
      <c r="CY37" s="52"/>
      <c r="CZ37" s="52"/>
      <c r="DA37" s="52"/>
      <c r="DB37" s="52"/>
    </row>
    <row r="38" spans="1:106" ht="16.5" x14ac:dyDescent="0.2">
      <c r="A38" s="18">
        <v>34</v>
      </c>
      <c r="B38" s="63">
        <v>6</v>
      </c>
      <c r="C38" s="39">
        <v>60</v>
      </c>
      <c r="D38" s="26">
        <f>INDEX(章节关卡!$C$6:$C$20,芦花古楼!B38)*芦花古楼!C38</f>
        <v>1200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2400</v>
      </c>
      <c r="H38" s="15">
        <v>100</v>
      </c>
      <c r="K38" s="18">
        <v>34</v>
      </c>
      <c r="L38" s="63">
        <v>8</v>
      </c>
      <c r="M38" s="39">
        <v>120</v>
      </c>
      <c r="N38" s="26">
        <f>INDEX(章节关卡!$C$6:$C$20,芦花古楼!L38)*芦花古楼!M38</f>
        <v>3600</v>
      </c>
      <c r="O38" s="23">
        <f t="shared" si="4"/>
        <v>40</v>
      </c>
      <c r="P38" s="23">
        <f t="shared" si="5"/>
        <v>50</v>
      </c>
      <c r="Q38" s="15">
        <f>INDEX(章节关卡!$E$6:$E$20,芦花古楼!L38)*芦花古楼!M38</f>
        <v>7200</v>
      </c>
      <c r="R38" s="15">
        <v>100</v>
      </c>
      <c r="U38" s="18">
        <v>34</v>
      </c>
      <c r="V38" s="63">
        <v>10</v>
      </c>
      <c r="W38" s="39">
        <v>180</v>
      </c>
      <c r="X38" s="26">
        <f>INDEX(章节关卡!$C$6:$C$20,芦花古楼!V38)*芦花古楼!W38</f>
        <v>7920</v>
      </c>
      <c r="Y38" s="23">
        <f t="shared" si="25"/>
        <v>45</v>
      </c>
      <c r="Z38" s="23">
        <f t="shared" si="26"/>
        <v>50</v>
      </c>
      <c r="AA38" s="15">
        <f>INDEX(章节关卡!$E$6:$E$20,芦花古楼!V38)*芦花古楼!W38</f>
        <v>16200</v>
      </c>
      <c r="AB38" s="15">
        <v>100</v>
      </c>
      <c r="AE38" s="18">
        <v>34</v>
      </c>
      <c r="AF38" s="63">
        <v>10</v>
      </c>
      <c r="AG38" s="39">
        <v>180</v>
      </c>
      <c r="AH38" s="26">
        <f>INDEX(章节关卡!$C$6:$C$20,芦花古楼!AF38)*芦花古楼!AG38</f>
        <v>7920</v>
      </c>
      <c r="AI38" s="23">
        <f t="shared" si="6"/>
        <v>50</v>
      </c>
      <c r="AJ38" s="23">
        <f t="shared" si="7"/>
        <v>50</v>
      </c>
      <c r="AK38" s="15">
        <f>INDEX(章节关卡!$E$6:$E$20,芦花古楼!AF38)*芦花古楼!AG38</f>
        <v>16200</v>
      </c>
      <c r="AL38" s="15">
        <v>100</v>
      </c>
      <c r="AO38" s="19">
        <v>33</v>
      </c>
      <c r="AP38" s="19">
        <v>6</v>
      </c>
      <c r="AR38" s="19">
        <v>33</v>
      </c>
      <c r="AS38" s="19">
        <f t="shared" si="11"/>
        <v>7</v>
      </c>
      <c r="AU38" s="19">
        <v>33</v>
      </c>
      <c r="AV38" s="19">
        <f t="shared" si="12"/>
        <v>8</v>
      </c>
      <c r="AX38" s="19">
        <v>33</v>
      </c>
      <c r="AY38" s="19">
        <f t="shared" si="13"/>
        <v>9</v>
      </c>
      <c r="BB38" s="19">
        <v>33</v>
      </c>
      <c r="BC38" s="15">
        <f t="shared" ref="BC38:BC69" si="27">SUMIFS($E$5:$E$104,$AP$6:$AP$105,"="&amp;BB38)+SUMIFS($O$5:$O$104,$AS$6:$AS$105,"="&amp;BB38)+SUMIFS($Y$5:$Y$104,$AV$6:$AV$105,"="&amp;BB38)+SUMIFS($AI$5:$AI$104,$AY$6:$AY$105,"="&amp;BB38)</f>
        <v>170</v>
      </c>
      <c r="BD38" s="15">
        <f t="shared" ref="BD38:BD69" si="28">INDEX($F$5:$F$104,MATCH(BB38,$AP$5:$AP$105,1)-1)+INDEX($P$5:$P$104,MATCH(BB38,$AS$5:$AS$105,1)-1)+INDEX($Z$5:$Z$104,MATCH(BB38,$AV$5:$AV$105,1)-1)+INDEX($AJ$5:$AJ$104,MATCH(BB38,$AY$5:$AY$105,1)-1)</f>
        <v>360</v>
      </c>
      <c r="BE38" s="15">
        <f t="shared" ref="BE38:BE69" si="29">SUMIFS($G$5:$G$104,$AP$6:$AP$105,"="&amp;BB38)+SUMIFS($Q$5:$Q$104,$AS$6:$AS$105,"="&amp;BB38)+SUMIFS($AA$5:$AA$104,$AV$6:$AV$105,"="&amp;BB38)+SUMIFS($AK$5:$AK$104,$AY$6:$AY$105,"="&amp;BB38)</f>
        <v>36600</v>
      </c>
      <c r="BF38" s="15">
        <f t="shared" si="14"/>
        <v>800</v>
      </c>
      <c r="BH38" s="19">
        <v>34</v>
      </c>
      <c r="BI38" s="23">
        <v>30</v>
      </c>
      <c r="BL38" s="23">
        <v>20</v>
      </c>
      <c r="BM38" s="23">
        <f t="shared" si="24"/>
        <v>11.613556472620109</v>
      </c>
      <c r="BN38" s="21">
        <f t="shared" si="16"/>
        <v>6.0994552731363255E-2</v>
      </c>
      <c r="BO38" s="15">
        <f t="shared" si="17"/>
        <v>0</v>
      </c>
      <c r="BP38" s="15">
        <f t="shared" si="18"/>
        <v>0</v>
      </c>
      <c r="BQ38" s="15">
        <f t="shared" si="19"/>
        <v>0</v>
      </c>
      <c r="BR38" s="15">
        <f t="shared" si="20"/>
        <v>0</v>
      </c>
      <c r="BS38" s="15">
        <f t="shared" si="21"/>
        <v>0</v>
      </c>
      <c r="BT38" s="15">
        <f t="shared" si="22"/>
        <v>0</v>
      </c>
      <c r="BU38" s="15">
        <f t="shared" si="23"/>
        <v>0</v>
      </c>
      <c r="BW38" s="23">
        <v>20</v>
      </c>
      <c r="BX38" s="23">
        <v>10</v>
      </c>
      <c r="CD38" s="52">
        <v>34</v>
      </c>
      <c r="CE38" s="52">
        <v>1</v>
      </c>
      <c r="CF38" s="54" t="s">
        <v>538</v>
      </c>
      <c r="CG38" s="52">
        <v>34</v>
      </c>
      <c r="CH38" s="52"/>
      <c r="CI38" s="52"/>
      <c r="CJ38" s="52"/>
      <c r="CK38" s="52" t="s">
        <v>539</v>
      </c>
      <c r="CL38" s="52">
        <v>3600</v>
      </c>
      <c r="CM38" s="52" t="s">
        <v>540</v>
      </c>
      <c r="CN38" s="52">
        <v>35</v>
      </c>
      <c r="CO38" s="52"/>
      <c r="CP38" s="52"/>
      <c r="CQ38" s="52" t="s">
        <v>540</v>
      </c>
      <c r="CR38" s="52">
        <v>50</v>
      </c>
      <c r="CS38" s="52"/>
      <c r="CT38" s="52"/>
      <c r="CU38" s="52"/>
      <c r="CV38" s="52"/>
      <c r="CW38" s="52"/>
      <c r="CX38" s="52"/>
      <c r="CY38" s="52"/>
      <c r="CZ38" s="52"/>
      <c r="DA38" s="52"/>
      <c r="DB38" s="52"/>
    </row>
    <row r="39" spans="1:106" ht="16.5" x14ac:dyDescent="0.2">
      <c r="A39" s="18">
        <v>35</v>
      </c>
      <c r="B39" s="63">
        <v>7</v>
      </c>
      <c r="C39" s="39">
        <v>60</v>
      </c>
      <c r="D39" s="26">
        <f>INDEX(章节关卡!$C$6:$C$20,芦花古楼!B39)*芦花古楼!C39</f>
        <v>1500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3000</v>
      </c>
      <c r="H39" s="15">
        <v>100</v>
      </c>
      <c r="K39" s="18">
        <v>35</v>
      </c>
      <c r="L39" s="63">
        <v>8</v>
      </c>
      <c r="M39" s="39">
        <v>120</v>
      </c>
      <c r="N39" s="26">
        <f>INDEX(章节关卡!$C$6:$C$20,芦花古楼!L39)*芦花古楼!M39</f>
        <v>3600</v>
      </c>
      <c r="O39" s="23">
        <f t="shared" si="4"/>
        <v>40</v>
      </c>
      <c r="P39" s="23">
        <f t="shared" si="5"/>
        <v>55</v>
      </c>
      <c r="Q39" s="15">
        <f>INDEX(章节关卡!$E$6:$E$20,芦花古楼!L39)*芦花古楼!M39</f>
        <v>7200</v>
      </c>
      <c r="R39" s="15">
        <v>100</v>
      </c>
      <c r="U39" s="18">
        <v>35</v>
      </c>
      <c r="V39" s="63">
        <v>10</v>
      </c>
      <c r="W39" s="39">
        <v>180</v>
      </c>
      <c r="X39" s="26">
        <f>INDEX(章节关卡!$C$6:$C$20,芦花古楼!V39)*芦花古楼!W39</f>
        <v>7920</v>
      </c>
      <c r="Y39" s="23">
        <f t="shared" si="25"/>
        <v>45</v>
      </c>
      <c r="Z39" s="23">
        <f t="shared" si="26"/>
        <v>55</v>
      </c>
      <c r="AA39" s="15">
        <f>INDEX(章节关卡!$E$6:$E$20,芦花古楼!V39)*芦花古楼!W39</f>
        <v>16200</v>
      </c>
      <c r="AB39" s="15">
        <v>100</v>
      </c>
      <c r="AE39" s="18">
        <v>35</v>
      </c>
      <c r="AF39" s="63">
        <v>10</v>
      </c>
      <c r="AG39" s="39">
        <v>180</v>
      </c>
      <c r="AH39" s="26">
        <f>INDEX(章节关卡!$C$6:$C$20,芦花古楼!AF39)*芦花古楼!AG39</f>
        <v>7920</v>
      </c>
      <c r="AI39" s="23">
        <f t="shared" si="6"/>
        <v>50</v>
      </c>
      <c r="AJ39" s="23">
        <f t="shared" si="7"/>
        <v>55</v>
      </c>
      <c r="AK39" s="15">
        <f>INDEX(章节关卡!$E$6:$E$20,芦花古楼!AF39)*芦花古楼!AG39</f>
        <v>16200</v>
      </c>
      <c r="AL39" s="15">
        <v>100</v>
      </c>
      <c r="AO39" s="19">
        <v>34</v>
      </c>
      <c r="AP39" s="19">
        <v>6</v>
      </c>
      <c r="AR39" s="19">
        <v>34</v>
      </c>
      <c r="AS39" s="19">
        <f t="shared" si="11"/>
        <v>7</v>
      </c>
      <c r="AU39" s="19">
        <v>34</v>
      </c>
      <c r="AV39" s="19">
        <f t="shared" si="12"/>
        <v>8</v>
      </c>
      <c r="AX39" s="19">
        <v>34</v>
      </c>
      <c r="AY39" s="19">
        <f t="shared" si="13"/>
        <v>9</v>
      </c>
      <c r="BB39" s="19">
        <v>34</v>
      </c>
      <c r="BC39" s="15">
        <f t="shared" si="27"/>
        <v>160</v>
      </c>
      <c r="BD39" s="15">
        <f t="shared" si="28"/>
        <v>360</v>
      </c>
      <c r="BE39" s="15">
        <f t="shared" si="29"/>
        <v>27720</v>
      </c>
      <c r="BF39" s="15">
        <f t="shared" si="14"/>
        <v>800</v>
      </c>
      <c r="BH39" s="19">
        <v>35</v>
      </c>
      <c r="BI39" s="23">
        <v>30</v>
      </c>
      <c r="BL39" s="23">
        <v>21</v>
      </c>
      <c r="BM39" s="23">
        <f t="shared" si="24"/>
        <v>12.229692037346311</v>
      </c>
      <c r="BN39" s="21">
        <f t="shared" si="16"/>
        <v>6.4230504894764756E-2</v>
      </c>
      <c r="BO39" s="15">
        <f t="shared" si="17"/>
        <v>0</v>
      </c>
      <c r="BP39" s="15">
        <f t="shared" si="18"/>
        <v>0</v>
      </c>
      <c r="BQ39" s="15">
        <f t="shared" si="19"/>
        <v>0</v>
      </c>
      <c r="BR39" s="15">
        <f t="shared" si="20"/>
        <v>0</v>
      </c>
      <c r="BS39" s="15">
        <f t="shared" si="21"/>
        <v>0</v>
      </c>
      <c r="BT39" s="15">
        <f t="shared" si="22"/>
        <v>0</v>
      </c>
      <c r="BU39" s="15">
        <f t="shared" si="23"/>
        <v>0</v>
      </c>
      <c r="BW39" s="23">
        <v>21</v>
      </c>
      <c r="BX39" s="23">
        <v>15</v>
      </c>
      <c r="CD39" s="52">
        <v>35</v>
      </c>
      <c r="CE39" s="52">
        <v>1</v>
      </c>
      <c r="CF39" s="54" t="s">
        <v>538</v>
      </c>
      <c r="CG39" s="52">
        <v>35</v>
      </c>
      <c r="CH39" s="52"/>
      <c r="CI39" s="52"/>
      <c r="CJ39" s="52"/>
      <c r="CK39" s="52" t="s">
        <v>539</v>
      </c>
      <c r="CL39" s="52">
        <v>3600</v>
      </c>
      <c r="CM39" s="52" t="s">
        <v>540</v>
      </c>
      <c r="CN39" s="52">
        <v>35</v>
      </c>
      <c r="CO39" s="52"/>
      <c r="CP39" s="52"/>
      <c r="CQ39" s="52" t="s">
        <v>540</v>
      </c>
      <c r="CR39" s="52">
        <v>55</v>
      </c>
      <c r="CS39" s="52"/>
      <c r="CT39" s="52"/>
      <c r="CU39" s="52"/>
      <c r="CV39" s="52"/>
      <c r="CW39" s="52"/>
      <c r="CX39" s="52"/>
      <c r="CY39" s="52"/>
      <c r="CZ39" s="52"/>
      <c r="DA39" s="52"/>
      <c r="DB39" s="52"/>
    </row>
    <row r="40" spans="1:106" ht="16.5" x14ac:dyDescent="0.2">
      <c r="A40" s="18">
        <v>36</v>
      </c>
      <c r="B40" s="26">
        <v>7</v>
      </c>
      <c r="C40" s="39">
        <v>60</v>
      </c>
      <c r="D40" s="26">
        <f>INDEX(章节关卡!$C$6:$C$20,芦花古楼!B40)*芦花古楼!C40</f>
        <v>1500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3000</v>
      </c>
      <c r="H40" s="15">
        <v>100</v>
      </c>
      <c r="K40" s="18">
        <v>36</v>
      </c>
      <c r="L40" s="63">
        <v>8</v>
      </c>
      <c r="M40" s="39">
        <v>120</v>
      </c>
      <c r="N40" s="26">
        <f>INDEX(章节关卡!$C$6:$C$20,芦花古楼!L40)*芦花古楼!M40</f>
        <v>3600</v>
      </c>
      <c r="O40" s="23">
        <f t="shared" si="4"/>
        <v>45</v>
      </c>
      <c r="P40" s="23">
        <f t="shared" si="5"/>
        <v>55</v>
      </c>
      <c r="Q40" s="15">
        <f>INDEX(章节关卡!$E$6:$E$20,芦花古楼!L40)*芦花古楼!M40</f>
        <v>7200</v>
      </c>
      <c r="R40" s="15">
        <v>100</v>
      </c>
      <c r="U40" s="18">
        <v>36</v>
      </c>
      <c r="V40" s="63">
        <v>10</v>
      </c>
      <c r="W40" s="39">
        <v>180</v>
      </c>
      <c r="X40" s="26">
        <f>INDEX(章节关卡!$C$6:$C$20,芦花古楼!V40)*芦花古楼!W40</f>
        <v>7920</v>
      </c>
      <c r="Y40" s="23">
        <f t="shared" si="25"/>
        <v>50</v>
      </c>
      <c r="Z40" s="23">
        <f t="shared" si="26"/>
        <v>55</v>
      </c>
      <c r="AA40" s="15">
        <f>INDEX(章节关卡!$E$6:$E$20,芦花古楼!V40)*芦花古楼!W40</f>
        <v>16200</v>
      </c>
      <c r="AB40" s="15">
        <v>100</v>
      </c>
      <c r="AE40" s="18">
        <v>36</v>
      </c>
      <c r="AF40" s="63">
        <v>10</v>
      </c>
      <c r="AG40" s="39">
        <v>180</v>
      </c>
      <c r="AH40" s="26">
        <f>INDEX(章节关卡!$C$6:$C$20,芦花古楼!AF40)*芦花古楼!AG40</f>
        <v>7920</v>
      </c>
      <c r="AI40" s="23">
        <f t="shared" si="6"/>
        <v>55</v>
      </c>
      <c r="AJ40" s="23">
        <f t="shared" si="7"/>
        <v>55</v>
      </c>
      <c r="AK40" s="15">
        <f>INDEX(章节关卡!$E$6:$E$20,芦花古楼!AF40)*芦花古楼!AG40</f>
        <v>16200</v>
      </c>
      <c r="AL40" s="15">
        <v>100</v>
      </c>
      <c r="AO40" s="19">
        <v>35</v>
      </c>
      <c r="AP40" s="19">
        <v>6</v>
      </c>
      <c r="AR40" s="19">
        <v>35</v>
      </c>
      <c r="AS40" s="19">
        <f t="shared" si="11"/>
        <v>7</v>
      </c>
      <c r="AU40" s="19">
        <v>35</v>
      </c>
      <c r="AV40" s="19">
        <f t="shared" si="12"/>
        <v>8</v>
      </c>
      <c r="AX40" s="19">
        <v>35</v>
      </c>
      <c r="AY40" s="19">
        <f t="shared" si="13"/>
        <v>9</v>
      </c>
      <c r="BB40" s="19">
        <v>35</v>
      </c>
      <c r="BC40" s="15">
        <f t="shared" si="27"/>
        <v>170</v>
      </c>
      <c r="BD40" s="15">
        <f t="shared" si="28"/>
        <v>360</v>
      </c>
      <c r="BE40" s="15">
        <f t="shared" si="29"/>
        <v>36600</v>
      </c>
      <c r="BF40" s="15">
        <f t="shared" si="14"/>
        <v>800</v>
      </c>
      <c r="BH40" s="19">
        <v>36</v>
      </c>
      <c r="BI40" s="23">
        <v>30</v>
      </c>
      <c r="BL40" s="23">
        <v>22</v>
      </c>
      <c r="BM40" s="23">
        <f t="shared" si="24"/>
        <v>12.851988957719774</v>
      </c>
      <c r="BN40" s="21">
        <f t="shared" si="16"/>
        <v>6.749881657980028E-2</v>
      </c>
      <c r="BO40" s="15">
        <f t="shared" si="17"/>
        <v>0</v>
      </c>
      <c r="BP40" s="15">
        <f t="shared" si="18"/>
        <v>0</v>
      </c>
      <c r="BQ40" s="15">
        <f t="shared" si="19"/>
        <v>0</v>
      </c>
      <c r="BR40" s="15">
        <f t="shared" si="20"/>
        <v>0</v>
      </c>
      <c r="BS40" s="15">
        <f t="shared" si="21"/>
        <v>0</v>
      </c>
      <c r="BT40" s="15">
        <f t="shared" si="22"/>
        <v>0</v>
      </c>
      <c r="BU40" s="15">
        <f t="shared" si="23"/>
        <v>0</v>
      </c>
      <c r="BW40" s="23">
        <v>22</v>
      </c>
      <c r="BX40" s="23">
        <v>15</v>
      </c>
      <c r="CD40" s="52">
        <v>36</v>
      </c>
      <c r="CE40" s="52">
        <v>1</v>
      </c>
      <c r="CF40" s="54" t="s">
        <v>538</v>
      </c>
      <c r="CG40" s="52">
        <v>36</v>
      </c>
      <c r="CH40" s="52"/>
      <c r="CI40" s="52"/>
      <c r="CJ40" s="52"/>
      <c r="CK40" s="52" t="s">
        <v>539</v>
      </c>
      <c r="CL40" s="52">
        <v>3600</v>
      </c>
      <c r="CM40" s="52" t="s">
        <v>540</v>
      </c>
      <c r="CN40" s="52">
        <v>40</v>
      </c>
      <c r="CO40" s="52"/>
      <c r="CP40" s="52"/>
      <c r="CQ40" s="52" t="s">
        <v>540</v>
      </c>
      <c r="CR40" s="52">
        <v>55</v>
      </c>
      <c r="CS40" s="52"/>
      <c r="CT40" s="52"/>
      <c r="CU40" s="52"/>
      <c r="CV40" s="52"/>
      <c r="CW40" s="52"/>
      <c r="CX40" s="52"/>
      <c r="CY40" s="52"/>
      <c r="CZ40" s="52"/>
      <c r="DA40" s="52"/>
      <c r="DB40" s="52"/>
    </row>
    <row r="41" spans="1:106" ht="16.5" x14ac:dyDescent="0.2">
      <c r="A41" s="18">
        <v>37</v>
      </c>
      <c r="B41" s="63">
        <v>7</v>
      </c>
      <c r="C41" s="39">
        <v>60</v>
      </c>
      <c r="D41" s="26">
        <f>INDEX(章节关卡!$C$6:$C$20,芦花古楼!B41)*芦花古楼!C41</f>
        <v>1500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3000</v>
      </c>
      <c r="H41" s="15">
        <v>100</v>
      </c>
      <c r="K41" s="18">
        <v>37</v>
      </c>
      <c r="L41" s="63">
        <v>8</v>
      </c>
      <c r="M41" s="39">
        <v>120</v>
      </c>
      <c r="N41" s="26">
        <f>INDEX(章节关卡!$C$6:$C$20,芦花古楼!L41)*芦花古楼!M41</f>
        <v>3600</v>
      </c>
      <c r="O41" s="23">
        <f t="shared" si="4"/>
        <v>45</v>
      </c>
      <c r="P41" s="23">
        <f t="shared" si="5"/>
        <v>55</v>
      </c>
      <c r="Q41" s="15">
        <f>INDEX(章节关卡!$E$6:$E$20,芦花古楼!L41)*芦花古楼!M41</f>
        <v>7200</v>
      </c>
      <c r="R41" s="15">
        <v>100</v>
      </c>
      <c r="U41" s="18">
        <v>37</v>
      </c>
      <c r="V41" s="63">
        <v>10</v>
      </c>
      <c r="W41" s="39">
        <v>180</v>
      </c>
      <c r="X41" s="26">
        <f>INDEX(章节关卡!$C$6:$C$20,芦花古楼!V41)*芦花古楼!W41</f>
        <v>7920</v>
      </c>
      <c r="Y41" s="23">
        <f t="shared" si="25"/>
        <v>50</v>
      </c>
      <c r="Z41" s="23">
        <f t="shared" si="26"/>
        <v>55</v>
      </c>
      <c r="AA41" s="15">
        <f>INDEX(章节关卡!$E$6:$E$20,芦花古楼!V41)*芦花古楼!W41</f>
        <v>16200</v>
      </c>
      <c r="AB41" s="15">
        <v>100</v>
      </c>
      <c r="AE41" s="18">
        <v>37</v>
      </c>
      <c r="AF41" s="63">
        <v>10</v>
      </c>
      <c r="AG41" s="39">
        <v>180</v>
      </c>
      <c r="AH41" s="26">
        <f>INDEX(章节关卡!$C$6:$C$20,芦花古楼!AF41)*芦花古楼!AG41</f>
        <v>7920</v>
      </c>
      <c r="AI41" s="23">
        <f t="shared" si="6"/>
        <v>55</v>
      </c>
      <c r="AJ41" s="23">
        <f t="shared" si="7"/>
        <v>55</v>
      </c>
      <c r="AK41" s="15">
        <f>INDEX(章节关卡!$E$6:$E$20,芦花古楼!AF41)*芦花古楼!AG41</f>
        <v>16200</v>
      </c>
      <c r="AL41" s="15">
        <v>100</v>
      </c>
      <c r="AO41" s="19">
        <v>36</v>
      </c>
      <c r="AP41" s="19">
        <v>7</v>
      </c>
      <c r="AR41" s="19">
        <v>36</v>
      </c>
      <c r="AS41" s="19">
        <f t="shared" si="11"/>
        <v>8</v>
      </c>
      <c r="AU41" s="19">
        <v>36</v>
      </c>
      <c r="AV41" s="19">
        <f t="shared" si="12"/>
        <v>9</v>
      </c>
      <c r="AX41" s="19">
        <v>36</v>
      </c>
      <c r="AY41" s="19">
        <f t="shared" si="13"/>
        <v>10</v>
      </c>
      <c r="BB41" s="19">
        <v>36</v>
      </c>
      <c r="BC41" s="15">
        <f t="shared" si="27"/>
        <v>160</v>
      </c>
      <c r="BD41" s="15">
        <f t="shared" si="28"/>
        <v>365</v>
      </c>
      <c r="BE41" s="15">
        <f t="shared" si="29"/>
        <v>27720</v>
      </c>
      <c r="BF41" s="15">
        <f t="shared" si="14"/>
        <v>800</v>
      </c>
      <c r="BH41" s="19">
        <v>37</v>
      </c>
      <c r="BI41" s="23">
        <v>30</v>
      </c>
      <c r="BL41" s="23">
        <v>23</v>
      </c>
      <c r="BM41" s="23">
        <f t="shared" si="24"/>
        <v>13.480508847296973</v>
      </c>
      <c r="BN41" s="21">
        <f t="shared" si="16"/>
        <v>7.0799811381686159E-2</v>
      </c>
      <c r="BO41" s="15">
        <f t="shared" si="17"/>
        <v>0</v>
      </c>
      <c r="BP41" s="15">
        <f t="shared" si="18"/>
        <v>0</v>
      </c>
      <c r="BQ41" s="15">
        <f t="shared" si="19"/>
        <v>0</v>
      </c>
      <c r="BR41" s="15">
        <f t="shared" si="20"/>
        <v>0</v>
      </c>
      <c r="BS41" s="15">
        <f t="shared" si="21"/>
        <v>0</v>
      </c>
      <c r="BT41" s="15">
        <f t="shared" si="22"/>
        <v>0</v>
      </c>
      <c r="BU41" s="15">
        <f t="shared" si="23"/>
        <v>0</v>
      </c>
      <c r="BW41" s="23">
        <v>23</v>
      </c>
      <c r="BX41" s="23">
        <v>15</v>
      </c>
      <c r="CD41" s="52">
        <v>37</v>
      </c>
      <c r="CE41" s="52">
        <v>1</v>
      </c>
      <c r="CF41" s="54" t="s">
        <v>538</v>
      </c>
      <c r="CG41" s="52">
        <v>37</v>
      </c>
      <c r="CH41" s="52"/>
      <c r="CI41" s="52"/>
      <c r="CJ41" s="52"/>
      <c r="CK41" s="52" t="s">
        <v>539</v>
      </c>
      <c r="CL41" s="52">
        <v>3600</v>
      </c>
      <c r="CM41" s="52" t="s">
        <v>540</v>
      </c>
      <c r="CN41" s="52">
        <v>40</v>
      </c>
      <c r="CO41" s="52"/>
      <c r="CP41" s="52"/>
      <c r="CQ41" s="52" t="s">
        <v>540</v>
      </c>
      <c r="CR41" s="52">
        <v>55</v>
      </c>
      <c r="CS41" s="52"/>
      <c r="CT41" s="52"/>
      <c r="CU41" s="52"/>
      <c r="CV41" s="52"/>
      <c r="CW41" s="52"/>
      <c r="CX41" s="52"/>
      <c r="CY41" s="52"/>
      <c r="CZ41" s="52"/>
      <c r="DA41" s="52"/>
      <c r="DB41" s="52"/>
    </row>
    <row r="42" spans="1:106" ht="16.5" x14ac:dyDescent="0.2">
      <c r="A42" s="18">
        <v>38</v>
      </c>
      <c r="B42" s="63">
        <v>7</v>
      </c>
      <c r="C42" s="39">
        <v>60</v>
      </c>
      <c r="D42" s="26">
        <f>INDEX(章节关卡!$C$6:$C$20,芦花古楼!B42)*芦花古楼!C42</f>
        <v>1500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3000</v>
      </c>
      <c r="H42" s="15">
        <v>100</v>
      </c>
      <c r="K42" s="18">
        <v>38</v>
      </c>
      <c r="L42" s="63">
        <v>8</v>
      </c>
      <c r="M42" s="39">
        <v>120</v>
      </c>
      <c r="N42" s="26">
        <f>INDEX(章节关卡!$C$6:$C$20,芦花古楼!L42)*芦花古楼!M42</f>
        <v>3600</v>
      </c>
      <c r="O42" s="23">
        <f t="shared" si="4"/>
        <v>45</v>
      </c>
      <c r="P42" s="23">
        <f t="shared" si="5"/>
        <v>55</v>
      </c>
      <c r="Q42" s="15">
        <f>INDEX(章节关卡!$E$6:$E$20,芦花古楼!L42)*芦花古楼!M42</f>
        <v>7200</v>
      </c>
      <c r="R42" s="15">
        <v>100</v>
      </c>
      <c r="U42" s="18">
        <v>38</v>
      </c>
      <c r="V42" s="63">
        <v>10</v>
      </c>
      <c r="W42" s="39">
        <v>180</v>
      </c>
      <c r="X42" s="26">
        <f>INDEX(章节关卡!$C$6:$C$20,芦花古楼!V42)*芦花古楼!W42</f>
        <v>7920</v>
      </c>
      <c r="Y42" s="23">
        <f t="shared" si="25"/>
        <v>50</v>
      </c>
      <c r="Z42" s="23">
        <f t="shared" si="26"/>
        <v>55</v>
      </c>
      <c r="AA42" s="15">
        <f>INDEX(章节关卡!$E$6:$E$20,芦花古楼!V42)*芦花古楼!W42</f>
        <v>16200</v>
      </c>
      <c r="AB42" s="15">
        <v>100</v>
      </c>
      <c r="AE42" s="18">
        <v>38</v>
      </c>
      <c r="AF42" s="63">
        <v>10</v>
      </c>
      <c r="AG42" s="39">
        <v>180</v>
      </c>
      <c r="AH42" s="26">
        <f>INDEX(章节关卡!$C$6:$C$20,芦花古楼!AF42)*芦花古楼!AG42</f>
        <v>7920</v>
      </c>
      <c r="AI42" s="23">
        <f t="shared" si="6"/>
        <v>55</v>
      </c>
      <c r="AJ42" s="23">
        <f t="shared" si="7"/>
        <v>55</v>
      </c>
      <c r="AK42" s="15">
        <f>INDEX(章节关卡!$E$6:$E$20,芦花古楼!AF42)*芦花古楼!AG42</f>
        <v>16200</v>
      </c>
      <c r="AL42" s="15">
        <v>100</v>
      </c>
      <c r="AO42" s="19">
        <v>37</v>
      </c>
      <c r="AP42" s="19">
        <v>7</v>
      </c>
      <c r="AR42" s="19">
        <v>37</v>
      </c>
      <c r="AS42" s="19">
        <f t="shared" si="11"/>
        <v>8</v>
      </c>
      <c r="AU42" s="19">
        <v>37</v>
      </c>
      <c r="AV42" s="19">
        <f t="shared" si="12"/>
        <v>9</v>
      </c>
      <c r="AX42" s="19">
        <v>37</v>
      </c>
      <c r="AY42" s="19">
        <f t="shared" si="13"/>
        <v>10</v>
      </c>
      <c r="BB42" s="19">
        <v>37</v>
      </c>
      <c r="BC42" s="15">
        <f t="shared" si="27"/>
        <v>170</v>
      </c>
      <c r="BD42" s="15">
        <f t="shared" si="28"/>
        <v>370</v>
      </c>
      <c r="BE42" s="15">
        <f t="shared" si="29"/>
        <v>36600</v>
      </c>
      <c r="BF42" s="15">
        <f t="shared" si="14"/>
        <v>800</v>
      </c>
      <c r="BH42" s="19">
        <v>38</v>
      </c>
      <c r="BI42" s="23">
        <v>30</v>
      </c>
      <c r="BL42" s="23">
        <v>24</v>
      </c>
      <c r="BM42" s="23">
        <f t="shared" si="24"/>
        <v>14.115313935769942</v>
      </c>
      <c r="BN42" s="21">
        <f t="shared" si="16"/>
        <v>7.4133816131590882E-2</v>
      </c>
      <c r="BO42" s="15">
        <f t="shared" si="17"/>
        <v>0</v>
      </c>
      <c r="BP42" s="15">
        <f t="shared" si="18"/>
        <v>0</v>
      </c>
      <c r="BQ42" s="15">
        <f t="shared" si="19"/>
        <v>0</v>
      </c>
      <c r="BR42" s="15">
        <f t="shared" si="20"/>
        <v>0</v>
      </c>
      <c r="BS42" s="15">
        <f t="shared" si="21"/>
        <v>0</v>
      </c>
      <c r="BT42" s="15">
        <f t="shared" si="22"/>
        <v>0</v>
      </c>
      <c r="BU42" s="15">
        <f t="shared" si="23"/>
        <v>0</v>
      </c>
      <c r="BW42" s="23">
        <v>24</v>
      </c>
      <c r="BX42" s="23">
        <v>15</v>
      </c>
      <c r="CD42" s="52">
        <v>38</v>
      </c>
      <c r="CE42" s="52">
        <v>1</v>
      </c>
      <c r="CF42" s="54" t="s">
        <v>538</v>
      </c>
      <c r="CG42" s="52">
        <v>38</v>
      </c>
      <c r="CH42" s="52"/>
      <c r="CI42" s="52"/>
      <c r="CJ42" s="52"/>
      <c r="CK42" s="52" t="s">
        <v>539</v>
      </c>
      <c r="CL42" s="52">
        <v>3600</v>
      </c>
      <c r="CM42" s="52" t="s">
        <v>540</v>
      </c>
      <c r="CN42" s="52">
        <v>40</v>
      </c>
      <c r="CO42" s="52"/>
      <c r="CP42" s="52"/>
      <c r="CQ42" s="52" t="s">
        <v>540</v>
      </c>
      <c r="CR42" s="52">
        <v>55</v>
      </c>
      <c r="CS42" s="52"/>
      <c r="CT42" s="52"/>
      <c r="CU42" s="52"/>
      <c r="CV42" s="52"/>
      <c r="CW42" s="52"/>
      <c r="CX42" s="52"/>
      <c r="CY42" s="52"/>
      <c r="CZ42" s="52"/>
      <c r="DA42" s="52"/>
      <c r="DB42" s="52"/>
    </row>
    <row r="43" spans="1:106" ht="16.5" x14ac:dyDescent="0.2">
      <c r="A43" s="18">
        <v>39</v>
      </c>
      <c r="B43" s="63">
        <v>7</v>
      </c>
      <c r="C43" s="39">
        <v>60</v>
      </c>
      <c r="D43" s="26">
        <f>INDEX(章节关卡!$C$6:$C$20,芦花古楼!B43)*芦花古楼!C43</f>
        <v>1500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3000</v>
      </c>
      <c r="H43" s="15">
        <v>100</v>
      </c>
      <c r="K43" s="18">
        <v>39</v>
      </c>
      <c r="L43" s="63">
        <v>8</v>
      </c>
      <c r="M43" s="39">
        <v>120</v>
      </c>
      <c r="N43" s="26">
        <f>INDEX(章节关卡!$C$6:$C$20,芦花古楼!L43)*芦花古楼!M43</f>
        <v>3600</v>
      </c>
      <c r="O43" s="23">
        <f t="shared" si="4"/>
        <v>45</v>
      </c>
      <c r="P43" s="23">
        <f t="shared" si="5"/>
        <v>55</v>
      </c>
      <c r="Q43" s="15">
        <f>INDEX(章节关卡!$E$6:$E$20,芦花古楼!L43)*芦花古楼!M43</f>
        <v>7200</v>
      </c>
      <c r="R43" s="15">
        <v>100</v>
      </c>
      <c r="U43" s="18">
        <v>39</v>
      </c>
      <c r="V43" s="63">
        <v>10</v>
      </c>
      <c r="W43" s="39">
        <v>180</v>
      </c>
      <c r="X43" s="26">
        <f>INDEX(章节关卡!$C$6:$C$20,芦花古楼!V43)*芦花古楼!W43</f>
        <v>7920</v>
      </c>
      <c r="Y43" s="23">
        <f t="shared" si="25"/>
        <v>50</v>
      </c>
      <c r="Z43" s="23">
        <f t="shared" si="26"/>
        <v>55</v>
      </c>
      <c r="AA43" s="15">
        <f>INDEX(章节关卡!$E$6:$E$20,芦花古楼!V43)*芦花古楼!W43</f>
        <v>16200</v>
      </c>
      <c r="AB43" s="15">
        <v>100</v>
      </c>
      <c r="AE43" s="18">
        <v>39</v>
      </c>
      <c r="AF43" s="63">
        <v>10</v>
      </c>
      <c r="AG43" s="39">
        <v>180</v>
      </c>
      <c r="AH43" s="26">
        <f>INDEX(章节关卡!$C$6:$C$20,芦花古楼!AF43)*芦花古楼!AG43</f>
        <v>7920</v>
      </c>
      <c r="AI43" s="23">
        <f t="shared" si="6"/>
        <v>55</v>
      </c>
      <c r="AJ43" s="23">
        <f t="shared" si="7"/>
        <v>55</v>
      </c>
      <c r="AK43" s="15">
        <f>INDEX(章节关卡!$E$6:$E$20,芦花古楼!AF43)*芦花古楼!AG43</f>
        <v>16200</v>
      </c>
      <c r="AL43" s="15">
        <v>100</v>
      </c>
      <c r="AO43" s="19">
        <v>38</v>
      </c>
      <c r="AP43" s="19">
        <v>7</v>
      </c>
      <c r="AR43" s="19">
        <v>38</v>
      </c>
      <c r="AS43" s="19">
        <f t="shared" si="11"/>
        <v>8</v>
      </c>
      <c r="AU43" s="19">
        <v>38</v>
      </c>
      <c r="AV43" s="19">
        <f t="shared" si="12"/>
        <v>9</v>
      </c>
      <c r="AX43" s="19">
        <v>38</v>
      </c>
      <c r="AY43" s="19">
        <f t="shared" si="13"/>
        <v>10</v>
      </c>
      <c r="BB43" s="19">
        <v>38</v>
      </c>
      <c r="BC43" s="15">
        <f t="shared" si="27"/>
        <v>165</v>
      </c>
      <c r="BD43" s="15">
        <f t="shared" si="28"/>
        <v>375</v>
      </c>
      <c r="BE43" s="15">
        <f t="shared" si="29"/>
        <v>27720</v>
      </c>
      <c r="BF43" s="15">
        <f t="shared" si="14"/>
        <v>800</v>
      </c>
      <c r="BH43" s="19">
        <v>39</v>
      </c>
      <c r="BI43" s="23">
        <v>30</v>
      </c>
      <c r="BL43" s="23">
        <v>25</v>
      </c>
      <c r="BM43" s="23">
        <f t="shared" si="24"/>
        <v>14.756467075127642</v>
      </c>
      <c r="BN43" s="21">
        <f t="shared" si="16"/>
        <v>7.7501160928994658E-2</v>
      </c>
      <c r="BO43" s="15">
        <f t="shared" si="17"/>
        <v>0</v>
      </c>
      <c r="BP43" s="15">
        <f t="shared" si="18"/>
        <v>0</v>
      </c>
      <c r="BQ43" s="15">
        <f t="shared" si="19"/>
        <v>0</v>
      </c>
      <c r="BR43" s="15">
        <f t="shared" si="20"/>
        <v>0</v>
      </c>
      <c r="BS43" s="15">
        <f t="shared" si="21"/>
        <v>0</v>
      </c>
      <c r="BT43" s="15">
        <f t="shared" si="22"/>
        <v>0</v>
      </c>
      <c r="BU43" s="15">
        <f t="shared" si="23"/>
        <v>0</v>
      </c>
      <c r="BW43" s="23">
        <v>25</v>
      </c>
      <c r="BX43" s="23">
        <v>15</v>
      </c>
      <c r="CD43" s="52">
        <v>39</v>
      </c>
      <c r="CE43" s="52">
        <v>1</v>
      </c>
      <c r="CF43" s="54" t="s">
        <v>538</v>
      </c>
      <c r="CG43" s="52">
        <v>39</v>
      </c>
      <c r="CH43" s="52"/>
      <c r="CI43" s="52"/>
      <c r="CJ43" s="52"/>
      <c r="CK43" s="52" t="s">
        <v>539</v>
      </c>
      <c r="CL43" s="52">
        <v>3600</v>
      </c>
      <c r="CM43" s="52" t="s">
        <v>540</v>
      </c>
      <c r="CN43" s="52">
        <v>40</v>
      </c>
      <c r="CO43" s="52"/>
      <c r="CP43" s="52"/>
      <c r="CQ43" s="52" t="s">
        <v>540</v>
      </c>
      <c r="CR43" s="52">
        <v>55</v>
      </c>
      <c r="CS43" s="52"/>
      <c r="CT43" s="52"/>
      <c r="CU43" s="52"/>
      <c r="CV43" s="52"/>
      <c r="CW43" s="52"/>
      <c r="CX43" s="52"/>
      <c r="CY43" s="52"/>
      <c r="CZ43" s="52"/>
      <c r="DA43" s="52"/>
      <c r="DB43" s="52"/>
    </row>
    <row r="44" spans="1:106" ht="16.5" x14ac:dyDescent="0.2">
      <c r="A44" s="18">
        <v>40</v>
      </c>
      <c r="B44" s="63">
        <v>7</v>
      </c>
      <c r="C44" s="39">
        <v>60</v>
      </c>
      <c r="D44" s="26">
        <f>INDEX(章节关卡!$C$6:$C$20,芦花古楼!B44)*芦花古楼!C44</f>
        <v>1500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3000</v>
      </c>
      <c r="H44" s="15">
        <v>150</v>
      </c>
      <c r="K44" s="18">
        <v>40</v>
      </c>
      <c r="L44" s="26">
        <v>9</v>
      </c>
      <c r="M44" s="39">
        <v>120</v>
      </c>
      <c r="N44" s="26">
        <f>INDEX(章节关卡!$C$6:$C$20,芦花古楼!L44)*芦花古楼!M44</f>
        <v>4320</v>
      </c>
      <c r="O44" s="23">
        <f t="shared" si="4"/>
        <v>45</v>
      </c>
      <c r="P44" s="23">
        <f t="shared" si="5"/>
        <v>60</v>
      </c>
      <c r="Q44" s="15">
        <f>INDEX(章节关卡!$E$6:$E$20,芦花古楼!L44)*芦花古楼!M44</f>
        <v>8640</v>
      </c>
      <c r="R44" s="15">
        <v>150</v>
      </c>
      <c r="U44" s="18">
        <v>40</v>
      </c>
      <c r="V44" s="26">
        <v>10</v>
      </c>
      <c r="W44" s="39">
        <v>180</v>
      </c>
      <c r="X44" s="26">
        <f>INDEX(章节关卡!$C$6:$C$20,芦花古楼!V44)*芦花古楼!W44</f>
        <v>7920</v>
      </c>
      <c r="Y44" s="23">
        <f t="shared" si="25"/>
        <v>50</v>
      </c>
      <c r="Z44" s="23">
        <f t="shared" si="26"/>
        <v>60</v>
      </c>
      <c r="AA44" s="15">
        <f>INDEX(章节关卡!$E$6:$E$20,芦花古楼!V44)*芦花古楼!W44</f>
        <v>16200</v>
      </c>
      <c r="AB44" s="15">
        <v>150</v>
      </c>
      <c r="AE44" s="18">
        <v>40</v>
      </c>
      <c r="AF44" s="63">
        <v>10</v>
      </c>
      <c r="AG44" s="39">
        <v>180</v>
      </c>
      <c r="AH44" s="26">
        <f>INDEX(章节关卡!$C$6:$C$20,芦花古楼!AF44)*芦花古楼!AG44</f>
        <v>7920</v>
      </c>
      <c r="AI44" s="23">
        <f t="shared" si="6"/>
        <v>55</v>
      </c>
      <c r="AJ44" s="23">
        <f t="shared" si="7"/>
        <v>60</v>
      </c>
      <c r="AK44" s="15">
        <f>INDEX(章节关卡!$E$6:$E$20,芦花古楼!AF44)*芦花古楼!AG44</f>
        <v>16200</v>
      </c>
      <c r="AL44" s="15">
        <v>150</v>
      </c>
      <c r="AO44" s="19">
        <v>39</v>
      </c>
      <c r="AP44" s="19">
        <v>8</v>
      </c>
      <c r="AR44" s="19">
        <v>39</v>
      </c>
      <c r="AS44" s="19">
        <f t="shared" si="11"/>
        <v>9</v>
      </c>
      <c r="AU44" s="19">
        <v>39</v>
      </c>
      <c r="AV44" s="19">
        <f t="shared" si="12"/>
        <v>10</v>
      </c>
      <c r="AX44" s="19">
        <v>39</v>
      </c>
      <c r="AY44" s="19">
        <f t="shared" si="13"/>
        <v>11</v>
      </c>
      <c r="BB44" s="19">
        <v>39</v>
      </c>
      <c r="BC44" s="15">
        <f t="shared" si="27"/>
        <v>175</v>
      </c>
      <c r="BD44" s="15">
        <f t="shared" si="28"/>
        <v>380</v>
      </c>
      <c r="BE44" s="15">
        <f t="shared" si="29"/>
        <v>36600</v>
      </c>
      <c r="BF44" s="15">
        <f t="shared" si="14"/>
        <v>800</v>
      </c>
      <c r="BH44" s="19">
        <v>40</v>
      </c>
      <c r="BI44" s="19">
        <v>50</v>
      </c>
      <c r="BL44" s="23">
        <v>26</v>
      </c>
      <c r="BM44" s="23"/>
      <c r="BN44" s="21">
        <f>BN43*1.1</f>
        <v>8.5251277021894126E-2</v>
      </c>
      <c r="BO44" s="15">
        <f t="shared" si="17"/>
        <v>0</v>
      </c>
      <c r="BP44" s="15">
        <f t="shared" si="18"/>
        <v>0</v>
      </c>
      <c r="BQ44" s="15">
        <f t="shared" si="19"/>
        <v>0</v>
      </c>
      <c r="BR44" s="15">
        <f t="shared" si="20"/>
        <v>0</v>
      </c>
      <c r="BS44" s="15">
        <f t="shared" si="21"/>
        <v>0</v>
      </c>
      <c r="BT44" s="15">
        <f t="shared" si="22"/>
        <v>0</v>
      </c>
      <c r="BU44" s="15">
        <f t="shared" si="23"/>
        <v>0</v>
      </c>
      <c r="BW44" s="23">
        <v>26</v>
      </c>
      <c r="BX44" s="23">
        <v>25</v>
      </c>
      <c r="CD44" s="52">
        <v>40</v>
      </c>
      <c r="CE44" s="52">
        <v>1</v>
      </c>
      <c r="CF44" s="54" t="s">
        <v>538</v>
      </c>
      <c r="CG44" s="52">
        <v>40</v>
      </c>
      <c r="CH44" s="52"/>
      <c r="CI44" s="52"/>
      <c r="CJ44" s="52"/>
      <c r="CK44" s="52" t="s">
        <v>539</v>
      </c>
      <c r="CL44" s="52">
        <v>3600</v>
      </c>
      <c r="CM44" s="52" t="s">
        <v>540</v>
      </c>
      <c r="CN44" s="52">
        <v>40</v>
      </c>
      <c r="CO44" s="52"/>
      <c r="CP44" s="52"/>
      <c r="CQ44" s="52" t="s">
        <v>540</v>
      </c>
      <c r="CR44" s="52">
        <v>60</v>
      </c>
      <c r="CS44" s="52"/>
      <c r="CT44" s="52"/>
      <c r="CU44" s="52"/>
      <c r="CV44" s="52"/>
      <c r="CW44" s="52"/>
      <c r="CX44" s="52"/>
      <c r="CY44" s="52"/>
      <c r="CZ44" s="52"/>
      <c r="DA44" s="52"/>
      <c r="DB44" s="52"/>
    </row>
    <row r="45" spans="1:106" ht="16.5" x14ac:dyDescent="0.2">
      <c r="A45" s="18">
        <v>41</v>
      </c>
      <c r="B45" s="63">
        <v>7</v>
      </c>
      <c r="C45" s="39">
        <v>60</v>
      </c>
      <c r="D45" s="26">
        <f>INDEX(章节关卡!$C$6:$C$20,芦花古楼!B45)*芦花古楼!C45</f>
        <v>1500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3000</v>
      </c>
      <c r="H45" s="15">
        <v>150</v>
      </c>
      <c r="K45" s="18">
        <v>41</v>
      </c>
      <c r="L45" s="63">
        <v>9</v>
      </c>
      <c r="M45" s="39">
        <v>120</v>
      </c>
      <c r="N45" s="26">
        <f>INDEX(章节关卡!$C$6:$C$20,芦花古楼!L45)*芦花古楼!M45</f>
        <v>4320</v>
      </c>
      <c r="O45" s="23">
        <f t="shared" si="4"/>
        <v>50</v>
      </c>
      <c r="P45" s="23">
        <f t="shared" si="5"/>
        <v>60</v>
      </c>
      <c r="Q45" s="15">
        <f>INDEX(章节关卡!$E$6:$E$20,芦花古楼!L45)*芦花古楼!M45</f>
        <v>8640</v>
      </c>
      <c r="R45" s="15">
        <v>150</v>
      </c>
      <c r="U45" s="18">
        <v>41</v>
      </c>
      <c r="V45" s="26">
        <v>10</v>
      </c>
      <c r="W45" s="39">
        <v>180</v>
      </c>
      <c r="X45" s="26">
        <f>INDEX(章节关卡!$C$6:$C$20,芦花古楼!V45)*芦花古楼!W45</f>
        <v>7920</v>
      </c>
      <c r="Y45" s="23">
        <f t="shared" si="25"/>
        <v>55</v>
      </c>
      <c r="Z45" s="23">
        <f t="shared" si="26"/>
        <v>60</v>
      </c>
      <c r="AA45" s="15">
        <f>INDEX(章节关卡!$E$6:$E$20,芦花古楼!V45)*芦花古楼!W45</f>
        <v>16200</v>
      </c>
      <c r="AB45" s="15">
        <v>150</v>
      </c>
      <c r="AE45" s="18">
        <v>41</v>
      </c>
      <c r="AF45" s="63">
        <v>10</v>
      </c>
      <c r="AG45" s="39">
        <v>180</v>
      </c>
      <c r="AH45" s="26">
        <f>INDEX(章节关卡!$C$6:$C$20,芦花古楼!AF45)*芦花古楼!AG45</f>
        <v>7920</v>
      </c>
      <c r="AI45" s="23">
        <f t="shared" si="6"/>
        <v>60</v>
      </c>
      <c r="AJ45" s="23">
        <f t="shared" si="7"/>
        <v>60</v>
      </c>
      <c r="AK45" s="15">
        <f>INDEX(章节关卡!$E$6:$E$20,芦花古楼!AF45)*芦花古楼!AG45</f>
        <v>16200</v>
      </c>
      <c r="AL45" s="15">
        <v>150</v>
      </c>
      <c r="AO45" s="19">
        <v>40</v>
      </c>
      <c r="AP45" s="19">
        <v>8</v>
      </c>
      <c r="AR45" s="19">
        <v>40</v>
      </c>
      <c r="AS45" s="19">
        <f t="shared" si="11"/>
        <v>9</v>
      </c>
      <c r="AU45" s="19">
        <v>40</v>
      </c>
      <c r="AV45" s="19">
        <f t="shared" si="12"/>
        <v>10</v>
      </c>
      <c r="AX45" s="19">
        <v>40</v>
      </c>
      <c r="AY45" s="19">
        <f t="shared" si="13"/>
        <v>11</v>
      </c>
      <c r="BB45" s="19">
        <v>40</v>
      </c>
      <c r="BC45" s="15">
        <f t="shared" si="27"/>
        <v>170</v>
      </c>
      <c r="BD45" s="15">
        <f t="shared" si="28"/>
        <v>380</v>
      </c>
      <c r="BE45" s="15">
        <f t="shared" si="29"/>
        <v>27720</v>
      </c>
      <c r="BF45" s="15">
        <f t="shared" si="14"/>
        <v>800</v>
      </c>
      <c r="BL45" s="23">
        <v>27</v>
      </c>
      <c r="BM45" s="23"/>
      <c r="BN45" s="21">
        <f t="shared" ref="BN45:BN58" si="30">BN44*1.1</f>
        <v>9.3776404724083551E-2</v>
      </c>
      <c r="BO45" s="15">
        <f t="shared" ref="BO45:BO58" si="31">INT($BM$14/$BM$9*$BN45*BM$6/5)*5</f>
        <v>0</v>
      </c>
      <c r="BP45" s="15">
        <f t="shared" ref="BP45:BP58" si="32">INT($BM$14/$BM$9*$BN45*BN$6/5)*5</f>
        <v>0</v>
      </c>
      <c r="BQ45" s="15">
        <f t="shared" ref="BQ45:BQ58" si="33">INT($BM$14/$BM$9*$BN45*BO$6/5)*5</f>
        <v>0</v>
      </c>
      <c r="BR45" s="15">
        <f t="shared" ref="BR45:BR58" si="34">INT($BM$14/$BM$9*$BN45*BP$6/5)*5</f>
        <v>0</v>
      </c>
      <c r="BS45" s="15">
        <f t="shared" ref="BS45:BS58" si="35">INT($BM$14/$BM$9*$BN45*BQ$6/5)*5</f>
        <v>0</v>
      </c>
      <c r="BT45" s="15">
        <f t="shared" ref="BT45:BT58" si="36">INT($BM$14/$BM$9*$BN45*BR$6/5)*5</f>
        <v>0</v>
      </c>
      <c r="BU45" s="15">
        <f t="shared" ref="BU45:BU58" si="37">INT($BM$14/$BM$9*$BN45*BS$6/5)*5</f>
        <v>0</v>
      </c>
      <c r="BW45" s="23">
        <v>27</v>
      </c>
      <c r="BX45" s="23">
        <v>25</v>
      </c>
      <c r="CD45" s="52">
        <v>41</v>
      </c>
      <c r="CE45" s="52">
        <v>1</v>
      </c>
      <c r="CF45" s="54" t="s">
        <v>538</v>
      </c>
      <c r="CG45" s="52">
        <v>41</v>
      </c>
      <c r="CH45" s="52"/>
      <c r="CI45" s="52"/>
      <c r="CJ45" s="52"/>
      <c r="CK45" s="52" t="s">
        <v>539</v>
      </c>
      <c r="CL45" s="52">
        <v>3600</v>
      </c>
      <c r="CM45" s="52" t="s">
        <v>540</v>
      </c>
      <c r="CN45" s="52">
        <v>45</v>
      </c>
      <c r="CO45" s="52"/>
      <c r="CP45" s="52"/>
      <c r="CQ45" s="52" t="s">
        <v>540</v>
      </c>
      <c r="CR45" s="52">
        <v>60</v>
      </c>
      <c r="CS45" s="52"/>
      <c r="CT45" s="52"/>
      <c r="CU45" s="52"/>
      <c r="CV45" s="52"/>
      <c r="CW45" s="52"/>
      <c r="CX45" s="52"/>
      <c r="CY45" s="52"/>
      <c r="CZ45" s="52"/>
      <c r="DA45" s="52"/>
      <c r="DB45" s="52"/>
    </row>
    <row r="46" spans="1:106" ht="16.5" x14ac:dyDescent="0.2">
      <c r="A46" s="18">
        <v>42</v>
      </c>
      <c r="B46" s="63">
        <v>7</v>
      </c>
      <c r="C46" s="39">
        <v>60</v>
      </c>
      <c r="D46" s="26">
        <f>INDEX(章节关卡!$C$6:$C$20,芦花古楼!B46)*芦花古楼!C46</f>
        <v>1500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3000</v>
      </c>
      <c r="H46" s="15">
        <v>150</v>
      </c>
      <c r="K46" s="18">
        <v>42</v>
      </c>
      <c r="L46" s="63">
        <v>9</v>
      </c>
      <c r="M46" s="39">
        <v>120</v>
      </c>
      <c r="N46" s="26">
        <f>INDEX(章节关卡!$C$6:$C$20,芦花古楼!L46)*芦花古楼!M46</f>
        <v>4320</v>
      </c>
      <c r="O46" s="23">
        <f t="shared" si="4"/>
        <v>50</v>
      </c>
      <c r="P46" s="23">
        <f t="shared" si="5"/>
        <v>60</v>
      </c>
      <c r="Q46" s="15">
        <f>INDEX(章节关卡!$E$6:$E$20,芦花古楼!L46)*芦花古楼!M46</f>
        <v>8640</v>
      </c>
      <c r="R46" s="15">
        <v>150</v>
      </c>
      <c r="U46" s="18">
        <v>42</v>
      </c>
      <c r="V46" s="26">
        <v>10</v>
      </c>
      <c r="W46" s="39">
        <v>180</v>
      </c>
      <c r="X46" s="26">
        <f>INDEX(章节关卡!$C$6:$C$20,芦花古楼!V46)*芦花古楼!W46</f>
        <v>7920</v>
      </c>
      <c r="Y46" s="23">
        <f t="shared" si="25"/>
        <v>55</v>
      </c>
      <c r="Z46" s="23">
        <f t="shared" si="26"/>
        <v>60</v>
      </c>
      <c r="AA46" s="15">
        <f>INDEX(章节关卡!$E$6:$E$20,芦花古楼!V46)*芦花古楼!W46</f>
        <v>16200</v>
      </c>
      <c r="AB46" s="15">
        <v>150</v>
      </c>
      <c r="AE46" s="18">
        <v>42</v>
      </c>
      <c r="AF46" s="63">
        <v>10</v>
      </c>
      <c r="AG46" s="39">
        <v>180</v>
      </c>
      <c r="AH46" s="26">
        <f>INDEX(章节关卡!$C$6:$C$20,芦花古楼!AF46)*芦花古楼!AG46</f>
        <v>7920</v>
      </c>
      <c r="AI46" s="23">
        <f t="shared" si="6"/>
        <v>60</v>
      </c>
      <c r="AJ46" s="23">
        <f t="shared" si="7"/>
        <v>60</v>
      </c>
      <c r="AK46" s="15">
        <f>INDEX(章节关卡!$E$6:$E$20,芦花古楼!AF46)*芦花古楼!AG46</f>
        <v>16200</v>
      </c>
      <c r="AL46" s="15">
        <v>150</v>
      </c>
      <c r="AO46" s="19">
        <v>41</v>
      </c>
      <c r="AP46" s="19">
        <v>8</v>
      </c>
      <c r="AR46" s="19">
        <v>41</v>
      </c>
      <c r="AS46" s="19">
        <f t="shared" si="11"/>
        <v>9</v>
      </c>
      <c r="AU46" s="19">
        <v>41</v>
      </c>
      <c r="AV46" s="19">
        <f t="shared" si="12"/>
        <v>10</v>
      </c>
      <c r="AX46" s="19">
        <v>41</v>
      </c>
      <c r="AY46" s="19">
        <f t="shared" si="13"/>
        <v>11</v>
      </c>
      <c r="BB46" s="19">
        <v>41</v>
      </c>
      <c r="BC46" s="15">
        <f t="shared" si="27"/>
        <v>180</v>
      </c>
      <c r="BD46" s="15">
        <f t="shared" si="28"/>
        <v>380</v>
      </c>
      <c r="BE46" s="15">
        <f t="shared" si="29"/>
        <v>36600</v>
      </c>
      <c r="BF46" s="15">
        <f t="shared" si="14"/>
        <v>800</v>
      </c>
      <c r="BL46" s="23">
        <v>28</v>
      </c>
      <c r="BM46" s="23"/>
      <c r="BN46" s="21">
        <f t="shared" si="30"/>
        <v>0.10315404519649192</v>
      </c>
      <c r="BO46" s="15">
        <f t="shared" si="31"/>
        <v>0</v>
      </c>
      <c r="BP46" s="15">
        <f t="shared" si="32"/>
        <v>0</v>
      </c>
      <c r="BQ46" s="15">
        <f t="shared" si="33"/>
        <v>0</v>
      </c>
      <c r="BR46" s="15">
        <f t="shared" si="34"/>
        <v>0</v>
      </c>
      <c r="BS46" s="15">
        <f t="shared" si="35"/>
        <v>0</v>
      </c>
      <c r="BT46" s="15">
        <f t="shared" si="36"/>
        <v>0</v>
      </c>
      <c r="BU46" s="15">
        <f t="shared" si="37"/>
        <v>0</v>
      </c>
      <c r="BW46" s="23">
        <v>28</v>
      </c>
      <c r="BX46" s="23">
        <v>25</v>
      </c>
      <c r="CD46" s="52">
        <v>42</v>
      </c>
      <c r="CE46" s="52">
        <v>1</v>
      </c>
      <c r="CF46" s="54" t="s">
        <v>538</v>
      </c>
      <c r="CG46" s="52">
        <v>42</v>
      </c>
      <c r="CH46" s="52"/>
      <c r="CI46" s="52"/>
      <c r="CJ46" s="52"/>
      <c r="CK46" s="52" t="s">
        <v>539</v>
      </c>
      <c r="CL46" s="52">
        <v>3600</v>
      </c>
      <c r="CM46" s="52" t="s">
        <v>540</v>
      </c>
      <c r="CN46" s="52">
        <v>45</v>
      </c>
      <c r="CO46" s="52"/>
      <c r="CP46" s="52"/>
      <c r="CQ46" s="52" t="s">
        <v>540</v>
      </c>
      <c r="CR46" s="52">
        <v>60</v>
      </c>
      <c r="CS46" s="52"/>
      <c r="CT46" s="52"/>
      <c r="CU46" s="52"/>
      <c r="CV46" s="52"/>
      <c r="CW46" s="52"/>
      <c r="CX46" s="52"/>
      <c r="CY46" s="52"/>
      <c r="CZ46" s="52"/>
      <c r="DA46" s="52"/>
      <c r="DB46" s="52"/>
    </row>
    <row r="47" spans="1:106" ht="16.5" x14ac:dyDescent="0.2">
      <c r="A47" s="18">
        <v>43</v>
      </c>
      <c r="B47" s="63">
        <v>7</v>
      </c>
      <c r="C47" s="39">
        <v>60</v>
      </c>
      <c r="D47" s="26">
        <f>INDEX(章节关卡!$C$6:$C$20,芦花古楼!B47)*芦花古楼!C47</f>
        <v>1500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3000</v>
      </c>
      <c r="H47" s="15">
        <v>150</v>
      </c>
      <c r="K47" s="18">
        <v>43</v>
      </c>
      <c r="L47" s="63">
        <v>9</v>
      </c>
      <c r="M47" s="39">
        <v>120</v>
      </c>
      <c r="N47" s="26">
        <f>INDEX(章节关卡!$C$6:$C$20,芦花古楼!L47)*芦花古楼!M47</f>
        <v>4320</v>
      </c>
      <c r="O47" s="23">
        <f t="shared" si="4"/>
        <v>50</v>
      </c>
      <c r="P47" s="23">
        <f t="shared" si="5"/>
        <v>60</v>
      </c>
      <c r="Q47" s="15">
        <f>INDEX(章节关卡!$E$6:$E$20,芦花古楼!L47)*芦花古楼!M47</f>
        <v>8640</v>
      </c>
      <c r="R47" s="15">
        <v>150</v>
      </c>
      <c r="U47" s="18">
        <v>43</v>
      </c>
      <c r="V47" s="26">
        <v>10</v>
      </c>
      <c r="W47" s="39">
        <v>180</v>
      </c>
      <c r="X47" s="26">
        <f>INDEX(章节关卡!$C$6:$C$20,芦花古楼!V47)*芦花古楼!W47</f>
        <v>7920</v>
      </c>
      <c r="Y47" s="23">
        <f t="shared" si="25"/>
        <v>55</v>
      </c>
      <c r="Z47" s="23">
        <f t="shared" si="26"/>
        <v>60</v>
      </c>
      <c r="AA47" s="15">
        <f>INDEX(章节关卡!$E$6:$E$20,芦花古楼!V47)*芦花古楼!W47</f>
        <v>16200</v>
      </c>
      <c r="AB47" s="15">
        <v>150</v>
      </c>
      <c r="AE47" s="18">
        <v>43</v>
      </c>
      <c r="AF47" s="63">
        <v>10</v>
      </c>
      <c r="AG47" s="39">
        <v>180</v>
      </c>
      <c r="AH47" s="26">
        <f>INDEX(章节关卡!$C$6:$C$20,芦花古楼!AF47)*芦花古楼!AG47</f>
        <v>7920</v>
      </c>
      <c r="AI47" s="23">
        <f t="shared" si="6"/>
        <v>60</v>
      </c>
      <c r="AJ47" s="23">
        <f t="shared" si="7"/>
        <v>60</v>
      </c>
      <c r="AK47" s="15">
        <f>INDEX(章节关卡!$E$6:$E$20,芦花古楼!AF47)*芦花古楼!AG47</f>
        <v>16200</v>
      </c>
      <c r="AL47" s="15">
        <v>150</v>
      </c>
      <c r="AO47" s="19">
        <v>42</v>
      </c>
      <c r="AP47" s="19">
        <v>9</v>
      </c>
      <c r="AR47" s="19">
        <v>42</v>
      </c>
      <c r="AS47" s="19">
        <f t="shared" si="11"/>
        <v>10</v>
      </c>
      <c r="AU47" s="19">
        <v>42</v>
      </c>
      <c r="AV47" s="19">
        <f t="shared" si="12"/>
        <v>11</v>
      </c>
      <c r="AX47" s="19">
        <v>42</v>
      </c>
      <c r="AY47" s="19">
        <f t="shared" si="13"/>
        <v>12</v>
      </c>
      <c r="BB47" s="19">
        <v>42</v>
      </c>
      <c r="BC47" s="15">
        <f t="shared" si="27"/>
        <v>170</v>
      </c>
      <c r="BD47" s="15">
        <f t="shared" si="28"/>
        <v>380</v>
      </c>
      <c r="BE47" s="15">
        <f t="shared" si="29"/>
        <v>27720</v>
      </c>
      <c r="BF47" s="15">
        <f t="shared" si="14"/>
        <v>800</v>
      </c>
      <c r="BL47" s="23">
        <v>29</v>
      </c>
      <c r="BM47" s="23"/>
      <c r="BN47" s="21">
        <f t="shared" si="30"/>
        <v>0.11346944971614112</v>
      </c>
      <c r="BO47" s="15">
        <f t="shared" si="31"/>
        <v>0</v>
      </c>
      <c r="BP47" s="15">
        <f t="shared" si="32"/>
        <v>0</v>
      </c>
      <c r="BQ47" s="15">
        <f t="shared" si="33"/>
        <v>0</v>
      </c>
      <c r="BR47" s="15">
        <f t="shared" si="34"/>
        <v>0</v>
      </c>
      <c r="BS47" s="15">
        <f t="shared" si="35"/>
        <v>0</v>
      </c>
      <c r="BT47" s="15">
        <f t="shared" si="36"/>
        <v>0</v>
      </c>
      <c r="BU47" s="15">
        <f t="shared" si="37"/>
        <v>0</v>
      </c>
      <c r="BW47" s="23">
        <v>29</v>
      </c>
      <c r="BX47" s="23">
        <v>25</v>
      </c>
      <c r="CD47" s="52">
        <v>43</v>
      </c>
      <c r="CE47" s="52">
        <v>1</v>
      </c>
      <c r="CF47" s="54" t="s">
        <v>538</v>
      </c>
      <c r="CG47" s="52">
        <v>43</v>
      </c>
      <c r="CH47" s="52"/>
      <c r="CI47" s="52"/>
      <c r="CJ47" s="52"/>
      <c r="CK47" s="52" t="s">
        <v>539</v>
      </c>
      <c r="CL47" s="52">
        <v>3600</v>
      </c>
      <c r="CM47" s="52" t="s">
        <v>540</v>
      </c>
      <c r="CN47" s="52">
        <v>45</v>
      </c>
      <c r="CO47" s="52"/>
      <c r="CP47" s="52"/>
      <c r="CQ47" s="52" t="s">
        <v>540</v>
      </c>
      <c r="CR47" s="52">
        <v>60</v>
      </c>
      <c r="CS47" s="52"/>
      <c r="CT47" s="52"/>
      <c r="CU47" s="52"/>
      <c r="CV47" s="52"/>
      <c r="CW47" s="52"/>
      <c r="CX47" s="52"/>
      <c r="CY47" s="52"/>
      <c r="CZ47" s="52"/>
      <c r="DA47" s="52"/>
      <c r="DB47" s="52"/>
    </row>
    <row r="48" spans="1:106" ht="16.5" x14ac:dyDescent="0.2">
      <c r="A48" s="18">
        <v>44</v>
      </c>
      <c r="B48" s="63">
        <v>7</v>
      </c>
      <c r="C48" s="39">
        <v>60</v>
      </c>
      <c r="D48" s="26">
        <f>INDEX(章节关卡!$C$6:$C$20,芦花古楼!B48)*芦花古楼!C48</f>
        <v>1500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3000</v>
      </c>
      <c r="H48" s="15">
        <v>150</v>
      </c>
      <c r="K48" s="18">
        <v>44</v>
      </c>
      <c r="L48" s="63">
        <v>9</v>
      </c>
      <c r="M48" s="39">
        <v>120</v>
      </c>
      <c r="N48" s="26">
        <f>INDEX(章节关卡!$C$6:$C$20,芦花古楼!L48)*芦花古楼!M48</f>
        <v>4320</v>
      </c>
      <c r="O48" s="23">
        <f t="shared" si="4"/>
        <v>50</v>
      </c>
      <c r="P48" s="23">
        <f t="shared" si="5"/>
        <v>60</v>
      </c>
      <c r="Q48" s="15">
        <f>INDEX(章节关卡!$E$6:$E$20,芦花古楼!L48)*芦花古楼!M48</f>
        <v>8640</v>
      </c>
      <c r="R48" s="15">
        <v>150</v>
      </c>
      <c r="U48" s="18">
        <v>44</v>
      </c>
      <c r="V48" s="26">
        <v>10</v>
      </c>
      <c r="W48" s="39">
        <v>180</v>
      </c>
      <c r="X48" s="26">
        <f>INDEX(章节关卡!$C$6:$C$20,芦花古楼!V48)*芦花古楼!W48</f>
        <v>7920</v>
      </c>
      <c r="Y48" s="23">
        <f t="shared" si="25"/>
        <v>55</v>
      </c>
      <c r="Z48" s="23">
        <f t="shared" si="26"/>
        <v>60</v>
      </c>
      <c r="AA48" s="15">
        <f>INDEX(章节关卡!$E$6:$E$20,芦花古楼!V48)*芦花古楼!W48</f>
        <v>16200</v>
      </c>
      <c r="AB48" s="15">
        <v>150</v>
      </c>
      <c r="AE48" s="18">
        <v>44</v>
      </c>
      <c r="AF48" s="63">
        <v>10</v>
      </c>
      <c r="AG48" s="39">
        <v>180</v>
      </c>
      <c r="AH48" s="26">
        <f>INDEX(章节关卡!$C$6:$C$20,芦花古楼!AF48)*芦花古楼!AG48</f>
        <v>7920</v>
      </c>
      <c r="AI48" s="23">
        <f t="shared" si="6"/>
        <v>60</v>
      </c>
      <c r="AJ48" s="23">
        <f t="shared" si="7"/>
        <v>60</v>
      </c>
      <c r="AK48" s="15">
        <f>INDEX(章节关卡!$E$6:$E$20,芦花古楼!AF48)*芦花古楼!AG48</f>
        <v>16200</v>
      </c>
      <c r="AL48" s="15">
        <v>150</v>
      </c>
      <c r="AO48" s="19">
        <v>43</v>
      </c>
      <c r="AP48" s="19">
        <v>9</v>
      </c>
      <c r="AR48" s="19">
        <v>43</v>
      </c>
      <c r="AS48" s="19">
        <f t="shared" si="11"/>
        <v>10</v>
      </c>
      <c r="AU48" s="19">
        <v>43</v>
      </c>
      <c r="AV48" s="19">
        <f t="shared" si="12"/>
        <v>11</v>
      </c>
      <c r="AX48" s="19">
        <v>43</v>
      </c>
      <c r="AY48" s="19">
        <f t="shared" si="13"/>
        <v>12</v>
      </c>
      <c r="BB48" s="19">
        <v>43</v>
      </c>
      <c r="BC48" s="15">
        <f t="shared" si="27"/>
        <v>180</v>
      </c>
      <c r="BD48" s="15">
        <f t="shared" si="28"/>
        <v>380</v>
      </c>
      <c r="BE48" s="15">
        <f t="shared" si="29"/>
        <v>36600</v>
      </c>
      <c r="BF48" s="15">
        <f t="shared" si="14"/>
        <v>800</v>
      </c>
      <c r="BL48" s="23">
        <v>30</v>
      </c>
      <c r="BM48" s="23"/>
      <c r="BN48" s="21">
        <f t="shared" si="30"/>
        <v>0.12481639468775524</v>
      </c>
      <c r="BO48" s="15">
        <f t="shared" si="31"/>
        <v>0</v>
      </c>
      <c r="BP48" s="15">
        <f t="shared" si="32"/>
        <v>0</v>
      </c>
      <c r="BQ48" s="15">
        <f t="shared" si="33"/>
        <v>0</v>
      </c>
      <c r="BR48" s="15">
        <f t="shared" si="34"/>
        <v>0</v>
      </c>
      <c r="BS48" s="15">
        <f t="shared" si="35"/>
        <v>0</v>
      </c>
      <c r="BT48" s="15">
        <f t="shared" si="36"/>
        <v>0</v>
      </c>
      <c r="BU48" s="15">
        <f t="shared" si="37"/>
        <v>0</v>
      </c>
      <c r="BW48" s="23">
        <v>30</v>
      </c>
      <c r="BX48" s="23">
        <v>25</v>
      </c>
      <c r="CD48" s="52">
        <v>44</v>
      </c>
      <c r="CE48" s="52">
        <v>1</v>
      </c>
      <c r="CF48" s="54" t="s">
        <v>538</v>
      </c>
      <c r="CG48" s="52">
        <v>44</v>
      </c>
      <c r="CH48" s="52"/>
      <c r="CI48" s="52"/>
      <c r="CJ48" s="52"/>
      <c r="CK48" s="52" t="s">
        <v>539</v>
      </c>
      <c r="CL48" s="52">
        <v>3600</v>
      </c>
      <c r="CM48" s="52" t="s">
        <v>540</v>
      </c>
      <c r="CN48" s="52">
        <v>45</v>
      </c>
      <c r="CO48" s="52"/>
      <c r="CP48" s="52"/>
      <c r="CQ48" s="52" t="s">
        <v>540</v>
      </c>
      <c r="CR48" s="52">
        <v>60</v>
      </c>
      <c r="CS48" s="52"/>
      <c r="CT48" s="52"/>
      <c r="CU48" s="52"/>
      <c r="CV48" s="52"/>
      <c r="CW48" s="52"/>
      <c r="CX48" s="52"/>
      <c r="CY48" s="52"/>
      <c r="CZ48" s="52"/>
      <c r="DA48" s="52"/>
      <c r="DB48" s="52"/>
    </row>
    <row r="49" spans="1:106" ht="16.5" x14ac:dyDescent="0.2">
      <c r="A49" s="18">
        <v>45</v>
      </c>
      <c r="B49" s="63">
        <v>7</v>
      </c>
      <c r="C49" s="39">
        <v>60</v>
      </c>
      <c r="D49" s="26">
        <f>INDEX(章节关卡!$C$6:$C$20,芦花古楼!B49)*芦花古楼!C49</f>
        <v>1500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3000</v>
      </c>
      <c r="H49" s="15">
        <v>150</v>
      </c>
      <c r="K49" s="18">
        <v>45</v>
      </c>
      <c r="L49" s="63">
        <v>9</v>
      </c>
      <c r="M49" s="39">
        <v>120</v>
      </c>
      <c r="N49" s="26">
        <f>INDEX(章节关卡!$C$6:$C$20,芦花古楼!L49)*芦花古楼!M49</f>
        <v>4320</v>
      </c>
      <c r="O49" s="23">
        <f t="shared" si="4"/>
        <v>50</v>
      </c>
      <c r="P49" s="23">
        <f t="shared" si="5"/>
        <v>65</v>
      </c>
      <c r="Q49" s="15">
        <f>INDEX(章节关卡!$E$6:$E$20,芦花古楼!L49)*芦花古楼!M49</f>
        <v>8640</v>
      </c>
      <c r="R49" s="15">
        <v>150</v>
      </c>
      <c r="U49" s="18">
        <v>45</v>
      </c>
      <c r="V49" s="26">
        <v>11</v>
      </c>
      <c r="W49" s="39">
        <v>180</v>
      </c>
      <c r="X49" s="26">
        <f>INDEX(章节关卡!$C$6:$C$20,芦花古楼!V49)*芦花古楼!W49</f>
        <v>9540</v>
      </c>
      <c r="Y49" s="23">
        <f t="shared" si="25"/>
        <v>55</v>
      </c>
      <c r="Z49" s="23">
        <f t="shared" si="26"/>
        <v>65</v>
      </c>
      <c r="AA49" s="15">
        <f>INDEX(章节关卡!$E$6:$E$20,芦花古楼!V49)*芦花古楼!W49</f>
        <v>19800</v>
      </c>
      <c r="AB49" s="15">
        <v>150</v>
      </c>
      <c r="AE49" s="18">
        <v>45</v>
      </c>
      <c r="AF49" s="63">
        <v>11</v>
      </c>
      <c r="AG49" s="39">
        <v>180</v>
      </c>
      <c r="AH49" s="26">
        <f>INDEX(章节关卡!$C$6:$C$20,芦花古楼!AF49)*芦花古楼!AG49</f>
        <v>9540</v>
      </c>
      <c r="AI49" s="23">
        <f t="shared" si="6"/>
        <v>60</v>
      </c>
      <c r="AJ49" s="23">
        <f t="shared" si="7"/>
        <v>65</v>
      </c>
      <c r="AK49" s="15">
        <f>INDEX(章节关卡!$E$6:$E$20,芦花古楼!AF49)*芦花古楼!AG49</f>
        <v>19800</v>
      </c>
      <c r="AL49" s="15">
        <v>150</v>
      </c>
      <c r="AO49" s="19">
        <v>44</v>
      </c>
      <c r="AP49" s="19">
        <v>9</v>
      </c>
      <c r="AR49" s="19">
        <v>44</v>
      </c>
      <c r="AS49" s="19">
        <f t="shared" si="11"/>
        <v>10</v>
      </c>
      <c r="AU49" s="19">
        <v>44</v>
      </c>
      <c r="AV49" s="19">
        <f t="shared" si="12"/>
        <v>11</v>
      </c>
      <c r="AX49" s="19">
        <v>44</v>
      </c>
      <c r="AY49" s="19">
        <f t="shared" si="13"/>
        <v>12</v>
      </c>
      <c r="BB49" s="19">
        <v>44</v>
      </c>
      <c r="BC49" s="15">
        <f t="shared" si="27"/>
        <v>170</v>
      </c>
      <c r="BD49" s="15">
        <f t="shared" si="28"/>
        <v>380</v>
      </c>
      <c r="BE49" s="15">
        <f t="shared" si="29"/>
        <v>27720</v>
      </c>
      <c r="BF49" s="15">
        <f t="shared" si="14"/>
        <v>800</v>
      </c>
      <c r="BL49" s="23">
        <v>31</v>
      </c>
      <c r="BM49" s="23"/>
      <c r="BN49" s="21">
        <f t="shared" si="30"/>
        <v>0.13729803415653077</v>
      </c>
      <c r="BO49" s="15">
        <f t="shared" si="31"/>
        <v>0</v>
      </c>
      <c r="BP49" s="15">
        <f t="shared" si="32"/>
        <v>0</v>
      </c>
      <c r="BQ49" s="15">
        <f t="shared" si="33"/>
        <v>0</v>
      </c>
      <c r="BR49" s="15">
        <f t="shared" si="34"/>
        <v>0</v>
      </c>
      <c r="BS49" s="15">
        <f t="shared" si="35"/>
        <v>0</v>
      </c>
      <c r="BT49" s="15">
        <f t="shared" si="36"/>
        <v>0</v>
      </c>
      <c r="BU49" s="15">
        <f t="shared" si="37"/>
        <v>0</v>
      </c>
      <c r="BW49" s="23">
        <v>31</v>
      </c>
      <c r="BX49" s="23">
        <v>30</v>
      </c>
      <c r="CD49" s="52">
        <v>45</v>
      </c>
      <c r="CE49" s="52">
        <v>1</v>
      </c>
      <c r="CF49" s="54" t="s">
        <v>538</v>
      </c>
      <c r="CG49" s="52">
        <v>45</v>
      </c>
      <c r="CH49" s="52"/>
      <c r="CI49" s="52"/>
      <c r="CJ49" s="52"/>
      <c r="CK49" s="52" t="s">
        <v>539</v>
      </c>
      <c r="CL49" s="52">
        <v>4320</v>
      </c>
      <c r="CM49" s="52" t="s">
        <v>540</v>
      </c>
      <c r="CN49" s="52">
        <v>45</v>
      </c>
      <c r="CO49" s="52"/>
      <c r="CP49" s="52"/>
      <c r="CQ49" s="52" t="s">
        <v>540</v>
      </c>
      <c r="CR49" s="52">
        <v>65</v>
      </c>
      <c r="CS49" s="52"/>
      <c r="CT49" s="52"/>
      <c r="CU49" s="52"/>
      <c r="CV49" s="52"/>
      <c r="CW49" s="52"/>
      <c r="CX49" s="52"/>
      <c r="CY49" s="52"/>
      <c r="CZ49" s="52"/>
      <c r="DA49" s="52"/>
      <c r="DB49" s="52"/>
    </row>
    <row r="50" spans="1:106" ht="16.5" x14ac:dyDescent="0.2">
      <c r="A50" s="18">
        <v>46</v>
      </c>
      <c r="B50" s="63">
        <v>7</v>
      </c>
      <c r="C50" s="39">
        <v>60</v>
      </c>
      <c r="D50" s="26">
        <f>INDEX(章节关卡!$C$6:$C$20,芦花古楼!B50)*芦花古楼!C50</f>
        <v>1500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3000</v>
      </c>
      <c r="H50" s="15">
        <v>150</v>
      </c>
      <c r="K50" s="18">
        <v>46</v>
      </c>
      <c r="L50" s="63">
        <v>9</v>
      </c>
      <c r="M50" s="39">
        <v>120</v>
      </c>
      <c r="N50" s="26">
        <f>INDEX(章节关卡!$C$6:$C$20,芦花古楼!L50)*芦花古楼!M50</f>
        <v>4320</v>
      </c>
      <c r="O50" s="23">
        <f t="shared" si="4"/>
        <v>55</v>
      </c>
      <c r="P50" s="23">
        <f t="shared" si="5"/>
        <v>65</v>
      </c>
      <c r="Q50" s="15">
        <f>INDEX(章节关卡!$E$6:$E$20,芦花古楼!L50)*芦花古楼!M50</f>
        <v>8640</v>
      </c>
      <c r="R50" s="15">
        <v>150</v>
      </c>
      <c r="U50" s="18">
        <v>46</v>
      </c>
      <c r="V50" s="63">
        <v>11</v>
      </c>
      <c r="W50" s="39">
        <v>180</v>
      </c>
      <c r="X50" s="26">
        <f>INDEX(章节关卡!$C$6:$C$20,芦花古楼!V50)*芦花古楼!W50</f>
        <v>9540</v>
      </c>
      <c r="Y50" s="23">
        <f t="shared" si="25"/>
        <v>60</v>
      </c>
      <c r="Z50" s="23">
        <f t="shared" si="26"/>
        <v>65</v>
      </c>
      <c r="AA50" s="15">
        <f>INDEX(章节关卡!$E$6:$E$20,芦花古楼!V50)*芦花古楼!W50</f>
        <v>19800</v>
      </c>
      <c r="AB50" s="15">
        <v>150</v>
      </c>
      <c r="AE50" s="18">
        <v>46</v>
      </c>
      <c r="AF50" s="63">
        <v>11</v>
      </c>
      <c r="AG50" s="39">
        <v>180</v>
      </c>
      <c r="AH50" s="26">
        <f>INDEX(章节关卡!$C$6:$C$20,芦花古楼!AF50)*芦花古楼!AG50</f>
        <v>9540</v>
      </c>
      <c r="AI50" s="23">
        <f t="shared" si="6"/>
        <v>65</v>
      </c>
      <c r="AJ50" s="23">
        <f t="shared" si="7"/>
        <v>65</v>
      </c>
      <c r="AK50" s="15">
        <f>INDEX(章节关卡!$E$6:$E$20,芦花古楼!AF50)*芦花古楼!AG50</f>
        <v>19800</v>
      </c>
      <c r="AL50" s="15">
        <v>150</v>
      </c>
      <c r="AO50" s="19">
        <v>45</v>
      </c>
      <c r="AP50" s="19">
        <v>11</v>
      </c>
      <c r="AR50" s="19">
        <v>45</v>
      </c>
      <c r="AS50" s="19">
        <f t="shared" si="11"/>
        <v>12</v>
      </c>
      <c r="AU50" s="19">
        <v>45</v>
      </c>
      <c r="AV50" s="19">
        <f t="shared" si="12"/>
        <v>13</v>
      </c>
      <c r="AX50" s="19">
        <v>45</v>
      </c>
      <c r="AY50" s="19">
        <f t="shared" si="13"/>
        <v>14</v>
      </c>
      <c r="BB50" s="19">
        <v>45</v>
      </c>
      <c r="BC50" s="15">
        <f t="shared" si="27"/>
        <v>180</v>
      </c>
      <c r="BD50" s="15">
        <f t="shared" si="28"/>
        <v>380</v>
      </c>
      <c r="BE50" s="15">
        <f t="shared" si="29"/>
        <v>36600</v>
      </c>
      <c r="BF50" s="15">
        <f t="shared" si="14"/>
        <v>800</v>
      </c>
      <c r="BL50" s="23">
        <v>32</v>
      </c>
      <c r="BM50" s="23"/>
      <c r="BN50" s="21">
        <f t="shared" si="30"/>
        <v>0.15102783757218385</v>
      </c>
      <c r="BO50" s="15">
        <f t="shared" si="31"/>
        <v>0</v>
      </c>
      <c r="BP50" s="15">
        <f t="shared" si="32"/>
        <v>0</v>
      </c>
      <c r="BQ50" s="15">
        <f t="shared" si="33"/>
        <v>0</v>
      </c>
      <c r="BR50" s="15">
        <f t="shared" si="34"/>
        <v>0</v>
      </c>
      <c r="BS50" s="15">
        <f t="shared" si="35"/>
        <v>0</v>
      </c>
      <c r="BT50" s="15">
        <f t="shared" si="36"/>
        <v>0</v>
      </c>
      <c r="BU50" s="15">
        <f t="shared" si="37"/>
        <v>0</v>
      </c>
      <c r="BW50" s="23">
        <v>32</v>
      </c>
      <c r="BX50" s="23">
        <v>30</v>
      </c>
      <c r="CD50" s="52">
        <v>46</v>
      </c>
      <c r="CE50" s="52">
        <v>1</v>
      </c>
      <c r="CF50" s="54" t="s">
        <v>538</v>
      </c>
      <c r="CG50" s="52">
        <v>46</v>
      </c>
      <c r="CH50" s="52"/>
      <c r="CI50" s="52"/>
      <c r="CJ50" s="52"/>
      <c r="CK50" s="52" t="s">
        <v>539</v>
      </c>
      <c r="CL50" s="52">
        <v>4320</v>
      </c>
      <c r="CM50" s="52" t="s">
        <v>540</v>
      </c>
      <c r="CN50" s="52">
        <v>50</v>
      </c>
      <c r="CO50" s="52"/>
      <c r="CP50" s="52"/>
      <c r="CQ50" s="52" t="s">
        <v>540</v>
      </c>
      <c r="CR50" s="52">
        <v>65</v>
      </c>
      <c r="CS50" s="52"/>
      <c r="CT50" s="52"/>
      <c r="CU50" s="52"/>
      <c r="CV50" s="52"/>
      <c r="CW50" s="52"/>
      <c r="CX50" s="52"/>
      <c r="CY50" s="52"/>
      <c r="CZ50" s="52"/>
      <c r="DA50" s="52"/>
      <c r="DB50" s="52"/>
    </row>
    <row r="51" spans="1:106" ht="16.5" x14ac:dyDescent="0.2">
      <c r="A51" s="18">
        <v>47</v>
      </c>
      <c r="B51" s="63">
        <v>7</v>
      </c>
      <c r="C51" s="39">
        <v>60</v>
      </c>
      <c r="D51" s="26">
        <f>INDEX(章节关卡!$C$6:$C$20,芦花古楼!B51)*芦花古楼!C51</f>
        <v>1500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3000</v>
      </c>
      <c r="H51" s="15">
        <v>150</v>
      </c>
      <c r="K51" s="18">
        <v>47</v>
      </c>
      <c r="L51" s="63">
        <v>9</v>
      </c>
      <c r="M51" s="39">
        <v>120</v>
      </c>
      <c r="N51" s="26">
        <f>INDEX(章节关卡!$C$6:$C$20,芦花古楼!L51)*芦花古楼!M51</f>
        <v>4320</v>
      </c>
      <c r="O51" s="23">
        <f t="shared" si="4"/>
        <v>55</v>
      </c>
      <c r="P51" s="23">
        <f t="shared" si="5"/>
        <v>65</v>
      </c>
      <c r="Q51" s="15">
        <f>INDEX(章节关卡!$E$6:$E$20,芦花古楼!L51)*芦花古楼!M51</f>
        <v>8640</v>
      </c>
      <c r="R51" s="15">
        <v>150</v>
      </c>
      <c r="U51" s="18">
        <v>47</v>
      </c>
      <c r="V51" s="63">
        <v>11</v>
      </c>
      <c r="W51" s="39">
        <v>180</v>
      </c>
      <c r="X51" s="26">
        <f>INDEX(章节关卡!$C$6:$C$20,芦花古楼!V51)*芦花古楼!W51</f>
        <v>9540</v>
      </c>
      <c r="Y51" s="23">
        <f t="shared" si="25"/>
        <v>60</v>
      </c>
      <c r="Z51" s="23">
        <f t="shared" si="26"/>
        <v>65</v>
      </c>
      <c r="AA51" s="15">
        <f>INDEX(章节关卡!$E$6:$E$20,芦花古楼!V51)*芦花古楼!W51</f>
        <v>19800</v>
      </c>
      <c r="AB51" s="15">
        <v>150</v>
      </c>
      <c r="AE51" s="18">
        <v>47</v>
      </c>
      <c r="AF51" s="63">
        <v>11</v>
      </c>
      <c r="AG51" s="39">
        <v>180</v>
      </c>
      <c r="AH51" s="26">
        <f>INDEX(章节关卡!$C$6:$C$20,芦花古楼!AF51)*芦花古楼!AG51</f>
        <v>9540</v>
      </c>
      <c r="AI51" s="23">
        <f t="shared" si="6"/>
        <v>65</v>
      </c>
      <c r="AJ51" s="23">
        <f t="shared" si="7"/>
        <v>65</v>
      </c>
      <c r="AK51" s="15">
        <f>INDEX(章节关卡!$E$6:$E$20,芦花古楼!AF51)*芦花古楼!AG51</f>
        <v>19800</v>
      </c>
      <c r="AL51" s="15">
        <v>150</v>
      </c>
      <c r="AO51" s="19">
        <v>46</v>
      </c>
      <c r="AP51" s="19">
        <v>11</v>
      </c>
      <c r="AR51" s="19">
        <v>46</v>
      </c>
      <c r="AS51" s="19">
        <f t="shared" si="11"/>
        <v>12</v>
      </c>
      <c r="AU51" s="19">
        <v>46</v>
      </c>
      <c r="AV51" s="19">
        <f t="shared" si="12"/>
        <v>13</v>
      </c>
      <c r="AX51" s="19">
        <v>46</v>
      </c>
      <c r="AY51" s="19">
        <f t="shared" si="13"/>
        <v>14</v>
      </c>
      <c r="BB51" s="19">
        <v>46</v>
      </c>
      <c r="BC51" s="15">
        <f t="shared" si="27"/>
        <v>170</v>
      </c>
      <c r="BD51" s="15">
        <f t="shared" si="28"/>
        <v>385</v>
      </c>
      <c r="BE51" s="15">
        <f t="shared" si="29"/>
        <v>28800</v>
      </c>
      <c r="BF51" s="15">
        <f t="shared" si="14"/>
        <v>850</v>
      </c>
      <c r="BL51" s="23">
        <v>33</v>
      </c>
      <c r="BM51" s="23"/>
      <c r="BN51" s="21">
        <f t="shared" si="30"/>
        <v>0.16613062132940226</v>
      </c>
      <c r="BO51" s="15">
        <f t="shared" si="31"/>
        <v>0</v>
      </c>
      <c r="BP51" s="15">
        <f t="shared" si="32"/>
        <v>0</v>
      </c>
      <c r="BQ51" s="15">
        <f t="shared" si="33"/>
        <v>0</v>
      </c>
      <c r="BR51" s="15">
        <f t="shared" si="34"/>
        <v>0</v>
      </c>
      <c r="BS51" s="15">
        <f t="shared" si="35"/>
        <v>0</v>
      </c>
      <c r="BT51" s="15">
        <f t="shared" si="36"/>
        <v>0</v>
      </c>
      <c r="BU51" s="15">
        <f t="shared" si="37"/>
        <v>0</v>
      </c>
      <c r="BW51" s="23">
        <v>33</v>
      </c>
      <c r="BX51" s="23">
        <v>30</v>
      </c>
      <c r="CD51" s="52">
        <v>47</v>
      </c>
      <c r="CE51" s="52">
        <v>1</v>
      </c>
      <c r="CF51" s="54" t="s">
        <v>538</v>
      </c>
      <c r="CG51" s="52">
        <v>47</v>
      </c>
      <c r="CH51" s="52"/>
      <c r="CI51" s="52"/>
      <c r="CJ51" s="52"/>
      <c r="CK51" s="52" t="s">
        <v>539</v>
      </c>
      <c r="CL51" s="52">
        <v>4320</v>
      </c>
      <c r="CM51" s="52" t="s">
        <v>540</v>
      </c>
      <c r="CN51" s="52">
        <v>50</v>
      </c>
      <c r="CO51" s="52"/>
      <c r="CP51" s="52"/>
      <c r="CQ51" s="52" t="s">
        <v>540</v>
      </c>
      <c r="CR51" s="52">
        <v>65</v>
      </c>
      <c r="CS51" s="52"/>
      <c r="CT51" s="52"/>
      <c r="CU51" s="52"/>
      <c r="CV51" s="52"/>
      <c r="CW51" s="52"/>
      <c r="CX51" s="52"/>
      <c r="CY51" s="52"/>
      <c r="CZ51" s="52"/>
      <c r="DA51" s="52"/>
      <c r="DB51" s="52"/>
    </row>
    <row r="52" spans="1:106" ht="16.5" x14ac:dyDescent="0.2">
      <c r="A52" s="18">
        <v>48</v>
      </c>
      <c r="B52" s="63">
        <v>7</v>
      </c>
      <c r="C52" s="39">
        <v>60</v>
      </c>
      <c r="D52" s="26">
        <f>INDEX(章节关卡!$C$6:$C$20,芦花古楼!B52)*芦花古楼!C52</f>
        <v>1500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3000</v>
      </c>
      <c r="H52" s="15">
        <v>150</v>
      </c>
      <c r="K52" s="18">
        <v>48</v>
      </c>
      <c r="L52" s="63">
        <v>9</v>
      </c>
      <c r="M52" s="39">
        <v>120</v>
      </c>
      <c r="N52" s="26">
        <f>INDEX(章节关卡!$C$6:$C$20,芦花古楼!L52)*芦花古楼!M52</f>
        <v>4320</v>
      </c>
      <c r="O52" s="23">
        <f t="shared" si="4"/>
        <v>55</v>
      </c>
      <c r="P52" s="23">
        <f t="shared" si="5"/>
        <v>65</v>
      </c>
      <c r="Q52" s="15">
        <f>INDEX(章节关卡!$E$6:$E$20,芦花古楼!L52)*芦花古楼!M52</f>
        <v>8640</v>
      </c>
      <c r="R52" s="15">
        <v>150</v>
      </c>
      <c r="U52" s="18">
        <v>48</v>
      </c>
      <c r="V52" s="63">
        <v>11</v>
      </c>
      <c r="W52" s="39">
        <v>180</v>
      </c>
      <c r="X52" s="26">
        <f>INDEX(章节关卡!$C$6:$C$20,芦花古楼!V52)*芦花古楼!W52</f>
        <v>9540</v>
      </c>
      <c r="Y52" s="23">
        <f t="shared" si="25"/>
        <v>60</v>
      </c>
      <c r="Z52" s="23">
        <f t="shared" si="26"/>
        <v>65</v>
      </c>
      <c r="AA52" s="15">
        <f>INDEX(章节关卡!$E$6:$E$20,芦花古楼!V52)*芦花古楼!W52</f>
        <v>19800</v>
      </c>
      <c r="AB52" s="15">
        <v>150</v>
      </c>
      <c r="AE52" s="18">
        <v>48</v>
      </c>
      <c r="AF52" s="63">
        <v>11</v>
      </c>
      <c r="AG52" s="39">
        <v>180</v>
      </c>
      <c r="AH52" s="26">
        <f>INDEX(章节关卡!$C$6:$C$20,芦花古楼!AF52)*芦花古楼!AG52</f>
        <v>9540</v>
      </c>
      <c r="AI52" s="23">
        <f t="shared" si="6"/>
        <v>65</v>
      </c>
      <c r="AJ52" s="23">
        <f t="shared" si="7"/>
        <v>65</v>
      </c>
      <c r="AK52" s="15">
        <f>INDEX(章节关卡!$E$6:$E$20,芦花古楼!AF52)*芦花古楼!AG52</f>
        <v>19800</v>
      </c>
      <c r="AL52" s="15">
        <v>150</v>
      </c>
      <c r="AO52" s="19">
        <v>47</v>
      </c>
      <c r="AP52" s="19">
        <v>12</v>
      </c>
      <c r="AR52" s="19">
        <v>47</v>
      </c>
      <c r="AS52" s="19">
        <f t="shared" si="11"/>
        <v>13</v>
      </c>
      <c r="AU52" s="19">
        <v>47</v>
      </c>
      <c r="AV52" s="19">
        <f t="shared" si="12"/>
        <v>14</v>
      </c>
      <c r="AX52" s="19">
        <v>47</v>
      </c>
      <c r="AY52" s="19">
        <f t="shared" si="13"/>
        <v>15</v>
      </c>
      <c r="BB52" s="19">
        <v>47</v>
      </c>
      <c r="BC52" s="15">
        <f t="shared" si="27"/>
        <v>180</v>
      </c>
      <c r="BD52" s="15">
        <f t="shared" si="28"/>
        <v>390</v>
      </c>
      <c r="BE52" s="15">
        <f t="shared" si="29"/>
        <v>36600</v>
      </c>
      <c r="BF52" s="15">
        <f t="shared" si="14"/>
        <v>900</v>
      </c>
      <c r="BL52" s="23">
        <v>34</v>
      </c>
      <c r="BM52" s="23"/>
      <c r="BN52" s="21">
        <f t="shared" si="30"/>
        <v>0.18274368346234252</v>
      </c>
      <c r="BO52" s="15">
        <f t="shared" si="31"/>
        <v>0</v>
      </c>
      <c r="BP52" s="15">
        <f t="shared" si="32"/>
        <v>0</v>
      </c>
      <c r="BQ52" s="15">
        <f t="shared" si="33"/>
        <v>0</v>
      </c>
      <c r="BR52" s="15">
        <f t="shared" si="34"/>
        <v>0</v>
      </c>
      <c r="BS52" s="15">
        <f t="shared" si="35"/>
        <v>0</v>
      </c>
      <c r="BT52" s="15">
        <f t="shared" si="36"/>
        <v>0</v>
      </c>
      <c r="BU52" s="15">
        <f t="shared" si="37"/>
        <v>0</v>
      </c>
      <c r="BW52" s="23">
        <v>34</v>
      </c>
      <c r="BX52" s="23">
        <v>30</v>
      </c>
      <c r="CD52" s="52">
        <v>48</v>
      </c>
      <c r="CE52" s="52">
        <v>1</v>
      </c>
      <c r="CF52" s="54" t="s">
        <v>538</v>
      </c>
      <c r="CG52" s="52">
        <v>48</v>
      </c>
      <c r="CH52" s="52"/>
      <c r="CI52" s="52"/>
      <c r="CJ52" s="52"/>
      <c r="CK52" s="52" t="s">
        <v>539</v>
      </c>
      <c r="CL52" s="52">
        <v>4320</v>
      </c>
      <c r="CM52" s="52" t="s">
        <v>540</v>
      </c>
      <c r="CN52" s="52">
        <v>50</v>
      </c>
      <c r="CO52" s="52"/>
      <c r="CP52" s="52"/>
      <c r="CQ52" s="52" t="s">
        <v>540</v>
      </c>
      <c r="CR52" s="52">
        <v>65</v>
      </c>
      <c r="CS52" s="52"/>
      <c r="CT52" s="52"/>
      <c r="CU52" s="52"/>
      <c r="CV52" s="52"/>
      <c r="CW52" s="52"/>
      <c r="CX52" s="52"/>
      <c r="CY52" s="52"/>
      <c r="CZ52" s="52"/>
      <c r="DA52" s="52"/>
      <c r="DB52" s="52"/>
    </row>
    <row r="53" spans="1:106" ht="16.5" x14ac:dyDescent="0.2">
      <c r="A53" s="18">
        <v>49</v>
      </c>
      <c r="B53" s="63">
        <v>7</v>
      </c>
      <c r="C53" s="39">
        <v>60</v>
      </c>
      <c r="D53" s="26">
        <f>INDEX(章节关卡!$C$6:$C$20,芦花古楼!B53)*芦花古楼!C53</f>
        <v>1500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3000</v>
      </c>
      <c r="H53" s="15">
        <v>150</v>
      </c>
      <c r="K53" s="18">
        <v>49</v>
      </c>
      <c r="L53" s="63">
        <v>9</v>
      </c>
      <c r="M53" s="39">
        <v>120</v>
      </c>
      <c r="N53" s="26">
        <f>INDEX(章节关卡!$C$6:$C$20,芦花古楼!L53)*芦花古楼!M53</f>
        <v>4320</v>
      </c>
      <c r="O53" s="23">
        <f t="shared" si="4"/>
        <v>55</v>
      </c>
      <c r="P53" s="23">
        <f t="shared" si="5"/>
        <v>65</v>
      </c>
      <c r="Q53" s="15">
        <f>INDEX(章节关卡!$E$6:$E$20,芦花古楼!L53)*芦花古楼!M53</f>
        <v>8640</v>
      </c>
      <c r="R53" s="15">
        <v>150</v>
      </c>
      <c r="U53" s="18">
        <v>49</v>
      </c>
      <c r="V53" s="63">
        <v>11</v>
      </c>
      <c r="W53" s="39">
        <v>180</v>
      </c>
      <c r="X53" s="26">
        <f>INDEX(章节关卡!$C$6:$C$20,芦花古楼!V53)*芦花古楼!W53</f>
        <v>9540</v>
      </c>
      <c r="Y53" s="23">
        <f t="shared" si="25"/>
        <v>60</v>
      </c>
      <c r="Z53" s="23">
        <f t="shared" si="26"/>
        <v>65</v>
      </c>
      <c r="AA53" s="15">
        <f>INDEX(章节关卡!$E$6:$E$20,芦花古楼!V53)*芦花古楼!W53</f>
        <v>19800</v>
      </c>
      <c r="AB53" s="15">
        <v>150</v>
      </c>
      <c r="AE53" s="18">
        <v>49</v>
      </c>
      <c r="AF53" s="63">
        <v>11</v>
      </c>
      <c r="AG53" s="39">
        <v>180</v>
      </c>
      <c r="AH53" s="26">
        <f>INDEX(章节关卡!$C$6:$C$20,芦花古楼!AF53)*芦花古楼!AG53</f>
        <v>9540</v>
      </c>
      <c r="AI53" s="23">
        <f t="shared" si="6"/>
        <v>65</v>
      </c>
      <c r="AJ53" s="23">
        <f t="shared" si="7"/>
        <v>65</v>
      </c>
      <c r="AK53" s="15">
        <f>INDEX(章节关卡!$E$6:$E$20,芦花古楼!AF53)*芦花古楼!AG53</f>
        <v>19800</v>
      </c>
      <c r="AL53" s="15">
        <v>150</v>
      </c>
      <c r="AO53" s="19">
        <v>48</v>
      </c>
      <c r="AP53" s="19">
        <v>12</v>
      </c>
      <c r="AR53" s="19">
        <v>48</v>
      </c>
      <c r="AS53" s="19">
        <f t="shared" si="11"/>
        <v>13</v>
      </c>
      <c r="AU53" s="19">
        <v>48</v>
      </c>
      <c r="AV53" s="19">
        <f t="shared" si="12"/>
        <v>14</v>
      </c>
      <c r="AX53" s="19">
        <v>48</v>
      </c>
      <c r="AY53" s="19">
        <f t="shared" si="13"/>
        <v>15</v>
      </c>
      <c r="BB53" s="19">
        <v>48</v>
      </c>
      <c r="BC53" s="15">
        <f t="shared" si="27"/>
        <v>175</v>
      </c>
      <c r="BD53" s="15">
        <f t="shared" si="28"/>
        <v>395</v>
      </c>
      <c r="BE53" s="15">
        <f t="shared" si="29"/>
        <v>32400</v>
      </c>
      <c r="BF53" s="15">
        <f t="shared" si="14"/>
        <v>950</v>
      </c>
      <c r="BL53" s="23">
        <v>35</v>
      </c>
      <c r="BM53" s="23"/>
      <c r="BN53" s="21">
        <f t="shared" si="30"/>
        <v>0.20101805180857679</v>
      </c>
      <c r="BO53" s="15">
        <f t="shared" si="31"/>
        <v>0</v>
      </c>
      <c r="BP53" s="15">
        <f t="shared" si="32"/>
        <v>0</v>
      </c>
      <c r="BQ53" s="15">
        <f t="shared" si="33"/>
        <v>0</v>
      </c>
      <c r="BR53" s="15">
        <f t="shared" si="34"/>
        <v>0</v>
      </c>
      <c r="BS53" s="15">
        <f t="shared" si="35"/>
        <v>0</v>
      </c>
      <c r="BT53" s="15">
        <f t="shared" si="36"/>
        <v>0</v>
      </c>
      <c r="BU53" s="15">
        <f t="shared" si="37"/>
        <v>0</v>
      </c>
      <c r="BW53" s="23">
        <v>35</v>
      </c>
      <c r="BX53" s="23">
        <v>30</v>
      </c>
      <c r="CD53" s="52">
        <v>49</v>
      </c>
      <c r="CE53" s="52">
        <v>1</v>
      </c>
      <c r="CF53" s="54" t="s">
        <v>538</v>
      </c>
      <c r="CG53" s="52">
        <v>49</v>
      </c>
      <c r="CH53" s="52"/>
      <c r="CI53" s="52"/>
      <c r="CJ53" s="52"/>
      <c r="CK53" s="52" t="s">
        <v>539</v>
      </c>
      <c r="CL53" s="52">
        <v>4320</v>
      </c>
      <c r="CM53" s="52" t="s">
        <v>540</v>
      </c>
      <c r="CN53" s="52">
        <v>50</v>
      </c>
      <c r="CO53" s="52"/>
      <c r="CP53" s="52"/>
      <c r="CQ53" s="52" t="s">
        <v>540</v>
      </c>
      <c r="CR53" s="52">
        <v>65</v>
      </c>
      <c r="CS53" s="52"/>
      <c r="CT53" s="52"/>
      <c r="CU53" s="52"/>
      <c r="CV53" s="52"/>
      <c r="CW53" s="52"/>
      <c r="CX53" s="52"/>
      <c r="CY53" s="52"/>
      <c r="CZ53" s="52"/>
      <c r="DA53" s="52"/>
      <c r="DB53" s="52"/>
    </row>
    <row r="54" spans="1:106" ht="16.5" x14ac:dyDescent="0.2">
      <c r="A54" s="18">
        <v>50</v>
      </c>
      <c r="B54" s="26">
        <v>8</v>
      </c>
      <c r="C54" s="39">
        <v>60</v>
      </c>
      <c r="D54" s="26">
        <f>INDEX(章节关卡!$C$6:$C$20,芦花古楼!B54)*芦花古楼!C54</f>
        <v>1800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3600</v>
      </c>
      <c r="H54" s="15">
        <v>150</v>
      </c>
      <c r="K54" s="18">
        <v>50</v>
      </c>
      <c r="L54" s="63">
        <v>9</v>
      </c>
      <c r="M54" s="39">
        <v>120</v>
      </c>
      <c r="N54" s="26">
        <f>INDEX(章节关卡!$C$6:$C$20,芦花古楼!L54)*芦花古楼!M54</f>
        <v>4320</v>
      </c>
      <c r="O54" s="23">
        <f t="shared" si="4"/>
        <v>55</v>
      </c>
      <c r="P54" s="23">
        <f t="shared" si="5"/>
        <v>70</v>
      </c>
      <c r="Q54" s="15">
        <f>INDEX(章节关卡!$E$6:$E$20,芦花古楼!L54)*芦花古楼!M54</f>
        <v>8640</v>
      </c>
      <c r="R54" s="15">
        <v>150</v>
      </c>
      <c r="U54" s="18">
        <v>50</v>
      </c>
      <c r="V54" s="63">
        <v>11</v>
      </c>
      <c r="W54" s="39">
        <v>180</v>
      </c>
      <c r="X54" s="26">
        <f>INDEX(章节关卡!$C$6:$C$20,芦花古楼!V54)*芦花古楼!W54</f>
        <v>9540</v>
      </c>
      <c r="Y54" s="23">
        <f t="shared" si="25"/>
        <v>60</v>
      </c>
      <c r="Z54" s="23">
        <f t="shared" si="26"/>
        <v>70</v>
      </c>
      <c r="AA54" s="15">
        <f>INDEX(章节关卡!$E$6:$E$20,芦花古楼!V54)*芦花古楼!W54</f>
        <v>19800</v>
      </c>
      <c r="AB54" s="15">
        <v>150</v>
      </c>
      <c r="AE54" s="18">
        <v>50</v>
      </c>
      <c r="AF54" s="63">
        <v>11</v>
      </c>
      <c r="AG54" s="39">
        <v>180</v>
      </c>
      <c r="AH54" s="26">
        <f>INDEX(章节关卡!$C$6:$C$20,芦花古楼!AF54)*芦花古楼!AG54</f>
        <v>9540</v>
      </c>
      <c r="AI54" s="23">
        <f t="shared" si="6"/>
        <v>65</v>
      </c>
      <c r="AJ54" s="23">
        <f t="shared" si="7"/>
        <v>70</v>
      </c>
      <c r="AK54" s="15">
        <f>INDEX(章节关卡!$E$6:$E$20,芦花古楼!AF54)*芦花古楼!AG54</f>
        <v>19800</v>
      </c>
      <c r="AL54" s="15">
        <v>150</v>
      </c>
      <c r="AO54" s="19">
        <v>49</v>
      </c>
      <c r="AP54" s="19">
        <v>13</v>
      </c>
      <c r="AR54" s="19">
        <v>49</v>
      </c>
      <c r="AS54" s="19">
        <f t="shared" si="11"/>
        <v>14</v>
      </c>
      <c r="AU54" s="19">
        <v>49</v>
      </c>
      <c r="AV54" s="19">
        <f t="shared" si="12"/>
        <v>15</v>
      </c>
      <c r="AX54" s="19">
        <v>49</v>
      </c>
      <c r="AY54" s="19">
        <f t="shared" si="13"/>
        <v>16</v>
      </c>
      <c r="BB54" s="19">
        <v>49</v>
      </c>
      <c r="BC54" s="15">
        <f t="shared" si="27"/>
        <v>185</v>
      </c>
      <c r="BD54" s="15">
        <f t="shared" si="28"/>
        <v>400</v>
      </c>
      <c r="BE54" s="15">
        <f t="shared" si="29"/>
        <v>40200</v>
      </c>
      <c r="BF54" s="15">
        <f t="shared" si="14"/>
        <v>1000</v>
      </c>
      <c r="BL54" s="23">
        <v>36</v>
      </c>
      <c r="BM54" s="23"/>
      <c r="BN54" s="21">
        <f t="shared" si="30"/>
        <v>0.22111985698943448</v>
      </c>
      <c r="BO54" s="15">
        <f t="shared" si="31"/>
        <v>0</v>
      </c>
      <c r="BP54" s="15">
        <f t="shared" si="32"/>
        <v>0</v>
      </c>
      <c r="BQ54" s="15">
        <f t="shared" si="33"/>
        <v>0</v>
      </c>
      <c r="BR54" s="15">
        <f t="shared" si="34"/>
        <v>0</v>
      </c>
      <c r="BS54" s="15">
        <f t="shared" si="35"/>
        <v>0</v>
      </c>
      <c r="BT54" s="15">
        <f t="shared" si="36"/>
        <v>0</v>
      </c>
      <c r="BU54" s="15">
        <f t="shared" si="37"/>
        <v>0</v>
      </c>
      <c r="BW54" s="23">
        <v>36</v>
      </c>
      <c r="BX54" s="23">
        <v>40</v>
      </c>
      <c r="CD54" s="52">
        <v>50</v>
      </c>
      <c r="CE54" s="52">
        <v>1</v>
      </c>
      <c r="CF54" s="54" t="s">
        <v>538</v>
      </c>
      <c r="CG54" s="52">
        <v>50</v>
      </c>
      <c r="CH54" s="52"/>
      <c r="CI54" s="52"/>
      <c r="CJ54" s="52"/>
      <c r="CK54" s="52" t="s">
        <v>539</v>
      </c>
      <c r="CL54" s="52">
        <v>4320</v>
      </c>
      <c r="CM54" s="52" t="s">
        <v>540</v>
      </c>
      <c r="CN54" s="52">
        <v>50</v>
      </c>
      <c r="CO54" s="52"/>
      <c r="CP54" s="52"/>
      <c r="CQ54" s="52" t="s">
        <v>540</v>
      </c>
      <c r="CR54" s="52">
        <v>70</v>
      </c>
      <c r="CS54" s="52"/>
      <c r="CT54" s="52"/>
      <c r="CU54" s="52"/>
      <c r="CV54" s="52"/>
      <c r="CW54" s="52"/>
      <c r="CX54" s="52"/>
      <c r="CY54" s="52"/>
      <c r="CZ54" s="52"/>
      <c r="DA54" s="52"/>
      <c r="DB54" s="52"/>
    </row>
    <row r="55" spans="1:106" ht="16.5" x14ac:dyDescent="0.2">
      <c r="A55" s="18">
        <v>51</v>
      </c>
      <c r="B55" s="63">
        <v>8</v>
      </c>
      <c r="C55" s="39">
        <v>60</v>
      </c>
      <c r="D55" s="26">
        <f>INDEX(章节关卡!$C$6:$C$20,芦花古楼!B55)*芦花古楼!C55</f>
        <v>1800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3600</v>
      </c>
      <c r="H55" s="15">
        <v>150</v>
      </c>
      <c r="K55" s="18">
        <v>51</v>
      </c>
      <c r="L55" s="63">
        <v>9</v>
      </c>
      <c r="M55" s="39">
        <v>120</v>
      </c>
      <c r="N55" s="26">
        <f>INDEX(章节关卡!$C$6:$C$20,芦花古楼!L55)*芦花古楼!M55</f>
        <v>4320</v>
      </c>
      <c r="O55" s="23">
        <f t="shared" si="4"/>
        <v>60</v>
      </c>
      <c r="P55" s="23">
        <f t="shared" si="5"/>
        <v>70</v>
      </c>
      <c r="Q55" s="15">
        <f>INDEX(章节关卡!$E$6:$E$20,芦花古楼!L55)*芦花古楼!M55</f>
        <v>8640</v>
      </c>
      <c r="R55" s="15">
        <v>150</v>
      </c>
      <c r="U55" s="18">
        <v>51</v>
      </c>
      <c r="V55" s="63">
        <v>11</v>
      </c>
      <c r="W55" s="39">
        <v>180</v>
      </c>
      <c r="X55" s="26">
        <f>INDEX(章节关卡!$C$6:$C$20,芦花古楼!V55)*芦花古楼!W55</f>
        <v>9540</v>
      </c>
      <c r="Y55" s="23">
        <f t="shared" si="25"/>
        <v>65</v>
      </c>
      <c r="Z55" s="23">
        <f t="shared" si="26"/>
        <v>70</v>
      </c>
      <c r="AA55" s="15">
        <f>INDEX(章节关卡!$E$6:$E$20,芦花古楼!V55)*芦花古楼!W55</f>
        <v>19800</v>
      </c>
      <c r="AB55" s="15">
        <v>150</v>
      </c>
      <c r="AE55" s="18">
        <v>51</v>
      </c>
      <c r="AF55" s="63">
        <v>11</v>
      </c>
      <c r="AG55" s="39">
        <v>180</v>
      </c>
      <c r="AH55" s="26">
        <f>INDEX(章节关卡!$C$6:$C$20,芦花古楼!AF55)*芦花古楼!AG55</f>
        <v>9540</v>
      </c>
      <c r="AI55" s="23">
        <f t="shared" si="6"/>
        <v>70</v>
      </c>
      <c r="AJ55" s="23">
        <f t="shared" si="7"/>
        <v>70</v>
      </c>
      <c r="AK55" s="15">
        <f>INDEX(章节关卡!$E$6:$E$20,芦花古楼!AF55)*芦花古楼!AG55</f>
        <v>19800</v>
      </c>
      <c r="AL55" s="15">
        <v>150</v>
      </c>
      <c r="AO55" s="19">
        <v>50</v>
      </c>
      <c r="AP55" s="19">
        <v>13</v>
      </c>
      <c r="AR55" s="19">
        <v>50</v>
      </c>
      <c r="AS55" s="19">
        <f t="shared" si="11"/>
        <v>14</v>
      </c>
      <c r="AU55" s="19">
        <v>50</v>
      </c>
      <c r="AV55" s="19">
        <f t="shared" si="12"/>
        <v>15</v>
      </c>
      <c r="AX55" s="19">
        <v>50</v>
      </c>
      <c r="AY55" s="19">
        <f t="shared" si="13"/>
        <v>16</v>
      </c>
      <c r="BB55" s="19">
        <v>50</v>
      </c>
      <c r="BC55" s="15">
        <f t="shared" si="27"/>
        <v>180</v>
      </c>
      <c r="BD55" s="15">
        <f t="shared" si="28"/>
        <v>400</v>
      </c>
      <c r="BE55" s="15">
        <f t="shared" si="29"/>
        <v>32400</v>
      </c>
      <c r="BF55" s="15">
        <f t="shared" si="14"/>
        <v>1000</v>
      </c>
      <c r="BL55" s="23">
        <v>37</v>
      </c>
      <c r="BM55" s="23"/>
      <c r="BN55" s="21">
        <f t="shared" si="30"/>
        <v>0.24323184268837794</v>
      </c>
      <c r="BO55" s="15">
        <f t="shared" si="31"/>
        <v>0</v>
      </c>
      <c r="BP55" s="15">
        <f t="shared" si="32"/>
        <v>0</v>
      </c>
      <c r="BQ55" s="15">
        <f t="shared" si="33"/>
        <v>0</v>
      </c>
      <c r="BR55" s="15">
        <f t="shared" si="34"/>
        <v>0</v>
      </c>
      <c r="BS55" s="15">
        <f t="shared" si="35"/>
        <v>0</v>
      </c>
      <c r="BT55" s="15">
        <f t="shared" si="36"/>
        <v>0</v>
      </c>
      <c r="BU55" s="15">
        <f t="shared" si="37"/>
        <v>0</v>
      </c>
      <c r="BW55" s="23">
        <v>37</v>
      </c>
      <c r="BX55" s="23">
        <v>40</v>
      </c>
      <c r="CD55" s="52">
        <v>51</v>
      </c>
      <c r="CE55" s="52">
        <v>1</v>
      </c>
      <c r="CF55" s="54" t="s">
        <v>538</v>
      </c>
      <c r="CG55" s="52">
        <v>51</v>
      </c>
      <c r="CH55" s="52"/>
      <c r="CI55" s="52"/>
      <c r="CJ55" s="52"/>
      <c r="CK55" s="52" t="s">
        <v>539</v>
      </c>
      <c r="CL55" s="52">
        <v>4320</v>
      </c>
      <c r="CM55" s="52" t="s">
        <v>540</v>
      </c>
      <c r="CN55" s="52">
        <v>55</v>
      </c>
      <c r="CO55" s="52"/>
      <c r="CP55" s="52"/>
      <c r="CQ55" s="52" t="s">
        <v>540</v>
      </c>
      <c r="CR55" s="52">
        <v>70</v>
      </c>
      <c r="CS55" s="52"/>
      <c r="CT55" s="52"/>
      <c r="CU55" s="52"/>
      <c r="CV55" s="52"/>
      <c r="CW55" s="52"/>
      <c r="CX55" s="52"/>
      <c r="CY55" s="52"/>
      <c r="CZ55" s="52"/>
      <c r="DA55" s="52"/>
      <c r="DB55" s="52"/>
    </row>
    <row r="56" spans="1:106" ht="16.5" x14ac:dyDescent="0.2">
      <c r="A56" s="18">
        <v>52</v>
      </c>
      <c r="B56" s="63">
        <v>8</v>
      </c>
      <c r="C56" s="39">
        <v>60</v>
      </c>
      <c r="D56" s="26">
        <f>INDEX(章节关卡!$C$6:$C$20,芦花古楼!B56)*芦花古楼!C56</f>
        <v>1800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3600</v>
      </c>
      <c r="H56" s="15">
        <v>150</v>
      </c>
      <c r="K56" s="18">
        <v>52</v>
      </c>
      <c r="L56" s="63">
        <v>9</v>
      </c>
      <c r="M56" s="39">
        <v>120</v>
      </c>
      <c r="N56" s="26">
        <f>INDEX(章节关卡!$C$6:$C$20,芦花古楼!L56)*芦花古楼!M56</f>
        <v>4320</v>
      </c>
      <c r="O56" s="23">
        <f t="shared" si="4"/>
        <v>60</v>
      </c>
      <c r="P56" s="23">
        <f t="shared" si="5"/>
        <v>70</v>
      </c>
      <c r="Q56" s="15">
        <f>INDEX(章节关卡!$E$6:$E$20,芦花古楼!L56)*芦花古楼!M56</f>
        <v>8640</v>
      </c>
      <c r="R56" s="15">
        <v>150</v>
      </c>
      <c r="U56" s="18">
        <v>52</v>
      </c>
      <c r="V56" s="63">
        <v>11</v>
      </c>
      <c r="W56" s="39">
        <v>180</v>
      </c>
      <c r="X56" s="26">
        <f>INDEX(章节关卡!$C$6:$C$20,芦花古楼!V56)*芦花古楼!W56</f>
        <v>9540</v>
      </c>
      <c r="Y56" s="23">
        <f t="shared" si="25"/>
        <v>65</v>
      </c>
      <c r="Z56" s="23">
        <f t="shared" si="26"/>
        <v>70</v>
      </c>
      <c r="AA56" s="15">
        <f>INDEX(章节关卡!$E$6:$E$20,芦花古楼!V56)*芦花古楼!W56</f>
        <v>19800</v>
      </c>
      <c r="AB56" s="15">
        <v>150</v>
      </c>
      <c r="AE56" s="18">
        <v>52</v>
      </c>
      <c r="AF56" s="63">
        <v>11</v>
      </c>
      <c r="AG56" s="39">
        <v>180</v>
      </c>
      <c r="AH56" s="26">
        <f>INDEX(章节关卡!$C$6:$C$20,芦花古楼!AF56)*芦花古楼!AG56</f>
        <v>9540</v>
      </c>
      <c r="AI56" s="23">
        <f t="shared" si="6"/>
        <v>70</v>
      </c>
      <c r="AJ56" s="23">
        <f t="shared" si="7"/>
        <v>70</v>
      </c>
      <c r="AK56" s="15">
        <f>INDEX(章节关卡!$E$6:$E$20,芦花古楼!AF56)*芦花古楼!AG56</f>
        <v>19800</v>
      </c>
      <c r="AL56" s="15">
        <v>150</v>
      </c>
      <c r="AO56" s="19">
        <v>51</v>
      </c>
      <c r="AP56" s="19">
        <v>14</v>
      </c>
      <c r="AR56" s="19">
        <v>51</v>
      </c>
      <c r="AS56" s="19">
        <f t="shared" si="11"/>
        <v>15</v>
      </c>
      <c r="AU56" s="19">
        <v>51</v>
      </c>
      <c r="AV56" s="19">
        <f t="shared" si="12"/>
        <v>16</v>
      </c>
      <c r="AX56" s="19">
        <v>51</v>
      </c>
      <c r="AY56" s="19">
        <f t="shared" si="13"/>
        <v>17</v>
      </c>
      <c r="BB56" s="19">
        <v>51</v>
      </c>
      <c r="BC56" s="15">
        <f t="shared" si="27"/>
        <v>190</v>
      </c>
      <c r="BD56" s="15">
        <f t="shared" si="28"/>
        <v>400</v>
      </c>
      <c r="BE56" s="15">
        <f t="shared" si="29"/>
        <v>40200</v>
      </c>
      <c r="BF56" s="15">
        <f t="shared" si="14"/>
        <v>1000</v>
      </c>
      <c r="BL56" s="23">
        <v>38</v>
      </c>
      <c r="BM56" s="23"/>
      <c r="BN56" s="21">
        <f t="shared" si="30"/>
        <v>0.26755502695721578</v>
      </c>
      <c r="BO56" s="15">
        <f t="shared" si="31"/>
        <v>0</v>
      </c>
      <c r="BP56" s="15">
        <f t="shared" si="32"/>
        <v>0</v>
      </c>
      <c r="BQ56" s="15">
        <f t="shared" si="33"/>
        <v>0</v>
      </c>
      <c r="BR56" s="15">
        <f t="shared" si="34"/>
        <v>0</v>
      </c>
      <c r="BS56" s="15">
        <f t="shared" si="35"/>
        <v>0</v>
      </c>
      <c r="BT56" s="15">
        <f t="shared" si="36"/>
        <v>0</v>
      </c>
      <c r="BU56" s="15">
        <f t="shared" si="37"/>
        <v>0</v>
      </c>
      <c r="BW56" s="23">
        <v>38</v>
      </c>
      <c r="BX56" s="23">
        <v>40</v>
      </c>
      <c r="CD56" s="52">
        <v>52</v>
      </c>
      <c r="CE56" s="52">
        <v>1</v>
      </c>
      <c r="CF56" s="54" t="s">
        <v>538</v>
      </c>
      <c r="CG56" s="52">
        <v>52</v>
      </c>
      <c r="CH56" s="52"/>
      <c r="CI56" s="52"/>
      <c r="CJ56" s="52"/>
      <c r="CK56" s="52" t="s">
        <v>539</v>
      </c>
      <c r="CL56" s="52">
        <v>4320</v>
      </c>
      <c r="CM56" s="52" t="s">
        <v>540</v>
      </c>
      <c r="CN56" s="52">
        <v>55</v>
      </c>
      <c r="CO56" s="52"/>
      <c r="CP56" s="52"/>
      <c r="CQ56" s="52" t="s">
        <v>540</v>
      </c>
      <c r="CR56" s="52">
        <v>70</v>
      </c>
      <c r="CS56" s="52"/>
      <c r="CT56" s="52"/>
      <c r="CU56" s="52"/>
      <c r="CV56" s="52"/>
      <c r="CW56" s="52"/>
      <c r="CX56" s="52"/>
      <c r="CY56" s="52"/>
      <c r="CZ56" s="52"/>
      <c r="DA56" s="52"/>
      <c r="DB56" s="52"/>
    </row>
    <row r="57" spans="1:106" ht="16.5" x14ac:dyDescent="0.2">
      <c r="A57" s="18">
        <v>53</v>
      </c>
      <c r="B57" s="63">
        <v>8</v>
      </c>
      <c r="C57" s="39">
        <v>60</v>
      </c>
      <c r="D57" s="26">
        <f>INDEX(章节关卡!$C$6:$C$20,芦花古楼!B57)*芦花古楼!C57</f>
        <v>1800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3600</v>
      </c>
      <c r="H57" s="15">
        <v>150</v>
      </c>
      <c r="K57" s="18">
        <v>53</v>
      </c>
      <c r="L57" s="63">
        <v>9</v>
      </c>
      <c r="M57" s="39">
        <v>120</v>
      </c>
      <c r="N57" s="26">
        <f>INDEX(章节关卡!$C$6:$C$20,芦花古楼!L57)*芦花古楼!M57</f>
        <v>4320</v>
      </c>
      <c r="O57" s="23">
        <f t="shared" si="4"/>
        <v>60</v>
      </c>
      <c r="P57" s="23">
        <f t="shared" si="5"/>
        <v>70</v>
      </c>
      <c r="Q57" s="15">
        <f>INDEX(章节关卡!$E$6:$E$20,芦花古楼!L57)*芦花古楼!M57</f>
        <v>8640</v>
      </c>
      <c r="R57" s="15">
        <v>150</v>
      </c>
      <c r="U57" s="18">
        <v>53</v>
      </c>
      <c r="V57" s="63">
        <v>11</v>
      </c>
      <c r="W57" s="39">
        <v>180</v>
      </c>
      <c r="X57" s="26">
        <f>INDEX(章节关卡!$C$6:$C$20,芦花古楼!V57)*芦花古楼!W57</f>
        <v>9540</v>
      </c>
      <c r="Y57" s="23">
        <f t="shared" si="25"/>
        <v>65</v>
      </c>
      <c r="Z57" s="23">
        <f t="shared" si="26"/>
        <v>70</v>
      </c>
      <c r="AA57" s="15">
        <f>INDEX(章节关卡!$E$6:$E$20,芦花古楼!V57)*芦花古楼!W57</f>
        <v>19800</v>
      </c>
      <c r="AB57" s="15">
        <v>150</v>
      </c>
      <c r="AE57" s="18">
        <v>53</v>
      </c>
      <c r="AF57" s="63">
        <v>11</v>
      </c>
      <c r="AG57" s="39">
        <v>180</v>
      </c>
      <c r="AH57" s="26">
        <f>INDEX(章节关卡!$C$6:$C$20,芦花古楼!AF57)*芦花古楼!AG57</f>
        <v>9540</v>
      </c>
      <c r="AI57" s="23">
        <f t="shared" si="6"/>
        <v>70</v>
      </c>
      <c r="AJ57" s="23">
        <f t="shared" si="7"/>
        <v>70</v>
      </c>
      <c r="AK57" s="15">
        <f>INDEX(章节关卡!$E$6:$E$20,芦花古楼!AF57)*芦花古楼!AG57</f>
        <v>19800</v>
      </c>
      <c r="AL57" s="15">
        <v>150</v>
      </c>
      <c r="AO57" s="19">
        <v>52</v>
      </c>
      <c r="AP57" s="19">
        <v>14</v>
      </c>
      <c r="AR57" s="19">
        <v>52</v>
      </c>
      <c r="AS57" s="19">
        <f t="shared" si="11"/>
        <v>15</v>
      </c>
      <c r="AU57" s="19">
        <v>52</v>
      </c>
      <c r="AV57" s="19">
        <f t="shared" si="12"/>
        <v>16</v>
      </c>
      <c r="AX57" s="19">
        <v>52</v>
      </c>
      <c r="AY57" s="19">
        <f t="shared" si="13"/>
        <v>17</v>
      </c>
      <c r="BB57" s="19">
        <v>52</v>
      </c>
      <c r="BC57" s="15">
        <f t="shared" si="27"/>
        <v>180</v>
      </c>
      <c r="BD57" s="15">
        <f t="shared" si="28"/>
        <v>400</v>
      </c>
      <c r="BE57" s="15">
        <f t="shared" si="29"/>
        <v>32400</v>
      </c>
      <c r="BF57" s="15">
        <f t="shared" si="14"/>
        <v>1000</v>
      </c>
      <c r="BL57" s="23">
        <v>39</v>
      </c>
      <c r="BM57" s="23"/>
      <c r="BN57" s="21">
        <f t="shared" si="30"/>
        <v>0.29431052965293736</v>
      </c>
      <c r="BO57" s="15">
        <f t="shared" si="31"/>
        <v>0</v>
      </c>
      <c r="BP57" s="15">
        <f t="shared" si="32"/>
        <v>0</v>
      </c>
      <c r="BQ57" s="15">
        <f t="shared" si="33"/>
        <v>0</v>
      </c>
      <c r="BR57" s="15">
        <f t="shared" si="34"/>
        <v>0</v>
      </c>
      <c r="BS57" s="15">
        <f t="shared" si="35"/>
        <v>0</v>
      </c>
      <c r="BT57" s="15">
        <f t="shared" si="36"/>
        <v>0</v>
      </c>
      <c r="BU57" s="15">
        <f t="shared" si="37"/>
        <v>0</v>
      </c>
      <c r="BW57" s="23">
        <v>39</v>
      </c>
      <c r="BX57" s="23">
        <v>40</v>
      </c>
      <c r="CD57" s="52">
        <v>53</v>
      </c>
      <c r="CE57" s="52">
        <v>1</v>
      </c>
      <c r="CF57" s="54" t="s">
        <v>538</v>
      </c>
      <c r="CG57" s="52">
        <v>53</v>
      </c>
      <c r="CH57" s="52"/>
      <c r="CI57" s="52"/>
      <c r="CJ57" s="52"/>
      <c r="CK57" s="52" t="s">
        <v>539</v>
      </c>
      <c r="CL57" s="52">
        <v>4320</v>
      </c>
      <c r="CM57" s="52" t="s">
        <v>540</v>
      </c>
      <c r="CN57" s="52">
        <v>55</v>
      </c>
      <c r="CO57" s="52"/>
      <c r="CP57" s="52"/>
      <c r="CQ57" s="52" t="s">
        <v>540</v>
      </c>
      <c r="CR57" s="52">
        <v>70</v>
      </c>
      <c r="CS57" s="52"/>
      <c r="CT57" s="52"/>
      <c r="CU57" s="52"/>
      <c r="CV57" s="52"/>
      <c r="CW57" s="52"/>
      <c r="CX57" s="52"/>
      <c r="CY57" s="52"/>
      <c r="CZ57" s="52"/>
      <c r="DA57" s="52"/>
      <c r="DB57" s="52"/>
    </row>
    <row r="58" spans="1:106" ht="16.5" x14ac:dyDescent="0.2">
      <c r="A58" s="18">
        <v>54</v>
      </c>
      <c r="B58" s="63">
        <v>8</v>
      </c>
      <c r="C58" s="39">
        <v>60</v>
      </c>
      <c r="D58" s="26">
        <f>INDEX(章节关卡!$C$6:$C$20,芦花古楼!B58)*芦花古楼!C58</f>
        <v>1800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3600</v>
      </c>
      <c r="H58" s="15">
        <v>150</v>
      </c>
      <c r="K58" s="18">
        <v>54</v>
      </c>
      <c r="L58" s="63">
        <v>9</v>
      </c>
      <c r="M58" s="39">
        <v>120</v>
      </c>
      <c r="N58" s="26">
        <f>INDEX(章节关卡!$C$6:$C$20,芦花古楼!L58)*芦花古楼!M58</f>
        <v>4320</v>
      </c>
      <c r="O58" s="23">
        <f t="shared" si="4"/>
        <v>60</v>
      </c>
      <c r="P58" s="23">
        <f t="shared" si="5"/>
        <v>70</v>
      </c>
      <c r="Q58" s="15">
        <f>INDEX(章节关卡!$E$6:$E$20,芦花古楼!L58)*芦花古楼!M58</f>
        <v>8640</v>
      </c>
      <c r="R58" s="15">
        <v>150</v>
      </c>
      <c r="U58" s="18">
        <v>54</v>
      </c>
      <c r="V58" s="63">
        <v>11</v>
      </c>
      <c r="W58" s="39">
        <v>180</v>
      </c>
      <c r="X58" s="26">
        <f>INDEX(章节关卡!$C$6:$C$20,芦花古楼!V58)*芦花古楼!W58</f>
        <v>9540</v>
      </c>
      <c r="Y58" s="23">
        <f t="shared" si="25"/>
        <v>65</v>
      </c>
      <c r="Z58" s="23">
        <f t="shared" si="26"/>
        <v>70</v>
      </c>
      <c r="AA58" s="15">
        <f>INDEX(章节关卡!$E$6:$E$20,芦花古楼!V58)*芦花古楼!W58</f>
        <v>19800</v>
      </c>
      <c r="AB58" s="15">
        <v>150</v>
      </c>
      <c r="AE58" s="18">
        <v>54</v>
      </c>
      <c r="AF58" s="63">
        <v>11</v>
      </c>
      <c r="AG58" s="39">
        <v>180</v>
      </c>
      <c r="AH58" s="26">
        <f>INDEX(章节关卡!$C$6:$C$20,芦花古楼!AF58)*芦花古楼!AG58</f>
        <v>9540</v>
      </c>
      <c r="AI58" s="23">
        <f t="shared" si="6"/>
        <v>70</v>
      </c>
      <c r="AJ58" s="23">
        <f t="shared" si="7"/>
        <v>70</v>
      </c>
      <c r="AK58" s="15">
        <f>INDEX(章节关卡!$E$6:$E$20,芦花古楼!AF58)*芦花古楼!AG58</f>
        <v>19800</v>
      </c>
      <c r="AL58" s="15">
        <v>150</v>
      </c>
      <c r="AO58" s="19">
        <v>53</v>
      </c>
      <c r="AP58" s="19">
        <v>15</v>
      </c>
      <c r="AR58" s="19">
        <v>53</v>
      </c>
      <c r="AS58" s="19">
        <f t="shared" si="11"/>
        <v>16</v>
      </c>
      <c r="AU58" s="19">
        <v>53</v>
      </c>
      <c r="AV58" s="19">
        <f t="shared" si="12"/>
        <v>17</v>
      </c>
      <c r="AX58" s="19">
        <v>53</v>
      </c>
      <c r="AY58" s="19">
        <f t="shared" si="13"/>
        <v>18</v>
      </c>
      <c r="BB58" s="19">
        <v>53</v>
      </c>
      <c r="BC58" s="15">
        <f t="shared" si="27"/>
        <v>190</v>
      </c>
      <c r="BD58" s="15">
        <f t="shared" si="28"/>
        <v>400</v>
      </c>
      <c r="BE58" s="15">
        <f t="shared" si="29"/>
        <v>40200</v>
      </c>
      <c r="BF58" s="15">
        <f t="shared" si="14"/>
        <v>1000</v>
      </c>
      <c r="BL58" s="23">
        <v>40</v>
      </c>
      <c r="BM58" s="23"/>
      <c r="BN58" s="21">
        <f t="shared" si="30"/>
        <v>0.32374158261823111</v>
      </c>
      <c r="BO58" s="15">
        <f t="shared" si="31"/>
        <v>0</v>
      </c>
      <c r="BP58" s="15">
        <f t="shared" si="32"/>
        <v>0</v>
      </c>
      <c r="BQ58" s="15">
        <f t="shared" si="33"/>
        <v>0</v>
      </c>
      <c r="BR58" s="15">
        <f t="shared" si="34"/>
        <v>0</v>
      </c>
      <c r="BS58" s="15">
        <f t="shared" si="35"/>
        <v>0</v>
      </c>
      <c r="BT58" s="15">
        <f t="shared" si="36"/>
        <v>0</v>
      </c>
      <c r="BU58" s="15">
        <f t="shared" si="37"/>
        <v>0</v>
      </c>
      <c r="BW58" s="23">
        <v>40</v>
      </c>
      <c r="BX58" s="23">
        <v>40</v>
      </c>
      <c r="CD58" s="52">
        <v>54</v>
      </c>
      <c r="CE58" s="52">
        <v>1</v>
      </c>
      <c r="CF58" s="54" t="s">
        <v>538</v>
      </c>
      <c r="CG58" s="52">
        <v>54</v>
      </c>
      <c r="CH58" s="52"/>
      <c r="CI58" s="52"/>
      <c r="CJ58" s="52"/>
      <c r="CK58" s="52" t="s">
        <v>539</v>
      </c>
      <c r="CL58" s="52">
        <v>4320</v>
      </c>
      <c r="CM58" s="52" t="s">
        <v>540</v>
      </c>
      <c r="CN58" s="52">
        <v>55</v>
      </c>
      <c r="CO58" s="52"/>
      <c r="CP58" s="52"/>
      <c r="CQ58" s="52" t="s">
        <v>540</v>
      </c>
      <c r="CR58" s="52">
        <v>70</v>
      </c>
      <c r="CS58" s="52"/>
      <c r="CT58" s="52"/>
      <c r="CU58" s="52"/>
      <c r="CV58" s="52"/>
      <c r="CW58" s="52"/>
      <c r="CX58" s="52"/>
      <c r="CY58" s="52"/>
      <c r="CZ58" s="52"/>
      <c r="DA58" s="52"/>
      <c r="DB58" s="52"/>
    </row>
    <row r="59" spans="1:106" ht="16.5" x14ac:dyDescent="0.2">
      <c r="A59" s="18">
        <v>55</v>
      </c>
      <c r="B59" s="63">
        <v>8</v>
      </c>
      <c r="C59" s="39">
        <v>60</v>
      </c>
      <c r="D59" s="26">
        <f>INDEX(章节关卡!$C$6:$C$20,芦花古楼!B59)*芦花古楼!C59</f>
        <v>1800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3600</v>
      </c>
      <c r="H59" s="15">
        <v>150</v>
      </c>
      <c r="K59" s="18">
        <v>55</v>
      </c>
      <c r="L59" s="26">
        <v>10</v>
      </c>
      <c r="M59" s="39">
        <v>120</v>
      </c>
      <c r="N59" s="26">
        <f>INDEX(章节关卡!$C$6:$C$20,芦花古楼!L59)*芦花古楼!M59</f>
        <v>5280</v>
      </c>
      <c r="O59" s="23">
        <f t="shared" si="4"/>
        <v>60</v>
      </c>
      <c r="P59" s="23">
        <f t="shared" si="5"/>
        <v>75</v>
      </c>
      <c r="Q59" s="15">
        <f>INDEX(章节关卡!$E$6:$E$20,芦花古楼!L59)*芦花古楼!M59</f>
        <v>10800</v>
      </c>
      <c r="R59" s="15">
        <v>150</v>
      </c>
      <c r="U59" s="18">
        <v>55</v>
      </c>
      <c r="V59" s="63">
        <v>11</v>
      </c>
      <c r="W59" s="39">
        <v>180</v>
      </c>
      <c r="X59" s="26">
        <f>INDEX(章节关卡!$C$6:$C$20,芦花古楼!V59)*芦花古楼!W59</f>
        <v>9540</v>
      </c>
      <c r="Y59" s="23">
        <f t="shared" si="25"/>
        <v>65</v>
      </c>
      <c r="Z59" s="23">
        <f t="shared" si="26"/>
        <v>75</v>
      </c>
      <c r="AA59" s="15">
        <f>INDEX(章节关卡!$E$6:$E$20,芦花古楼!V59)*芦花古楼!W59</f>
        <v>19800</v>
      </c>
      <c r="AB59" s="15">
        <v>150</v>
      </c>
      <c r="AE59" s="18">
        <v>55</v>
      </c>
      <c r="AF59" s="63">
        <v>11</v>
      </c>
      <c r="AG59" s="39">
        <v>180</v>
      </c>
      <c r="AH59" s="26">
        <f>INDEX(章节关卡!$C$6:$C$20,芦花古楼!AF59)*芦花古楼!AG59</f>
        <v>9540</v>
      </c>
      <c r="AI59" s="23">
        <f t="shared" si="6"/>
        <v>70</v>
      </c>
      <c r="AJ59" s="23">
        <f t="shared" si="7"/>
        <v>75</v>
      </c>
      <c r="AK59" s="15">
        <f>INDEX(章节关卡!$E$6:$E$20,芦花古楼!AF59)*芦花古楼!AG59</f>
        <v>19800</v>
      </c>
      <c r="AL59" s="15">
        <v>150</v>
      </c>
      <c r="AO59" s="19">
        <v>54</v>
      </c>
      <c r="AP59" s="19">
        <v>15</v>
      </c>
      <c r="AR59" s="19">
        <v>54</v>
      </c>
      <c r="AS59" s="19">
        <f t="shared" si="11"/>
        <v>16</v>
      </c>
      <c r="AU59" s="19">
        <v>54</v>
      </c>
      <c r="AV59" s="19">
        <f t="shared" si="12"/>
        <v>17</v>
      </c>
      <c r="AX59" s="19">
        <v>54</v>
      </c>
      <c r="AY59" s="19">
        <f t="shared" si="13"/>
        <v>18</v>
      </c>
      <c r="BB59" s="19">
        <v>54</v>
      </c>
      <c r="BC59" s="15">
        <f t="shared" si="27"/>
        <v>180</v>
      </c>
      <c r="BD59" s="15">
        <f t="shared" si="28"/>
        <v>400</v>
      </c>
      <c r="BE59" s="15">
        <f t="shared" si="29"/>
        <v>32400</v>
      </c>
      <c r="BF59" s="15">
        <f t="shared" si="14"/>
        <v>1000</v>
      </c>
      <c r="CD59" s="52">
        <v>55</v>
      </c>
      <c r="CE59" s="52">
        <v>1</v>
      </c>
      <c r="CF59" s="54" t="s">
        <v>538</v>
      </c>
      <c r="CG59" s="52">
        <v>55</v>
      </c>
      <c r="CH59" s="52"/>
      <c r="CI59" s="52"/>
      <c r="CJ59" s="52"/>
      <c r="CK59" s="52" t="s">
        <v>539</v>
      </c>
      <c r="CL59" s="52">
        <v>4320</v>
      </c>
      <c r="CM59" s="52" t="s">
        <v>540</v>
      </c>
      <c r="CN59" s="52">
        <v>55</v>
      </c>
      <c r="CO59" s="52"/>
      <c r="CP59" s="52"/>
      <c r="CQ59" s="52" t="s">
        <v>540</v>
      </c>
      <c r="CR59" s="52">
        <v>75</v>
      </c>
      <c r="CS59" s="52"/>
      <c r="CT59" s="52"/>
      <c r="CU59" s="52"/>
      <c r="CV59" s="52"/>
      <c r="CW59" s="52"/>
      <c r="CX59" s="52"/>
      <c r="CY59" s="52"/>
      <c r="CZ59" s="52"/>
      <c r="DA59" s="52"/>
      <c r="DB59" s="52"/>
    </row>
    <row r="60" spans="1:106" ht="16.5" x14ac:dyDescent="0.2">
      <c r="A60" s="18">
        <v>56</v>
      </c>
      <c r="B60" s="63">
        <v>8</v>
      </c>
      <c r="C60" s="39">
        <v>60</v>
      </c>
      <c r="D60" s="26">
        <f>INDEX(章节关卡!$C$6:$C$20,芦花古楼!B60)*芦花古楼!C60</f>
        <v>1800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3600</v>
      </c>
      <c r="H60" s="15">
        <v>150</v>
      </c>
      <c r="K60" s="18">
        <v>56</v>
      </c>
      <c r="L60" s="63">
        <v>10</v>
      </c>
      <c r="M60" s="39">
        <v>120</v>
      </c>
      <c r="N60" s="26">
        <f>INDEX(章节关卡!$C$6:$C$20,芦花古楼!L60)*芦花古楼!M60</f>
        <v>5280</v>
      </c>
      <c r="O60" s="23">
        <f t="shared" si="4"/>
        <v>65</v>
      </c>
      <c r="P60" s="23">
        <f t="shared" si="5"/>
        <v>75</v>
      </c>
      <c r="Q60" s="15">
        <f>INDEX(章节关卡!$E$6:$E$20,芦花古楼!L60)*芦花古楼!M60</f>
        <v>10800</v>
      </c>
      <c r="R60" s="15">
        <v>150</v>
      </c>
      <c r="U60" s="18">
        <v>56</v>
      </c>
      <c r="V60" s="63">
        <v>11</v>
      </c>
      <c r="W60" s="39">
        <v>180</v>
      </c>
      <c r="X60" s="26">
        <f>INDEX(章节关卡!$C$6:$C$20,芦花古楼!V60)*芦花古楼!W60</f>
        <v>9540</v>
      </c>
      <c r="Y60" s="23">
        <f t="shared" si="25"/>
        <v>70</v>
      </c>
      <c r="Z60" s="23">
        <f t="shared" si="26"/>
        <v>75</v>
      </c>
      <c r="AA60" s="15">
        <f>INDEX(章节关卡!$E$6:$E$20,芦花古楼!V60)*芦花古楼!W60</f>
        <v>19800</v>
      </c>
      <c r="AB60" s="15">
        <v>150</v>
      </c>
      <c r="AE60" s="18">
        <v>56</v>
      </c>
      <c r="AF60" s="63">
        <v>11</v>
      </c>
      <c r="AG60" s="39">
        <v>180</v>
      </c>
      <c r="AH60" s="26">
        <f>INDEX(章节关卡!$C$6:$C$20,芦花古楼!AF60)*芦花古楼!AG60</f>
        <v>9540</v>
      </c>
      <c r="AI60" s="23">
        <f t="shared" si="6"/>
        <v>75</v>
      </c>
      <c r="AJ60" s="23">
        <f t="shared" si="7"/>
        <v>75</v>
      </c>
      <c r="AK60" s="15">
        <f>INDEX(章节关卡!$E$6:$E$20,芦花古楼!AF60)*芦花古楼!AG60</f>
        <v>19800</v>
      </c>
      <c r="AL60" s="15">
        <v>150</v>
      </c>
      <c r="AO60" s="19">
        <v>55</v>
      </c>
      <c r="AP60" s="19">
        <v>16</v>
      </c>
      <c r="AR60" s="19">
        <v>55</v>
      </c>
      <c r="AS60" s="19">
        <f t="shared" si="11"/>
        <v>17</v>
      </c>
      <c r="AU60" s="19">
        <v>55</v>
      </c>
      <c r="AV60" s="19">
        <f t="shared" si="12"/>
        <v>18</v>
      </c>
      <c r="AX60" s="19">
        <v>55</v>
      </c>
      <c r="AY60" s="19">
        <f t="shared" si="13"/>
        <v>19</v>
      </c>
      <c r="BB60" s="19">
        <v>55</v>
      </c>
      <c r="BC60" s="15">
        <f t="shared" si="27"/>
        <v>190</v>
      </c>
      <c r="BD60" s="15">
        <f t="shared" si="28"/>
        <v>400</v>
      </c>
      <c r="BE60" s="15">
        <f t="shared" si="29"/>
        <v>40200</v>
      </c>
      <c r="BF60" s="15">
        <f t="shared" si="14"/>
        <v>1000</v>
      </c>
      <c r="CD60" s="52">
        <v>56</v>
      </c>
      <c r="CE60" s="52">
        <v>1</v>
      </c>
      <c r="CF60" s="54" t="s">
        <v>538</v>
      </c>
      <c r="CG60" s="52">
        <v>56</v>
      </c>
      <c r="CH60" s="52"/>
      <c r="CI60" s="52"/>
      <c r="CJ60" s="52"/>
      <c r="CK60" s="52" t="s">
        <v>539</v>
      </c>
      <c r="CL60" s="52">
        <v>4320</v>
      </c>
      <c r="CM60" s="52" t="s">
        <v>540</v>
      </c>
      <c r="CN60" s="52">
        <v>60</v>
      </c>
      <c r="CO60" s="52"/>
      <c r="CP60" s="52"/>
      <c r="CQ60" s="52" t="s">
        <v>540</v>
      </c>
      <c r="CR60" s="52">
        <v>75</v>
      </c>
      <c r="CS60" s="52"/>
      <c r="CT60" s="52"/>
      <c r="CU60" s="52"/>
      <c r="CV60" s="52"/>
      <c r="CW60" s="52"/>
      <c r="CX60" s="52"/>
      <c r="CY60" s="52"/>
      <c r="CZ60" s="52"/>
      <c r="DA60" s="52"/>
      <c r="DB60" s="52"/>
    </row>
    <row r="61" spans="1:106" ht="16.5" x14ac:dyDescent="0.2">
      <c r="A61" s="18">
        <v>57</v>
      </c>
      <c r="B61" s="63">
        <v>8</v>
      </c>
      <c r="C61" s="39">
        <v>60</v>
      </c>
      <c r="D61" s="26">
        <f>INDEX(章节关卡!$C$6:$C$20,芦花古楼!B61)*芦花古楼!C61</f>
        <v>1800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3600</v>
      </c>
      <c r="H61" s="15">
        <v>150</v>
      </c>
      <c r="K61" s="18">
        <v>57</v>
      </c>
      <c r="L61" s="63">
        <v>10</v>
      </c>
      <c r="M61" s="39">
        <v>120</v>
      </c>
      <c r="N61" s="26">
        <f>INDEX(章节关卡!$C$6:$C$20,芦花古楼!L61)*芦花古楼!M61</f>
        <v>5280</v>
      </c>
      <c r="O61" s="23">
        <f t="shared" si="4"/>
        <v>65</v>
      </c>
      <c r="P61" s="23">
        <f t="shared" si="5"/>
        <v>75</v>
      </c>
      <c r="Q61" s="15">
        <f>INDEX(章节关卡!$E$6:$E$20,芦花古楼!L61)*芦花古楼!M61</f>
        <v>10800</v>
      </c>
      <c r="R61" s="15">
        <v>150</v>
      </c>
      <c r="U61" s="18">
        <v>57</v>
      </c>
      <c r="V61" s="63">
        <v>11</v>
      </c>
      <c r="W61" s="39">
        <v>180</v>
      </c>
      <c r="X61" s="26">
        <f>INDEX(章节关卡!$C$6:$C$20,芦花古楼!V61)*芦花古楼!W61</f>
        <v>9540</v>
      </c>
      <c r="Y61" s="23">
        <f t="shared" si="25"/>
        <v>70</v>
      </c>
      <c r="Z61" s="23">
        <f t="shared" si="26"/>
        <v>75</v>
      </c>
      <c r="AA61" s="15">
        <f>INDEX(章节关卡!$E$6:$E$20,芦花古楼!V61)*芦花古楼!W61</f>
        <v>19800</v>
      </c>
      <c r="AB61" s="15">
        <v>150</v>
      </c>
      <c r="AE61" s="18">
        <v>57</v>
      </c>
      <c r="AF61" s="63">
        <v>11</v>
      </c>
      <c r="AG61" s="39">
        <v>180</v>
      </c>
      <c r="AH61" s="26">
        <f>INDEX(章节关卡!$C$6:$C$20,芦花古楼!AF61)*芦花古楼!AG61</f>
        <v>9540</v>
      </c>
      <c r="AI61" s="23">
        <f t="shared" si="6"/>
        <v>75</v>
      </c>
      <c r="AJ61" s="23">
        <f t="shared" si="7"/>
        <v>75</v>
      </c>
      <c r="AK61" s="15">
        <f>INDEX(章节关卡!$E$6:$E$20,芦花古楼!AF61)*芦花古楼!AG61</f>
        <v>19800</v>
      </c>
      <c r="AL61" s="15">
        <v>150</v>
      </c>
      <c r="AO61" s="19">
        <v>56</v>
      </c>
      <c r="AP61" s="19">
        <v>16</v>
      </c>
      <c r="AR61" s="19">
        <v>56</v>
      </c>
      <c r="AS61" s="19">
        <f t="shared" si="11"/>
        <v>17</v>
      </c>
      <c r="AU61" s="19">
        <v>56</v>
      </c>
      <c r="AV61" s="19">
        <f t="shared" si="12"/>
        <v>18</v>
      </c>
      <c r="AX61" s="19">
        <v>56</v>
      </c>
      <c r="AY61" s="19">
        <f t="shared" si="13"/>
        <v>19</v>
      </c>
      <c r="BB61" s="19">
        <v>56</v>
      </c>
      <c r="BC61" s="15">
        <f t="shared" si="27"/>
        <v>180</v>
      </c>
      <c r="BD61" s="15">
        <f t="shared" si="28"/>
        <v>405</v>
      </c>
      <c r="BE61" s="15">
        <f t="shared" si="29"/>
        <v>32400</v>
      </c>
      <c r="BF61" s="15">
        <f t="shared" si="14"/>
        <v>1000</v>
      </c>
      <c r="CD61" s="52">
        <v>57</v>
      </c>
      <c r="CE61" s="52">
        <v>1</v>
      </c>
      <c r="CF61" s="54" t="s">
        <v>538</v>
      </c>
      <c r="CG61" s="52">
        <v>57</v>
      </c>
      <c r="CH61" s="52"/>
      <c r="CI61" s="52"/>
      <c r="CJ61" s="52"/>
      <c r="CK61" s="52" t="s">
        <v>539</v>
      </c>
      <c r="CL61" s="52">
        <v>4320</v>
      </c>
      <c r="CM61" s="52" t="s">
        <v>540</v>
      </c>
      <c r="CN61" s="52">
        <v>60</v>
      </c>
      <c r="CO61" s="52"/>
      <c r="CP61" s="52"/>
      <c r="CQ61" s="52" t="s">
        <v>540</v>
      </c>
      <c r="CR61" s="52">
        <v>75</v>
      </c>
      <c r="CS61" s="52"/>
      <c r="CT61" s="52"/>
      <c r="CU61" s="52"/>
      <c r="CV61" s="52"/>
      <c r="CW61" s="52"/>
      <c r="CX61" s="52"/>
      <c r="CY61" s="52"/>
      <c r="CZ61" s="52"/>
      <c r="DA61" s="52"/>
      <c r="DB61" s="52"/>
    </row>
    <row r="62" spans="1:106" ht="16.5" x14ac:dyDescent="0.2">
      <c r="A62" s="18">
        <v>58</v>
      </c>
      <c r="B62" s="63">
        <v>8</v>
      </c>
      <c r="C62" s="39">
        <v>60</v>
      </c>
      <c r="D62" s="26">
        <f>INDEX(章节关卡!$C$6:$C$20,芦花古楼!B62)*芦花古楼!C62</f>
        <v>1800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3600</v>
      </c>
      <c r="H62" s="15">
        <v>150</v>
      </c>
      <c r="K62" s="18">
        <v>58</v>
      </c>
      <c r="L62" s="63">
        <v>10</v>
      </c>
      <c r="M62" s="39">
        <v>120</v>
      </c>
      <c r="N62" s="26">
        <f>INDEX(章节关卡!$C$6:$C$20,芦花古楼!L62)*芦花古楼!M62</f>
        <v>5280</v>
      </c>
      <c r="O62" s="23">
        <f t="shared" si="4"/>
        <v>65</v>
      </c>
      <c r="P62" s="23">
        <f t="shared" si="5"/>
        <v>75</v>
      </c>
      <c r="Q62" s="15">
        <f>INDEX(章节关卡!$E$6:$E$20,芦花古楼!L62)*芦花古楼!M62</f>
        <v>10800</v>
      </c>
      <c r="R62" s="15">
        <v>150</v>
      </c>
      <c r="U62" s="18">
        <v>58</v>
      </c>
      <c r="V62" s="63">
        <v>11</v>
      </c>
      <c r="W62" s="39">
        <v>180</v>
      </c>
      <c r="X62" s="26">
        <f>INDEX(章节关卡!$C$6:$C$20,芦花古楼!V62)*芦花古楼!W62</f>
        <v>9540</v>
      </c>
      <c r="Y62" s="23">
        <f t="shared" si="25"/>
        <v>70</v>
      </c>
      <c r="Z62" s="23">
        <f t="shared" si="26"/>
        <v>75</v>
      </c>
      <c r="AA62" s="15">
        <f>INDEX(章节关卡!$E$6:$E$20,芦花古楼!V62)*芦花古楼!W62</f>
        <v>19800</v>
      </c>
      <c r="AB62" s="15">
        <v>150</v>
      </c>
      <c r="AE62" s="18">
        <v>58</v>
      </c>
      <c r="AF62" s="63">
        <v>11</v>
      </c>
      <c r="AG62" s="39">
        <v>180</v>
      </c>
      <c r="AH62" s="26">
        <f>INDEX(章节关卡!$C$6:$C$20,芦花古楼!AF62)*芦花古楼!AG62</f>
        <v>9540</v>
      </c>
      <c r="AI62" s="23">
        <f t="shared" si="6"/>
        <v>75</v>
      </c>
      <c r="AJ62" s="23">
        <f t="shared" si="7"/>
        <v>75</v>
      </c>
      <c r="AK62" s="15">
        <f>INDEX(章节关卡!$E$6:$E$20,芦花古楼!AF62)*芦花古楼!AG62</f>
        <v>19800</v>
      </c>
      <c r="AL62" s="15">
        <v>150</v>
      </c>
      <c r="AO62" s="19">
        <v>57</v>
      </c>
      <c r="AP62" s="19">
        <v>17</v>
      </c>
      <c r="AR62" s="19">
        <v>57</v>
      </c>
      <c r="AS62" s="19">
        <f t="shared" si="11"/>
        <v>18</v>
      </c>
      <c r="AU62" s="19">
        <v>57</v>
      </c>
      <c r="AV62" s="19">
        <f t="shared" si="12"/>
        <v>19</v>
      </c>
      <c r="AX62" s="19">
        <v>57</v>
      </c>
      <c r="AY62" s="19">
        <f t="shared" si="13"/>
        <v>20</v>
      </c>
      <c r="BB62" s="19">
        <v>57</v>
      </c>
      <c r="BC62" s="15">
        <f t="shared" si="27"/>
        <v>190</v>
      </c>
      <c r="BD62" s="15">
        <f t="shared" si="28"/>
        <v>410</v>
      </c>
      <c r="BE62" s="15">
        <f t="shared" si="29"/>
        <v>42600</v>
      </c>
      <c r="BF62" s="15">
        <f t="shared" si="14"/>
        <v>1000</v>
      </c>
      <c r="CD62" s="52">
        <v>58</v>
      </c>
      <c r="CE62" s="52">
        <v>1</v>
      </c>
      <c r="CF62" s="54" t="s">
        <v>538</v>
      </c>
      <c r="CG62" s="52">
        <v>58</v>
      </c>
      <c r="CH62" s="52"/>
      <c r="CI62" s="52"/>
      <c r="CJ62" s="52"/>
      <c r="CK62" s="52" t="s">
        <v>539</v>
      </c>
      <c r="CL62" s="52">
        <v>4320</v>
      </c>
      <c r="CM62" s="52" t="s">
        <v>540</v>
      </c>
      <c r="CN62" s="52">
        <v>60</v>
      </c>
      <c r="CO62" s="52"/>
      <c r="CP62" s="52"/>
      <c r="CQ62" s="52" t="s">
        <v>540</v>
      </c>
      <c r="CR62" s="52">
        <v>75</v>
      </c>
      <c r="CS62" s="52"/>
      <c r="CT62" s="52"/>
      <c r="CU62" s="52"/>
      <c r="CV62" s="52"/>
      <c r="CW62" s="52"/>
      <c r="CX62" s="52"/>
      <c r="CY62" s="52"/>
      <c r="CZ62" s="52"/>
      <c r="DA62" s="52"/>
      <c r="DB62" s="52"/>
    </row>
    <row r="63" spans="1:106" ht="16.5" x14ac:dyDescent="0.2">
      <c r="A63" s="18">
        <v>59</v>
      </c>
      <c r="B63" s="63">
        <v>8</v>
      </c>
      <c r="C63" s="39">
        <v>60</v>
      </c>
      <c r="D63" s="26">
        <f>INDEX(章节关卡!$C$6:$C$20,芦花古楼!B63)*芦花古楼!C63</f>
        <v>1800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3600</v>
      </c>
      <c r="H63" s="15">
        <v>150</v>
      </c>
      <c r="K63" s="18">
        <v>59</v>
      </c>
      <c r="L63" s="63">
        <v>10</v>
      </c>
      <c r="M63" s="39">
        <v>120</v>
      </c>
      <c r="N63" s="26">
        <f>INDEX(章节关卡!$C$6:$C$20,芦花古楼!L63)*芦花古楼!M63</f>
        <v>5280</v>
      </c>
      <c r="O63" s="23">
        <f t="shared" si="4"/>
        <v>65</v>
      </c>
      <c r="P63" s="23">
        <f t="shared" si="5"/>
        <v>75</v>
      </c>
      <c r="Q63" s="15">
        <f>INDEX(章节关卡!$E$6:$E$20,芦花古楼!L63)*芦花古楼!M63</f>
        <v>10800</v>
      </c>
      <c r="R63" s="15">
        <v>150</v>
      </c>
      <c r="U63" s="18">
        <v>59</v>
      </c>
      <c r="V63" s="63">
        <v>11</v>
      </c>
      <c r="W63" s="39">
        <v>180</v>
      </c>
      <c r="X63" s="26">
        <f>INDEX(章节关卡!$C$6:$C$20,芦花古楼!V63)*芦花古楼!W63</f>
        <v>9540</v>
      </c>
      <c r="Y63" s="23">
        <f t="shared" si="25"/>
        <v>70</v>
      </c>
      <c r="Z63" s="23">
        <f t="shared" si="26"/>
        <v>75</v>
      </c>
      <c r="AA63" s="15">
        <f>INDEX(章节关卡!$E$6:$E$20,芦花古楼!V63)*芦花古楼!W63</f>
        <v>19800</v>
      </c>
      <c r="AB63" s="15">
        <v>150</v>
      </c>
      <c r="AE63" s="18">
        <v>59</v>
      </c>
      <c r="AF63" s="63">
        <v>11</v>
      </c>
      <c r="AG63" s="39">
        <v>180</v>
      </c>
      <c r="AH63" s="26">
        <f>INDEX(章节关卡!$C$6:$C$20,芦花古楼!AF63)*芦花古楼!AG63</f>
        <v>9540</v>
      </c>
      <c r="AI63" s="23">
        <f t="shared" si="6"/>
        <v>75</v>
      </c>
      <c r="AJ63" s="23">
        <f t="shared" si="7"/>
        <v>75</v>
      </c>
      <c r="AK63" s="15">
        <f>INDEX(章节关卡!$E$6:$E$20,芦花古楼!AF63)*芦花古楼!AG63</f>
        <v>19800</v>
      </c>
      <c r="AL63" s="15">
        <v>150</v>
      </c>
      <c r="AO63" s="19">
        <v>58</v>
      </c>
      <c r="AP63" s="19">
        <v>17</v>
      </c>
      <c r="AR63" s="19">
        <v>58</v>
      </c>
      <c r="AS63" s="19">
        <f t="shared" si="11"/>
        <v>18</v>
      </c>
      <c r="AU63" s="19">
        <v>58</v>
      </c>
      <c r="AV63" s="19">
        <f t="shared" si="12"/>
        <v>19</v>
      </c>
      <c r="AX63" s="19">
        <v>58</v>
      </c>
      <c r="AY63" s="19">
        <f t="shared" si="13"/>
        <v>20</v>
      </c>
      <c r="BB63" s="19">
        <v>58</v>
      </c>
      <c r="BC63" s="15">
        <f t="shared" si="27"/>
        <v>185</v>
      </c>
      <c r="BD63" s="15">
        <f t="shared" si="28"/>
        <v>415</v>
      </c>
      <c r="BE63" s="15">
        <f t="shared" si="29"/>
        <v>32400</v>
      </c>
      <c r="BF63" s="15">
        <f t="shared" si="14"/>
        <v>1000</v>
      </c>
      <c r="CD63" s="52">
        <v>59</v>
      </c>
      <c r="CE63" s="52">
        <v>1</v>
      </c>
      <c r="CF63" s="54" t="s">
        <v>538</v>
      </c>
      <c r="CG63" s="52">
        <v>59</v>
      </c>
      <c r="CH63" s="52"/>
      <c r="CI63" s="52"/>
      <c r="CJ63" s="52"/>
      <c r="CK63" s="52" t="s">
        <v>539</v>
      </c>
      <c r="CL63" s="52">
        <v>4320</v>
      </c>
      <c r="CM63" s="52" t="s">
        <v>540</v>
      </c>
      <c r="CN63" s="52">
        <v>60</v>
      </c>
      <c r="CO63" s="52"/>
      <c r="CP63" s="52"/>
      <c r="CQ63" s="52" t="s">
        <v>540</v>
      </c>
      <c r="CR63" s="52">
        <v>75</v>
      </c>
      <c r="CS63" s="52"/>
      <c r="CT63" s="52"/>
      <c r="CU63" s="52"/>
      <c r="CV63" s="52"/>
      <c r="CW63" s="52"/>
      <c r="CX63" s="52"/>
      <c r="CY63" s="52"/>
      <c r="CZ63" s="52"/>
      <c r="DA63" s="52"/>
      <c r="DB63" s="52"/>
    </row>
    <row r="64" spans="1:106" ht="16.5" x14ac:dyDescent="0.2">
      <c r="A64" s="18">
        <v>60</v>
      </c>
      <c r="B64" s="63">
        <v>8</v>
      </c>
      <c r="C64" s="39">
        <v>60</v>
      </c>
      <c r="D64" s="26">
        <f>INDEX(章节关卡!$C$6:$C$20,芦花古楼!B64)*芦花古楼!C64</f>
        <v>1800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3600</v>
      </c>
      <c r="H64" s="15">
        <v>200</v>
      </c>
      <c r="K64" s="18">
        <v>60</v>
      </c>
      <c r="L64" s="63">
        <v>10</v>
      </c>
      <c r="M64" s="39">
        <v>120</v>
      </c>
      <c r="N64" s="26">
        <f>INDEX(章节关卡!$C$6:$C$20,芦花古楼!L64)*芦花古楼!M64</f>
        <v>5280</v>
      </c>
      <c r="O64" s="23">
        <f t="shared" si="4"/>
        <v>65</v>
      </c>
      <c r="P64" s="23">
        <f t="shared" si="5"/>
        <v>80</v>
      </c>
      <c r="Q64" s="15">
        <f>INDEX(章节关卡!$E$6:$E$20,芦花古楼!L64)*芦花古楼!M64</f>
        <v>10800</v>
      </c>
      <c r="R64" s="15">
        <v>200</v>
      </c>
      <c r="U64" s="18">
        <v>60</v>
      </c>
      <c r="V64" s="26">
        <v>12</v>
      </c>
      <c r="W64" s="39">
        <v>180</v>
      </c>
      <c r="X64" s="26">
        <f>INDEX(章节关卡!$C$6:$C$20,芦花古楼!V64)*芦花古楼!W64</f>
        <v>11700</v>
      </c>
      <c r="Y64" s="23">
        <f t="shared" si="25"/>
        <v>70</v>
      </c>
      <c r="Z64" s="23">
        <f t="shared" si="26"/>
        <v>80</v>
      </c>
      <c r="AA64" s="15">
        <f>INDEX(章节关卡!$E$6:$E$20,芦花古楼!V64)*芦花古楼!W64</f>
        <v>23400</v>
      </c>
      <c r="AB64" s="15">
        <v>200</v>
      </c>
      <c r="AE64" s="18">
        <v>60</v>
      </c>
      <c r="AF64" s="63">
        <v>12</v>
      </c>
      <c r="AG64" s="39">
        <v>180</v>
      </c>
      <c r="AH64" s="26">
        <f>INDEX(章节关卡!$C$6:$C$20,芦花古楼!AF64)*芦花古楼!AG64</f>
        <v>11700</v>
      </c>
      <c r="AI64" s="23">
        <f t="shared" si="6"/>
        <v>75</v>
      </c>
      <c r="AJ64" s="23">
        <f t="shared" si="7"/>
        <v>80</v>
      </c>
      <c r="AK64" s="15">
        <f>INDEX(章节关卡!$E$6:$E$20,芦花古楼!AF64)*芦花古楼!AG64</f>
        <v>23400</v>
      </c>
      <c r="AL64" s="15">
        <v>200</v>
      </c>
      <c r="AO64" s="19">
        <v>59</v>
      </c>
      <c r="AP64" s="19">
        <v>18</v>
      </c>
      <c r="AR64" s="19">
        <v>59</v>
      </c>
      <c r="AS64" s="19">
        <f t="shared" si="11"/>
        <v>19</v>
      </c>
      <c r="AU64" s="19">
        <v>59</v>
      </c>
      <c r="AV64" s="19">
        <f t="shared" si="12"/>
        <v>20</v>
      </c>
      <c r="AX64" s="19">
        <v>59</v>
      </c>
      <c r="AY64" s="19">
        <f t="shared" si="13"/>
        <v>21</v>
      </c>
      <c r="BB64" s="19">
        <v>59</v>
      </c>
      <c r="BC64" s="15">
        <f t="shared" si="27"/>
        <v>195</v>
      </c>
      <c r="BD64" s="15">
        <f t="shared" si="28"/>
        <v>420</v>
      </c>
      <c r="BE64" s="15">
        <f t="shared" si="29"/>
        <v>42600</v>
      </c>
      <c r="BF64" s="15">
        <f t="shared" si="14"/>
        <v>1000</v>
      </c>
      <c r="CD64" s="52">
        <v>60</v>
      </c>
      <c r="CE64" s="52">
        <v>1</v>
      </c>
      <c r="CF64" s="54" t="s">
        <v>538</v>
      </c>
      <c r="CG64" s="52">
        <v>60</v>
      </c>
      <c r="CH64" s="52"/>
      <c r="CI64" s="52"/>
      <c r="CJ64" s="52"/>
      <c r="CK64" s="52" t="s">
        <v>539</v>
      </c>
      <c r="CL64" s="52">
        <v>5400</v>
      </c>
      <c r="CM64" s="52" t="s">
        <v>540</v>
      </c>
      <c r="CN64" s="52">
        <v>60</v>
      </c>
      <c r="CO64" s="52"/>
      <c r="CP64" s="52"/>
      <c r="CQ64" s="52" t="s">
        <v>540</v>
      </c>
      <c r="CR64" s="52">
        <v>80</v>
      </c>
      <c r="CS64" s="52"/>
      <c r="CT64" s="52"/>
      <c r="CU64" s="52"/>
      <c r="CV64" s="52"/>
      <c r="CW64" s="52"/>
      <c r="CX64" s="52"/>
      <c r="CY64" s="52"/>
      <c r="CZ64" s="52"/>
      <c r="DA64" s="52"/>
      <c r="DB64" s="52"/>
    </row>
    <row r="65" spans="1:106" ht="16.5" x14ac:dyDescent="0.2">
      <c r="A65" s="18">
        <v>61</v>
      </c>
      <c r="B65" s="63">
        <v>8</v>
      </c>
      <c r="C65" s="39">
        <v>60</v>
      </c>
      <c r="D65" s="26">
        <f>INDEX(章节关卡!$C$6:$C$20,芦花古楼!B65)*芦花古楼!C65</f>
        <v>1800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3600</v>
      </c>
      <c r="H65" s="15">
        <v>200</v>
      </c>
      <c r="K65" s="18">
        <v>61</v>
      </c>
      <c r="L65" s="63">
        <v>10</v>
      </c>
      <c r="M65" s="39">
        <v>120</v>
      </c>
      <c r="N65" s="26">
        <f>INDEX(章节关卡!$C$6:$C$20,芦花古楼!L65)*芦花古楼!M65</f>
        <v>5280</v>
      </c>
      <c r="O65" s="23">
        <f t="shared" si="4"/>
        <v>70</v>
      </c>
      <c r="P65" s="23">
        <f t="shared" si="5"/>
        <v>80</v>
      </c>
      <c r="Q65" s="15">
        <f>INDEX(章节关卡!$E$6:$E$20,芦花古楼!L65)*芦花古楼!M65</f>
        <v>10800</v>
      </c>
      <c r="R65" s="15">
        <v>200</v>
      </c>
      <c r="U65" s="18">
        <v>61</v>
      </c>
      <c r="V65" s="26">
        <v>12</v>
      </c>
      <c r="W65" s="39">
        <v>180</v>
      </c>
      <c r="X65" s="26">
        <f>INDEX(章节关卡!$C$6:$C$20,芦花古楼!V65)*芦花古楼!W65</f>
        <v>11700</v>
      </c>
      <c r="Y65" s="23">
        <f t="shared" si="25"/>
        <v>75</v>
      </c>
      <c r="Z65" s="23">
        <f t="shared" si="26"/>
        <v>80</v>
      </c>
      <c r="AA65" s="15">
        <f>INDEX(章节关卡!$E$6:$E$20,芦花古楼!V65)*芦花古楼!W65</f>
        <v>23400</v>
      </c>
      <c r="AB65" s="15">
        <v>200</v>
      </c>
      <c r="AE65" s="18">
        <v>61</v>
      </c>
      <c r="AF65" s="63">
        <v>12</v>
      </c>
      <c r="AG65" s="39">
        <v>180</v>
      </c>
      <c r="AH65" s="26">
        <f>INDEX(章节关卡!$C$6:$C$20,芦花古楼!AF65)*芦花古楼!AG65</f>
        <v>11700</v>
      </c>
      <c r="AI65" s="23">
        <f t="shared" si="6"/>
        <v>80</v>
      </c>
      <c r="AJ65" s="23">
        <f t="shared" si="7"/>
        <v>80</v>
      </c>
      <c r="AK65" s="15">
        <f>INDEX(章节关卡!$E$6:$E$20,芦花古楼!AF65)*芦花古楼!AG65</f>
        <v>23400</v>
      </c>
      <c r="AL65" s="15">
        <v>200</v>
      </c>
      <c r="AO65" s="19">
        <v>60</v>
      </c>
      <c r="AP65" s="19">
        <v>18</v>
      </c>
      <c r="AR65" s="19">
        <v>60</v>
      </c>
      <c r="AS65" s="19">
        <f t="shared" si="11"/>
        <v>19</v>
      </c>
      <c r="AU65" s="19">
        <v>60</v>
      </c>
      <c r="AV65" s="19">
        <f t="shared" si="12"/>
        <v>20</v>
      </c>
      <c r="AX65" s="19">
        <v>60</v>
      </c>
      <c r="AY65" s="19">
        <f t="shared" si="13"/>
        <v>21</v>
      </c>
      <c r="BB65" s="19">
        <v>60</v>
      </c>
      <c r="BC65" s="15">
        <f t="shared" si="27"/>
        <v>190</v>
      </c>
      <c r="BD65" s="15">
        <f t="shared" si="28"/>
        <v>420</v>
      </c>
      <c r="BE65" s="15">
        <f t="shared" si="29"/>
        <v>32400</v>
      </c>
      <c r="BF65" s="15">
        <f t="shared" si="14"/>
        <v>1000</v>
      </c>
      <c r="CD65" s="52">
        <v>61</v>
      </c>
      <c r="CE65" s="52">
        <v>1</v>
      </c>
      <c r="CF65" s="54" t="s">
        <v>538</v>
      </c>
      <c r="CG65" s="52">
        <v>61</v>
      </c>
      <c r="CH65" s="52"/>
      <c r="CI65" s="52"/>
      <c r="CJ65" s="52"/>
      <c r="CK65" s="52" t="s">
        <v>539</v>
      </c>
      <c r="CL65" s="52">
        <v>5400</v>
      </c>
      <c r="CM65" s="52" t="s">
        <v>540</v>
      </c>
      <c r="CN65" s="52">
        <v>65</v>
      </c>
      <c r="CO65" s="52"/>
      <c r="CP65" s="52"/>
      <c r="CQ65" s="52" t="s">
        <v>540</v>
      </c>
      <c r="CR65" s="52">
        <v>80</v>
      </c>
      <c r="CS65" s="52"/>
      <c r="CT65" s="52"/>
      <c r="CU65" s="52"/>
      <c r="CV65" s="52"/>
      <c r="CW65" s="52"/>
      <c r="CX65" s="52"/>
      <c r="CY65" s="52"/>
      <c r="CZ65" s="52"/>
      <c r="DA65" s="52"/>
      <c r="DB65" s="52"/>
    </row>
    <row r="66" spans="1:106" ht="16.5" x14ac:dyDescent="0.2">
      <c r="A66" s="18">
        <v>62</v>
      </c>
      <c r="B66" s="63">
        <v>8</v>
      </c>
      <c r="C66" s="39">
        <v>60</v>
      </c>
      <c r="D66" s="26">
        <f>INDEX(章节关卡!$C$6:$C$20,芦花古楼!B66)*芦花古楼!C66</f>
        <v>1800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3600</v>
      </c>
      <c r="H66" s="15">
        <v>200</v>
      </c>
      <c r="K66" s="18">
        <v>62</v>
      </c>
      <c r="L66" s="63">
        <v>10</v>
      </c>
      <c r="M66" s="39">
        <v>120</v>
      </c>
      <c r="N66" s="26">
        <f>INDEX(章节关卡!$C$6:$C$20,芦花古楼!L66)*芦花古楼!M66</f>
        <v>5280</v>
      </c>
      <c r="O66" s="23">
        <f t="shared" si="4"/>
        <v>70</v>
      </c>
      <c r="P66" s="23">
        <f t="shared" si="5"/>
        <v>80</v>
      </c>
      <c r="Q66" s="15">
        <f>INDEX(章节关卡!$E$6:$E$20,芦花古楼!L66)*芦花古楼!M66</f>
        <v>10800</v>
      </c>
      <c r="R66" s="15">
        <v>200</v>
      </c>
      <c r="U66" s="18">
        <v>62</v>
      </c>
      <c r="V66" s="26">
        <v>12</v>
      </c>
      <c r="W66" s="39">
        <v>180</v>
      </c>
      <c r="X66" s="26">
        <f>INDEX(章节关卡!$C$6:$C$20,芦花古楼!V66)*芦花古楼!W66</f>
        <v>11700</v>
      </c>
      <c r="Y66" s="23">
        <f t="shared" si="25"/>
        <v>75</v>
      </c>
      <c r="Z66" s="23">
        <f t="shared" si="26"/>
        <v>80</v>
      </c>
      <c r="AA66" s="15">
        <f>INDEX(章节关卡!$E$6:$E$20,芦花古楼!V66)*芦花古楼!W66</f>
        <v>23400</v>
      </c>
      <c r="AB66" s="15">
        <v>200</v>
      </c>
      <c r="AE66" s="18">
        <v>62</v>
      </c>
      <c r="AF66" s="63">
        <v>12</v>
      </c>
      <c r="AG66" s="39">
        <v>180</v>
      </c>
      <c r="AH66" s="26">
        <f>INDEX(章节关卡!$C$6:$C$20,芦花古楼!AF66)*芦花古楼!AG66</f>
        <v>11700</v>
      </c>
      <c r="AI66" s="23">
        <f t="shared" si="6"/>
        <v>80</v>
      </c>
      <c r="AJ66" s="23">
        <f t="shared" si="7"/>
        <v>80</v>
      </c>
      <c r="AK66" s="15">
        <f>INDEX(章节关卡!$E$6:$E$20,芦花古楼!AF66)*芦花古楼!AG66</f>
        <v>23400</v>
      </c>
      <c r="AL66" s="15">
        <v>200</v>
      </c>
      <c r="AO66" s="19">
        <v>61</v>
      </c>
      <c r="AP66" s="19">
        <v>19</v>
      </c>
      <c r="AR66" s="19">
        <v>61</v>
      </c>
      <c r="AS66" s="19">
        <f t="shared" si="11"/>
        <v>20</v>
      </c>
      <c r="AU66" s="19">
        <v>61</v>
      </c>
      <c r="AV66" s="19">
        <f t="shared" si="12"/>
        <v>21</v>
      </c>
      <c r="AX66" s="19">
        <v>61</v>
      </c>
      <c r="AY66" s="19">
        <f t="shared" si="13"/>
        <v>22</v>
      </c>
      <c r="BB66" s="19">
        <v>61</v>
      </c>
      <c r="BC66" s="15">
        <f t="shared" si="27"/>
        <v>200</v>
      </c>
      <c r="BD66" s="15">
        <f t="shared" si="28"/>
        <v>420</v>
      </c>
      <c r="BE66" s="15">
        <f t="shared" si="29"/>
        <v>42600</v>
      </c>
      <c r="BF66" s="15">
        <f t="shared" si="14"/>
        <v>1000</v>
      </c>
      <c r="CD66" s="52">
        <v>62</v>
      </c>
      <c r="CE66" s="52">
        <v>1</v>
      </c>
      <c r="CF66" s="54" t="s">
        <v>538</v>
      </c>
      <c r="CG66" s="52">
        <v>62</v>
      </c>
      <c r="CH66" s="52"/>
      <c r="CI66" s="52"/>
      <c r="CJ66" s="52"/>
      <c r="CK66" s="52" t="s">
        <v>539</v>
      </c>
      <c r="CL66" s="52">
        <v>5400</v>
      </c>
      <c r="CM66" s="52" t="s">
        <v>540</v>
      </c>
      <c r="CN66" s="52">
        <v>65</v>
      </c>
      <c r="CO66" s="52"/>
      <c r="CP66" s="52"/>
      <c r="CQ66" s="52" t="s">
        <v>540</v>
      </c>
      <c r="CR66" s="52">
        <v>80</v>
      </c>
      <c r="CS66" s="52"/>
      <c r="CT66" s="52"/>
      <c r="CU66" s="52"/>
      <c r="CV66" s="52"/>
      <c r="CW66" s="52"/>
      <c r="CX66" s="52"/>
      <c r="CY66" s="52"/>
      <c r="CZ66" s="52"/>
      <c r="DA66" s="52"/>
      <c r="DB66" s="52"/>
    </row>
    <row r="67" spans="1:106" ht="16.5" x14ac:dyDescent="0.2">
      <c r="A67" s="18">
        <v>63</v>
      </c>
      <c r="B67" s="63">
        <v>8</v>
      </c>
      <c r="C67" s="39">
        <v>60</v>
      </c>
      <c r="D67" s="26">
        <f>INDEX(章节关卡!$C$6:$C$20,芦花古楼!B67)*芦花古楼!C67</f>
        <v>1800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3600</v>
      </c>
      <c r="H67" s="15">
        <v>200</v>
      </c>
      <c r="K67" s="18">
        <v>63</v>
      </c>
      <c r="L67" s="63">
        <v>10</v>
      </c>
      <c r="M67" s="39">
        <v>120</v>
      </c>
      <c r="N67" s="26">
        <f>INDEX(章节关卡!$C$6:$C$20,芦花古楼!L67)*芦花古楼!M67</f>
        <v>5280</v>
      </c>
      <c r="O67" s="23">
        <f t="shared" si="4"/>
        <v>70</v>
      </c>
      <c r="P67" s="23">
        <f t="shared" si="5"/>
        <v>80</v>
      </c>
      <c r="Q67" s="15">
        <f>INDEX(章节关卡!$E$6:$E$20,芦花古楼!L67)*芦花古楼!M67</f>
        <v>10800</v>
      </c>
      <c r="R67" s="15">
        <v>200</v>
      </c>
      <c r="U67" s="18">
        <v>63</v>
      </c>
      <c r="V67" s="26">
        <v>12</v>
      </c>
      <c r="W67" s="39">
        <v>180</v>
      </c>
      <c r="X67" s="26">
        <f>INDEX(章节关卡!$C$6:$C$20,芦花古楼!V67)*芦花古楼!W67</f>
        <v>11700</v>
      </c>
      <c r="Y67" s="23">
        <f t="shared" si="25"/>
        <v>75</v>
      </c>
      <c r="Z67" s="23">
        <f t="shared" si="26"/>
        <v>80</v>
      </c>
      <c r="AA67" s="15">
        <f>INDEX(章节关卡!$E$6:$E$20,芦花古楼!V67)*芦花古楼!W67</f>
        <v>23400</v>
      </c>
      <c r="AB67" s="15">
        <v>200</v>
      </c>
      <c r="AE67" s="18">
        <v>63</v>
      </c>
      <c r="AF67" s="63">
        <v>12</v>
      </c>
      <c r="AG67" s="39">
        <v>180</v>
      </c>
      <c r="AH67" s="26">
        <f>INDEX(章节关卡!$C$6:$C$20,芦花古楼!AF67)*芦花古楼!AG67</f>
        <v>11700</v>
      </c>
      <c r="AI67" s="23">
        <f t="shared" si="6"/>
        <v>80</v>
      </c>
      <c r="AJ67" s="23">
        <f t="shared" si="7"/>
        <v>80</v>
      </c>
      <c r="AK67" s="15">
        <f>INDEX(章节关卡!$E$6:$E$20,芦花古楼!AF67)*芦花古楼!AG67</f>
        <v>23400</v>
      </c>
      <c r="AL67" s="15">
        <v>200</v>
      </c>
      <c r="AO67" s="19">
        <v>62</v>
      </c>
      <c r="AP67" s="19">
        <v>20</v>
      </c>
      <c r="AR67" s="19">
        <v>62</v>
      </c>
      <c r="AS67" s="19">
        <f t="shared" si="11"/>
        <v>21</v>
      </c>
      <c r="AU67" s="19">
        <v>62</v>
      </c>
      <c r="AV67" s="19">
        <f t="shared" si="12"/>
        <v>22</v>
      </c>
      <c r="AX67" s="19">
        <v>62</v>
      </c>
      <c r="AY67" s="19">
        <f t="shared" si="13"/>
        <v>23</v>
      </c>
      <c r="BB67" s="19">
        <v>62</v>
      </c>
      <c r="BC67" s="15">
        <f t="shared" si="27"/>
        <v>100</v>
      </c>
      <c r="BD67" s="15">
        <f t="shared" si="28"/>
        <v>420</v>
      </c>
      <c r="BE67" s="15">
        <f t="shared" si="29"/>
        <v>27000</v>
      </c>
      <c r="BF67" s="15">
        <f t="shared" si="14"/>
        <v>1000</v>
      </c>
      <c r="CD67" s="52">
        <v>63</v>
      </c>
      <c r="CE67" s="52">
        <v>1</v>
      </c>
      <c r="CF67" s="54" t="s">
        <v>538</v>
      </c>
      <c r="CG67" s="52">
        <v>63</v>
      </c>
      <c r="CH67" s="52"/>
      <c r="CI67" s="52"/>
      <c r="CJ67" s="52"/>
      <c r="CK67" s="52" t="s">
        <v>539</v>
      </c>
      <c r="CL67" s="52">
        <v>5400</v>
      </c>
      <c r="CM67" s="52" t="s">
        <v>540</v>
      </c>
      <c r="CN67" s="52">
        <v>65</v>
      </c>
      <c r="CO67" s="52"/>
      <c r="CP67" s="52"/>
      <c r="CQ67" s="52" t="s">
        <v>540</v>
      </c>
      <c r="CR67" s="52">
        <v>80</v>
      </c>
      <c r="CS67" s="52"/>
      <c r="CT67" s="52"/>
      <c r="CU67" s="52"/>
      <c r="CV67" s="52"/>
      <c r="CW67" s="52"/>
      <c r="CX67" s="52"/>
      <c r="CY67" s="52"/>
      <c r="CZ67" s="52"/>
      <c r="DA67" s="52"/>
      <c r="DB67" s="52"/>
    </row>
    <row r="68" spans="1:106" ht="16.5" x14ac:dyDescent="0.2">
      <c r="A68" s="18">
        <v>64</v>
      </c>
      <c r="B68" s="63">
        <v>8</v>
      </c>
      <c r="C68" s="39">
        <v>60</v>
      </c>
      <c r="D68" s="26">
        <f>INDEX(章节关卡!$C$6:$C$20,芦花古楼!B68)*芦花古楼!C68</f>
        <v>1800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3600</v>
      </c>
      <c r="H68" s="15">
        <v>200</v>
      </c>
      <c r="K68" s="18">
        <v>64</v>
      </c>
      <c r="L68" s="63">
        <v>10</v>
      </c>
      <c r="M68" s="39">
        <v>120</v>
      </c>
      <c r="N68" s="26">
        <f>INDEX(章节关卡!$C$6:$C$20,芦花古楼!L68)*芦花古楼!M68</f>
        <v>5280</v>
      </c>
      <c r="O68" s="23">
        <f t="shared" si="4"/>
        <v>70</v>
      </c>
      <c r="P68" s="23">
        <f t="shared" si="5"/>
        <v>80</v>
      </c>
      <c r="Q68" s="15">
        <f>INDEX(章节关卡!$E$6:$E$20,芦花古楼!L68)*芦花古楼!M68</f>
        <v>10800</v>
      </c>
      <c r="R68" s="15">
        <v>200</v>
      </c>
      <c r="U68" s="18">
        <v>64</v>
      </c>
      <c r="V68" s="26">
        <v>12</v>
      </c>
      <c r="W68" s="39">
        <v>180</v>
      </c>
      <c r="X68" s="26">
        <f>INDEX(章节关卡!$C$6:$C$20,芦花古楼!V68)*芦花古楼!W68</f>
        <v>11700</v>
      </c>
      <c r="Y68" s="23">
        <f t="shared" si="25"/>
        <v>75</v>
      </c>
      <c r="Z68" s="23">
        <f t="shared" si="26"/>
        <v>80</v>
      </c>
      <c r="AA68" s="15">
        <f>INDEX(章节关卡!$E$6:$E$20,芦花古楼!V68)*芦花古楼!W68</f>
        <v>23400</v>
      </c>
      <c r="AB68" s="15">
        <v>200</v>
      </c>
      <c r="AE68" s="18">
        <v>64</v>
      </c>
      <c r="AF68" s="63">
        <v>12</v>
      </c>
      <c r="AG68" s="39">
        <v>180</v>
      </c>
      <c r="AH68" s="26">
        <f>INDEX(章节关卡!$C$6:$C$20,芦花古楼!AF68)*芦花古楼!AG68</f>
        <v>11700</v>
      </c>
      <c r="AI68" s="23">
        <f t="shared" si="6"/>
        <v>80</v>
      </c>
      <c r="AJ68" s="23">
        <f t="shared" si="7"/>
        <v>80</v>
      </c>
      <c r="AK68" s="15">
        <f>INDEX(章节关卡!$E$6:$E$20,芦花古楼!AF68)*芦花古楼!AG68</f>
        <v>23400</v>
      </c>
      <c r="AL68" s="15">
        <v>200</v>
      </c>
      <c r="AO68" s="19">
        <v>63</v>
      </c>
      <c r="AP68" s="19">
        <v>21</v>
      </c>
      <c r="AR68" s="19">
        <v>63</v>
      </c>
      <c r="AS68" s="19">
        <f t="shared" si="11"/>
        <v>22</v>
      </c>
      <c r="AU68" s="19">
        <v>63</v>
      </c>
      <c r="AV68" s="19">
        <f t="shared" si="12"/>
        <v>23</v>
      </c>
      <c r="AX68" s="19">
        <v>63</v>
      </c>
      <c r="AY68" s="19">
        <f t="shared" si="13"/>
        <v>24</v>
      </c>
      <c r="BB68" s="19">
        <v>63</v>
      </c>
      <c r="BC68" s="15">
        <f t="shared" si="27"/>
        <v>195</v>
      </c>
      <c r="BD68" s="15">
        <f t="shared" si="28"/>
        <v>420</v>
      </c>
      <c r="BE68" s="15">
        <f t="shared" si="29"/>
        <v>32400</v>
      </c>
      <c r="BF68" s="15">
        <f t="shared" si="14"/>
        <v>1000</v>
      </c>
      <c r="CD68" s="52">
        <v>64</v>
      </c>
      <c r="CE68" s="52">
        <v>1</v>
      </c>
      <c r="CF68" s="54" t="s">
        <v>538</v>
      </c>
      <c r="CG68" s="52">
        <v>64</v>
      </c>
      <c r="CH68" s="52"/>
      <c r="CI68" s="52"/>
      <c r="CJ68" s="52"/>
      <c r="CK68" s="52" t="s">
        <v>539</v>
      </c>
      <c r="CL68" s="52">
        <v>5400</v>
      </c>
      <c r="CM68" s="52" t="s">
        <v>540</v>
      </c>
      <c r="CN68" s="52">
        <v>65</v>
      </c>
      <c r="CO68" s="52"/>
      <c r="CP68" s="52"/>
      <c r="CQ68" s="52" t="s">
        <v>540</v>
      </c>
      <c r="CR68" s="52">
        <v>80</v>
      </c>
      <c r="CS68" s="52"/>
      <c r="CT68" s="52"/>
      <c r="CU68" s="52"/>
      <c r="CV68" s="52"/>
      <c r="CW68" s="52"/>
      <c r="CX68" s="52"/>
      <c r="CY68" s="52"/>
      <c r="CZ68" s="52"/>
      <c r="DA68" s="52"/>
      <c r="DB68" s="52"/>
    </row>
    <row r="69" spans="1:106" ht="16.5" x14ac:dyDescent="0.2">
      <c r="A69" s="18">
        <v>65</v>
      </c>
      <c r="B69" s="26">
        <v>9</v>
      </c>
      <c r="C69" s="39">
        <v>60</v>
      </c>
      <c r="D69" s="26">
        <f>INDEX(章节关卡!$C$6:$C$20,芦花古楼!B69)*芦花古楼!C69</f>
        <v>2160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4320</v>
      </c>
      <c r="H69" s="15">
        <v>200</v>
      </c>
      <c r="K69" s="18">
        <v>65</v>
      </c>
      <c r="L69" s="63">
        <v>10</v>
      </c>
      <c r="M69" s="39">
        <v>120</v>
      </c>
      <c r="N69" s="26">
        <f>INDEX(章节关卡!$C$6:$C$20,芦花古楼!L69)*芦花古楼!M69</f>
        <v>5280</v>
      </c>
      <c r="O69" s="23">
        <f t="shared" si="4"/>
        <v>70</v>
      </c>
      <c r="P69" s="23">
        <f t="shared" si="5"/>
        <v>85</v>
      </c>
      <c r="Q69" s="15">
        <f>INDEX(章节关卡!$E$6:$E$20,芦花古楼!L69)*芦花古楼!M69</f>
        <v>10800</v>
      </c>
      <c r="R69" s="15">
        <v>200</v>
      </c>
      <c r="U69" s="18">
        <v>65</v>
      </c>
      <c r="V69" s="26">
        <v>12</v>
      </c>
      <c r="W69" s="39">
        <v>180</v>
      </c>
      <c r="X69" s="26">
        <f>INDEX(章节关卡!$C$6:$C$20,芦花古楼!V69)*芦花古楼!W69</f>
        <v>11700</v>
      </c>
      <c r="Y69" s="23">
        <f t="shared" ref="Y69:Y104" si="38">INT((U69-1)/5+3)*5</f>
        <v>75</v>
      </c>
      <c r="Z69" s="23">
        <f t="shared" ref="Z69:Z104" si="39">INT(U69/5)*5+20</f>
        <v>85</v>
      </c>
      <c r="AA69" s="15">
        <f>INDEX(章节关卡!$E$6:$E$20,芦花古楼!V69)*芦花古楼!W69</f>
        <v>23400</v>
      </c>
      <c r="AB69" s="15">
        <v>200</v>
      </c>
      <c r="AE69" s="18">
        <v>65</v>
      </c>
      <c r="AF69" s="63">
        <v>12</v>
      </c>
      <c r="AG69" s="39">
        <v>180</v>
      </c>
      <c r="AH69" s="26">
        <f>INDEX(章节关卡!$C$6:$C$20,芦花古楼!AF69)*芦花古楼!AG69</f>
        <v>11700</v>
      </c>
      <c r="AI69" s="23">
        <f t="shared" si="6"/>
        <v>80</v>
      </c>
      <c r="AJ69" s="23">
        <f t="shared" si="7"/>
        <v>85</v>
      </c>
      <c r="AK69" s="15">
        <f>INDEX(章节关卡!$E$6:$E$20,芦花古楼!AF69)*芦花古楼!AG69</f>
        <v>23400</v>
      </c>
      <c r="AL69" s="15">
        <v>200</v>
      </c>
      <c r="AO69" s="19">
        <v>64</v>
      </c>
      <c r="AP69" s="19">
        <v>22</v>
      </c>
      <c r="AR69" s="19">
        <v>64</v>
      </c>
      <c r="AS69" s="19">
        <f t="shared" si="11"/>
        <v>23</v>
      </c>
      <c r="AU69" s="19">
        <v>64</v>
      </c>
      <c r="AV69" s="19">
        <f t="shared" si="12"/>
        <v>24</v>
      </c>
      <c r="AX69" s="19">
        <v>64</v>
      </c>
      <c r="AY69" s="19">
        <f t="shared" si="13"/>
        <v>25</v>
      </c>
      <c r="BB69" s="19">
        <v>64</v>
      </c>
      <c r="BC69" s="15">
        <f t="shared" si="27"/>
        <v>95</v>
      </c>
      <c r="BD69" s="15">
        <f t="shared" si="28"/>
        <v>420</v>
      </c>
      <c r="BE69" s="15">
        <f t="shared" si="29"/>
        <v>15600</v>
      </c>
      <c r="BF69" s="15">
        <f t="shared" si="14"/>
        <v>1000</v>
      </c>
      <c r="CD69" s="52">
        <v>65</v>
      </c>
      <c r="CE69" s="52">
        <v>1</v>
      </c>
      <c r="CF69" s="54" t="s">
        <v>538</v>
      </c>
      <c r="CG69" s="52">
        <v>65</v>
      </c>
      <c r="CH69" s="52"/>
      <c r="CI69" s="52"/>
      <c r="CJ69" s="52"/>
      <c r="CK69" s="52" t="s">
        <v>539</v>
      </c>
      <c r="CL69" s="52">
        <v>5400</v>
      </c>
      <c r="CM69" s="52" t="s">
        <v>540</v>
      </c>
      <c r="CN69" s="52">
        <v>65</v>
      </c>
      <c r="CO69" s="52"/>
      <c r="CP69" s="52"/>
      <c r="CQ69" s="52" t="s">
        <v>540</v>
      </c>
      <c r="CR69" s="52">
        <v>85</v>
      </c>
      <c r="CS69" s="52"/>
      <c r="CT69" s="52"/>
      <c r="CU69" s="52"/>
      <c r="CV69" s="52"/>
      <c r="CW69" s="52"/>
      <c r="CX69" s="52"/>
      <c r="CY69" s="52"/>
      <c r="CZ69" s="52"/>
      <c r="DA69" s="52"/>
      <c r="DB69" s="52"/>
    </row>
    <row r="70" spans="1:106" ht="16.5" x14ac:dyDescent="0.2">
      <c r="A70" s="18">
        <v>66</v>
      </c>
      <c r="B70" s="63">
        <v>9</v>
      </c>
      <c r="C70" s="39">
        <v>60</v>
      </c>
      <c r="D70" s="26">
        <f>INDEX(章节关卡!$C$6:$C$20,芦花古楼!B70)*芦花古楼!C70</f>
        <v>2160</v>
      </c>
      <c r="E70" s="23">
        <f t="shared" ref="E70:E104" si="40">INT((A70-1)/5+1)*5</f>
        <v>70</v>
      </c>
      <c r="F70" s="23">
        <f t="shared" ref="F70:F104" si="41">INT(A70/5)*5+20</f>
        <v>85</v>
      </c>
      <c r="G70" s="15">
        <f>INDEX(章节关卡!$E$6:$E$20,芦花古楼!B70)*芦花古楼!C70</f>
        <v>4320</v>
      </c>
      <c r="H70" s="15">
        <v>200</v>
      </c>
      <c r="K70" s="18">
        <v>66</v>
      </c>
      <c r="L70" s="63">
        <v>10</v>
      </c>
      <c r="M70" s="39">
        <v>120</v>
      </c>
      <c r="N70" s="26">
        <f>INDEX(章节关卡!$C$6:$C$20,芦花古楼!L70)*芦花古楼!M70</f>
        <v>5280</v>
      </c>
      <c r="O70" s="23">
        <f t="shared" ref="O70:O104" si="42">INT((K70-1)/5+2)*5</f>
        <v>75</v>
      </c>
      <c r="P70" s="23">
        <f t="shared" ref="P70:P104" si="43">INT(K70/5)*5+20</f>
        <v>85</v>
      </c>
      <c r="Q70" s="15">
        <f>INDEX(章节关卡!$E$6:$E$20,芦花古楼!L70)*芦花古楼!M70</f>
        <v>10800</v>
      </c>
      <c r="R70" s="15">
        <v>200</v>
      </c>
      <c r="U70" s="18">
        <v>66</v>
      </c>
      <c r="V70" s="26">
        <v>12</v>
      </c>
      <c r="W70" s="39">
        <v>180</v>
      </c>
      <c r="X70" s="26">
        <f>INDEX(章节关卡!$C$6:$C$20,芦花古楼!V70)*芦花古楼!W70</f>
        <v>11700</v>
      </c>
      <c r="Y70" s="23">
        <f t="shared" si="38"/>
        <v>80</v>
      </c>
      <c r="Z70" s="23">
        <f t="shared" si="39"/>
        <v>85</v>
      </c>
      <c r="AA70" s="15">
        <f>INDEX(章节关卡!$E$6:$E$20,芦花古楼!V70)*芦花古楼!W70</f>
        <v>23400</v>
      </c>
      <c r="AB70" s="15">
        <v>200</v>
      </c>
      <c r="AE70" s="18">
        <v>66</v>
      </c>
      <c r="AF70" s="63">
        <v>12</v>
      </c>
      <c r="AG70" s="39">
        <v>180</v>
      </c>
      <c r="AH70" s="26">
        <f>INDEX(章节关卡!$C$6:$C$20,芦花古楼!AF70)*芦花古楼!AG70</f>
        <v>11700</v>
      </c>
      <c r="AI70" s="23">
        <f t="shared" ref="AI70:AI104" si="44">INT((AE70-1)/5+4)*5</f>
        <v>85</v>
      </c>
      <c r="AJ70" s="23">
        <f t="shared" ref="AJ70:AJ104" si="45">INT(AE70/5)*5+20</f>
        <v>85</v>
      </c>
      <c r="AK70" s="15">
        <f>INDEX(章节关卡!$E$6:$E$20,芦花古楼!AF70)*芦花古楼!AG70</f>
        <v>23400</v>
      </c>
      <c r="AL70" s="15">
        <v>200</v>
      </c>
      <c r="AO70" s="19">
        <v>65</v>
      </c>
      <c r="AP70" s="19">
        <v>23</v>
      </c>
      <c r="AR70" s="19">
        <v>65</v>
      </c>
      <c r="AS70" s="19">
        <f t="shared" si="11"/>
        <v>24</v>
      </c>
      <c r="AU70" s="19">
        <v>65</v>
      </c>
      <c r="AV70" s="19">
        <f t="shared" si="12"/>
        <v>25</v>
      </c>
      <c r="AX70" s="19">
        <v>65</v>
      </c>
      <c r="AY70" s="19">
        <f t="shared" si="13"/>
        <v>26</v>
      </c>
      <c r="BB70" s="19">
        <v>65</v>
      </c>
      <c r="BC70" s="15">
        <f t="shared" ref="BC70:BC101" si="46">SUMIFS($E$5:$E$104,$AP$6:$AP$105,"="&amp;BB70)+SUMIFS($O$5:$O$104,$AS$6:$AS$105,"="&amp;BB70)+SUMIFS($Y$5:$Y$104,$AV$6:$AV$105,"="&amp;BB70)+SUMIFS($AI$5:$AI$104,$AY$6:$AY$105,"="&amp;BB70)</f>
        <v>100</v>
      </c>
      <c r="BD70" s="15">
        <f t="shared" ref="BD70:BD105" si="47">INDEX($F$5:$F$104,MATCH(BB70,$AP$5:$AP$105,1)-1)+INDEX($P$5:$P$104,MATCH(BB70,$AS$5:$AS$105,1)-1)+INDEX($Z$5:$Z$104,MATCH(BB70,$AV$5:$AV$105,1)-1)+INDEX($AJ$5:$AJ$104,MATCH(BB70,$AY$5:$AY$105,1)-1)</f>
        <v>420</v>
      </c>
      <c r="BE70" s="15">
        <f t="shared" ref="BE70:BE105" si="48">SUMIFS($G$5:$G$104,$AP$6:$AP$105,"="&amp;BB70)+SUMIFS($Q$5:$Q$104,$AS$6:$AS$105,"="&amp;BB70)+SUMIFS($AA$5:$AA$104,$AV$6:$AV$105,"="&amp;BB70)+SUMIFS($AK$5:$AK$104,$AY$6:$AY$105,"="&amp;BB70)</f>
        <v>27000</v>
      </c>
      <c r="BF70" s="15">
        <f t="shared" si="14"/>
        <v>1000</v>
      </c>
      <c r="CD70" s="52">
        <v>66</v>
      </c>
      <c r="CE70" s="52">
        <v>1</v>
      </c>
      <c r="CF70" s="54" t="s">
        <v>538</v>
      </c>
      <c r="CG70" s="52">
        <v>66</v>
      </c>
      <c r="CH70" s="52"/>
      <c r="CI70" s="52"/>
      <c r="CJ70" s="52"/>
      <c r="CK70" s="52" t="s">
        <v>539</v>
      </c>
      <c r="CL70" s="52">
        <v>5400</v>
      </c>
      <c r="CM70" s="52" t="s">
        <v>540</v>
      </c>
      <c r="CN70" s="52">
        <v>70</v>
      </c>
      <c r="CO70" s="52"/>
      <c r="CP70" s="52"/>
      <c r="CQ70" s="52" t="s">
        <v>540</v>
      </c>
      <c r="CR70" s="52">
        <v>85</v>
      </c>
      <c r="CS70" s="52"/>
      <c r="CT70" s="52"/>
      <c r="CU70" s="52"/>
      <c r="CV70" s="52"/>
      <c r="CW70" s="52"/>
      <c r="CX70" s="52"/>
      <c r="CY70" s="52"/>
      <c r="CZ70" s="52"/>
      <c r="DA70" s="52"/>
      <c r="DB70" s="52"/>
    </row>
    <row r="71" spans="1:106" ht="16.5" x14ac:dyDescent="0.2">
      <c r="A71" s="18">
        <v>67</v>
      </c>
      <c r="B71" s="63">
        <v>9</v>
      </c>
      <c r="C71" s="39">
        <v>60</v>
      </c>
      <c r="D71" s="26">
        <f>INDEX(章节关卡!$C$6:$C$20,芦花古楼!B71)*芦花古楼!C71</f>
        <v>2160</v>
      </c>
      <c r="E71" s="23">
        <f t="shared" si="40"/>
        <v>70</v>
      </c>
      <c r="F71" s="23">
        <f t="shared" si="41"/>
        <v>85</v>
      </c>
      <c r="G71" s="15">
        <f>INDEX(章节关卡!$E$6:$E$20,芦花古楼!B71)*芦花古楼!C71</f>
        <v>4320</v>
      </c>
      <c r="H71" s="15">
        <v>200</v>
      </c>
      <c r="K71" s="18">
        <v>67</v>
      </c>
      <c r="L71" s="63">
        <v>10</v>
      </c>
      <c r="M71" s="39">
        <v>120</v>
      </c>
      <c r="N71" s="26">
        <f>INDEX(章节关卡!$C$6:$C$20,芦花古楼!L71)*芦花古楼!M71</f>
        <v>5280</v>
      </c>
      <c r="O71" s="23">
        <f t="shared" si="42"/>
        <v>75</v>
      </c>
      <c r="P71" s="23">
        <f t="shared" si="43"/>
        <v>85</v>
      </c>
      <c r="Q71" s="15">
        <f>INDEX(章节关卡!$E$6:$E$20,芦花古楼!L71)*芦花古楼!M71</f>
        <v>10800</v>
      </c>
      <c r="R71" s="15">
        <v>200</v>
      </c>
      <c r="U71" s="18">
        <v>67</v>
      </c>
      <c r="V71" s="26">
        <v>12</v>
      </c>
      <c r="W71" s="39">
        <v>180</v>
      </c>
      <c r="X71" s="26">
        <f>INDEX(章节关卡!$C$6:$C$20,芦花古楼!V71)*芦花古楼!W71</f>
        <v>11700</v>
      </c>
      <c r="Y71" s="23">
        <f t="shared" si="38"/>
        <v>80</v>
      </c>
      <c r="Z71" s="23">
        <f t="shared" si="39"/>
        <v>85</v>
      </c>
      <c r="AA71" s="15">
        <f>INDEX(章节关卡!$E$6:$E$20,芦花古楼!V71)*芦花古楼!W71</f>
        <v>23400</v>
      </c>
      <c r="AB71" s="15">
        <v>200</v>
      </c>
      <c r="AE71" s="18">
        <v>67</v>
      </c>
      <c r="AF71" s="63">
        <v>12</v>
      </c>
      <c r="AG71" s="39">
        <v>180</v>
      </c>
      <c r="AH71" s="26">
        <f>INDEX(章节关卡!$C$6:$C$20,芦花古楼!AF71)*芦花古楼!AG71</f>
        <v>11700</v>
      </c>
      <c r="AI71" s="23">
        <f t="shared" si="44"/>
        <v>85</v>
      </c>
      <c r="AJ71" s="23">
        <f t="shared" si="45"/>
        <v>85</v>
      </c>
      <c r="AK71" s="15">
        <f>INDEX(章节关卡!$E$6:$E$20,芦花古楼!AF71)*芦花古楼!AG71</f>
        <v>23400</v>
      </c>
      <c r="AL71" s="15">
        <v>200</v>
      </c>
      <c r="AO71" s="19">
        <v>66</v>
      </c>
      <c r="AP71" s="19">
        <v>24</v>
      </c>
      <c r="AR71" s="19">
        <v>66</v>
      </c>
      <c r="AS71" s="19">
        <f t="shared" ref="AS71:AS105" si="49">AP71+1</f>
        <v>25</v>
      </c>
      <c r="AU71" s="19">
        <v>66</v>
      </c>
      <c r="AV71" s="19">
        <f t="shared" ref="AV71:AV105" si="50">AS71+1</f>
        <v>26</v>
      </c>
      <c r="AX71" s="19">
        <v>66</v>
      </c>
      <c r="AY71" s="19">
        <f t="shared" ref="AY71:AY105" si="51">AV71+1</f>
        <v>27</v>
      </c>
      <c r="BB71" s="19">
        <v>66</v>
      </c>
      <c r="BC71" s="15">
        <f t="shared" si="46"/>
        <v>195</v>
      </c>
      <c r="BD71" s="15">
        <f t="shared" si="47"/>
        <v>420</v>
      </c>
      <c r="BE71" s="15">
        <f t="shared" si="48"/>
        <v>32400</v>
      </c>
      <c r="BF71" s="15">
        <f t="shared" ref="BF71:BF105" si="52">INDEX($H$5:$H$104,MATCH(BB71,$AP$5:$AP$105,1)-1)+INDEX($R$5:$R$104,MATCH(BB71,$AS$5:$AS$105,1)-1)+INDEX($AB$5:$AB$104,MATCH(BB71,$AV$5:$AV$105,1)-1)+INDEX($AL$5:$AL$104,MATCH(BB71,$AY$5:$AY$105,1)-1)</f>
        <v>1000</v>
      </c>
      <c r="CD71" s="52">
        <v>67</v>
      </c>
      <c r="CE71" s="52">
        <v>1</v>
      </c>
      <c r="CF71" s="54" t="s">
        <v>538</v>
      </c>
      <c r="CG71" s="52">
        <v>67</v>
      </c>
      <c r="CH71" s="52"/>
      <c r="CI71" s="52"/>
      <c r="CJ71" s="52"/>
      <c r="CK71" s="52" t="s">
        <v>539</v>
      </c>
      <c r="CL71" s="52">
        <v>5400</v>
      </c>
      <c r="CM71" s="52" t="s">
        <v>540</v>
      </c>
      <c r="CN71" s="52">
        <v>70</v>
      </c>
      <c r="CO71" s="52"/>
      <c r="CP71" s="52"/>
      <c r="CQ71" s="52" t="s">
        <v>540</v>
      </c>
      <c r="CR71" s="52">
        <v>85</v>
      </c>
      <c r="CS71" s="52"/>
      <c r="CT71" s="52"/>
      <c r="CU71" s="52"/>
      <c r="CV71" s="52"/>
      <c r="CW71" s="52"/>
      <c r="CX71" s="52"/>
      <c r="CY71" s="52"/>
      <c r="CZ71" s="52"/>
      <c r="DA71" s="52"/>
      <c r="DB71" s="52"/>
    </row>
    <row r="72" spans="1:106" ht="16.5" x14ac:dyDescent="0.2">
      <c r="A72" s="18">
        <v>68</v>
      </c>
      <c r="B72" s="63">
        <v>9</v>
      </c>
      <c r="C72" s="39">
        <v>60</v>
      </c>
      <c r="D72" s="26">
        <f>INDEX(章节关卡!$C$6:$C$20,芦花古楼!B72)*芦花古楼!C72</f>
        <v>2160</v>
      </c>
      <c r="E72" s="23">
        <f t="shared" si="40"/>
        <v>70</v>
      </c>
      <c r="F72" s="23">
        <f t="shared" si="41"/>
        <v>85</v>
      </c>
      <c r="G72" s="15">
        <f>INDEX(章节关卡!$E$6:$E$20,芦花古楼!B72)*芦花古楼!C72</f>
        <v>4320</v>
      </c>
      <c r="H72" s="15">
        <v>200</v>
      </c>
      <c r="K72" s="18">
        <v>68</v>
      </c>
      <c r="L72" s="63">
        <v>10</v>
      </c>
      <c r="M72" s="39">
        <v>120</v>
      </c>
      <c r="N72" s="26">
        <f>INDEX(章节关卡!$C$6:$C$20,芦花古楼!L72)*芦花古楼!M72</f>
        <v>5280</v>
      </c>
      <c r="O72" s="23">
        <f t="shared" si="42"/>
        <v>75</v>
      </c>
      <c r="P72" s="23">
        <f t="shared" si="43"/>
        <v>85</v>
      </c>
      <c r="Q72" s="15">
        <f>INDEX(章节关卡!$E$6:$E$20,芦花古楼!L72)*芦花古楼!M72</f>
        <v>10800</v>
      </c>
      <c r="R72" s="15">
        <v>200</v>
      </c>
      <c r="U72" s="18">
        <v>68</v>
      </c>
      <c r="V72" s="26">
        <v>12</v>
      </c>
      <c r="W72" s="39">
        <v>180</v>
      </c>
      <c r="X72" s="26">
        <f>INDEX(章节关卡!$C$6:$C$20,芦花古楼!V72)*芦花古楼!W72</f>
        <v>11700</v>
      </c>
      <c r="Y72" s="23">
        <f t="shared" si="38"/>
        <v>80</v>
      </c>
      <c r="Z72" s="23">
        <f t="shared" si="39"/>
        <v>85</v>
      </c>
      <c r="AA72" s="15">
        <f>INDEX(章节关卡!$E$6:$E$20,芦花古楼!V72)*芦花古楼!W72</f>
        <v>23400</v>
      </c>
      <c r="AB72" s="15">
        <v>200</v>
      </c>
      <c r="AE72" s="18">
        <v>68</v>
      </c>
      <c r="AF72" s="63">
        <v>12</v>
      </c>
      <c r="AG72" s="39">
        <v>180</v>
      </c>
      <c r="AH72" s="26">
        <f>INDEX(章节关卡!$C$6:$C$20,芦花古楼!AF72)*芦花古楼!AG72</f>
        <v>11700</v>
      </c>
      <c r="AI72" s="23">
        <f t="shared" si="44"/>
        <v>85</v>
      </c>
      <c r="AJ72" s="23">
        <f t="shared" si="45"/>
        <v>85</v>
      </c>
      <c r="AK72" s="15">
        <f>INDEX(章节关卡!$E$6:$E$20,芦花古楼!AF72)*芦花古楼!AG72</f>
        <v>23400</v>
      </c>
      <c r="AL72" s="15">
        <v>200</v>
      </c>
      <c r="AO72" s="19">
        <v>67</v>
      </c>
      <c r="AP72" s="19">
        <v>25</v>
      </c>
      <c r="AR72" s="19">
        <v>67</v>
      </c>
      <c r="AS72" s="19">
        <f t="shared" si="49"/>
        <v>26</v>
      </c>
      <c r="AU72" s="19">
        <v>67</v>
      </c>
      <c r="AV72" s="19">
        <f t="shared" si="50"/>
        <v>27</v>
      </c>
      <c r="AX72" s="19">
        <v>67</v>
      </c>
      <c r="AY72" s="19">
        <f t="shared" si="51"/>
        <v>28</v>
      </c>
      <c r="BB72" s="19">
        <v>67</v>
      </c>
      <c r="BC72" s="15">
        <f t="shared" si="46"/>
        <v>95</v>
      </c>
      <c r="BD72" s="15">
        <f t="shared" si="47"/>
        <v>420</v>
      </c>
      <c r="BE72" s="15">
        <f t="shared" si="48"/>
        <v>15600</v>
      </c>
      <c r="BF72" s="15">
        <f t="shared" si="52"/>
        <v>1000</v>
      </c>
      <c r="CD72" s="52">
        <v>68</v>
      </c>
      <c r="CE72" s="52">
        <v>1</v>
      </c>
      <c r="CF72" s="54" t="s">
        <v>538</v>
      </c>
      <c r="CG72" s="52">
        <v>68</v>
      </c>
      <c r="CH72" s="52"/>
      <c r="CI72" s="52"/>
      <c r="CJ72" s="52"/>
      <c r="CK72" s="52" t="s">
        <v>539</v>
      </c>
      <c r="CL72" s="52">
        <v>5400</v>
      </c>
      <c r="CM72" s="52" t="s">
        <v>540</v>
      </c>
      <c r="CN72" s="52">
        <v>70</v>
      </c>
      <c r="CO72" s="52"/>
      <c r="CP72" s="52"/>
      <c r="CQ72" s="52" t="s">
        <v>540</v>
      </c>
      <c r="CR72" s="52">
        <v>85</v>
      </c>
      <c r="CS72" s="52"/>
      <c r="CT72" s="52"/>
      <c r="CU72" s="52"/>
      <c r="CV72" s="52"/>
      <c r="CW72" s="52"/>
      <c r="CX72" s="52"/>
      <c r="CY72" s="52"/>
      <c r="CZ72" s="52"/>
      <c r="DA72" s="52"/>
      <c r="DB72" s="52"/>
    </row>
    <row r="73" spans="1:106" ht="16.5" x14ac:dyDescent="0.2">
      <c r="A73" s="18">
        <v>69</v>
      </c>
      <c r="B73" s="63">
        <v>9</v>
      </c>
      <c r="C73" s="39">
        <v>60</v>
      </c>
      <c r="D73" s="26">
        <f>INDEX(章节关卡!$C$6:$C$20,芦花古楼!B73)*芦花古楼!C73</f>
        <v>2160</v>
      </c>
      <c r="E73" s="23">
        <f t="shared" si="40"/>
        <v>70</v>
      </c>
      <c r="F73" s="23">
        <f t="shared" si="41"/>
        <v>85</v>
      </c>
      <c r="G73" s="15">
        <f>INDEX(章节关卡!$E$6:$E$20,芦花古楼!B73)*芦花古楼!C73</f>
        <v>4320</v>
      </c>
      <c r="H73" s="15">
        <v>200</v>
      </c>
      <c r="K73" s="18">
        <v>69</v>
      </c>
      <c r="L73" s="63">
        <v>10</v>
      </c>
      <c r="M73" s="39">
        <v>120</v>
      </c>
      <c r="N73" s="26">
        <f>INDEX(章节关卡!$C$6:$C$20,芦花古楼!L73)*芦花古楼!M73</f>
        <v>5280</v>
      </c>
      <c r="O73" s="23">
        <f t="shared" si="42"/>
        <v>75</v>
      </c>
      <c r="P73" s="23">
        <f t="shared" si="43"/>
        <v>85</v>
      </c>
      <c r="Q73" s="15">
        <f>INDEX(章节关卡!$E$6:$E$20,芦花古楼!L73)*芦花古楼!M73</f>
        <v>10800</v>
      </c>
      <c r="R73" s="15">
        <v>200</v>
      </c>
      <c r="U73" s="18">
        <v>69</v>
      </c>
      <c r="V73" s="26">
        <v>12</v>
      </c>
      <c r="W73" s="39">
        <v>180</v>
      </c>
      <c r="X73" s="26">
        <f>INDEX(章节关卡!$C$6:$C$20,芦花古楼!V73)*芦花古楼!W73</f>
        <v>11700</v>
      </c>
      <c r="Y73" s="23">
        <f t="shared" si="38"/>
        <v>80</v>
      </c>
      <c r="Z73" s="23">
        <f t="shared" si="39"/>
        <v>85</v>
      </c>
      <c r="AA73" s="15">
        <f>INDEX(章节关卡!$E$6:$E$20,芦花古楼!V73)*芦花古楼!W73</f>
        <v>23400</v>
      </c>
      <c r="AB73" s="15">
        <v>200</v>
      </c>
      <c r="AE73" s="18">
        <v>69</v>
      </c>
      <c r="AF73" s="63">
        <v>12</v>
      </c>
      <c r="AG73" s="39">
        <v>180</v>
      </c>
      <c r="AH73" s="26">
        <f>INDEX(章节关卡!$C$6:$C$20,芦花古楼!AF73)*芦花古楼!AG73</f>
        <v>11700</v>
      </c>
      <c r="AI73" s="23">
        <f t="shared" si="44"/>
        <v>85</v>
      </c>
      <c r="AJ73" s="23">
        <f t="shared" si="45"/>
        <v>85</v>
      </c>
      <c r="AK73" s="15">
        <f>INDEX(章节关卡!$E$6:$E$20,芦花古楼!AF73)*芦花古楼!AG73</f>
        <v>23400</v>
      </c>
      <c r="AL73" s="15">
        <v>200</v>
      </c>
      <c r="AO73" s="19">
        <v>68</v>
      </c>
      <c r="AP73" s="19">
        <v>26</v>
      </c>
      <c r="AR73" s="19">
        <v>68</v>
      </c>
      <c r="AS73" s="19">
        <f t="shared" si="49"/>
        <v>27</v>
      </c>
      <c r="AU73" s="19">
        <v>68</v>
      </c>
      <c r="AV73" s="19">
        <f t="shared" si="50"/>
        <v>28</v>
      </c>
      <c r="AX73" s="19">
        <v>68</v>
      </c>
      <c r="AY73" s="19">
        <f t="shared" si="51"/>
        <v>29</v>
      </c>
      <c r="BB73" s="19">
        <v>68</v>
      </c>
      <c r="BC73" s="15">
        <f t="shared" si="46"/>
        <v>100</v>
      </c>
      <c r="BD73" s="15">
        <f t="shared" si="47"/>
        <v>420</v>
      </c>
      <c r="BE73" s="15">
        <f t="shared" si="48"/>
        <v>27000</v>
      </c>
      <c r="BF73" s="15">
        <f t="shared" si="52"/>
        <v>1000</v>
      </c>
      <c r="CD73" s="52">
        <v>69</v>
      </c>
      <c r="CE73" s="52">
        <v>1</v>
      </c>
      <c r="CF73" s="54" t="s">
        <v>538</v>
      </c>
      <c r="CG73" s="52">
        <v>69</v>
      </c>
      <c r="CH73" s="52"/>
      <c r="CI73" s="52"/>
      <c r="CJ73" s="52"/>
      <c r="CK73" s="52" t="s">
        <v>539</v>
      </c>
      <c r="CL73" s="52">
        <v>5400</v>
      </c>
      <c r="CM73" s="52" t="s">
        <v>540</v>
      </c>
      <c r="CN73" s="52">
        <v>70</v>
      </c>
      <c r="CO73" s="52"/>
      <c r="CP73" s="52"/>
      <c r="CQ73" s="52" t="s">
        <v>540</v>
      </c>
      <c r="CR73" s="52">
        <v>85</v>
      </c>
      <c r="CS73" s="52"/>
      <c r="CT73" s="52"/>
      <c r="CU73" s="52"/>
      <c r="CV73" s="52"/>
      <c r="CW73" s="52"/>
      <c r="CX73" s="52"/>
      <c r="CY73" s="52"/>
      <c r="CZ73" s="52"/>
      <c r="DA73" s="52"/>
      <c r="DB73" s="52"/>
    </row>
    <row r="74" spans="1:106" ht="16.5" x14ac:dyDescent="0.2">
      <c r="A74" s="18">
        <v>70</v>
      </c>
      <c r="B74" s="63">
        <v>9</v>
      </c>
      <c r="C74" s="39">
        <v>60</v>
      </c>
      <c r="D74" s="26">
        <f>INDEX(章节关卡!$C$6:$C$20,芦花古楼!B74)*芦花古楼!C74</f>
        <v>2160</v>
      </c>
      <c r="E74" s="23">
        <f t="shared" si="40"/>
        <v>70</v>
      </c>
      <c r="F74" s="23">
        <f t="shared" si="41"/>
        <v>90</v>
      </c>
      <c r="G74" s="15">
        <f>INDEX(章节关卡!$E$6:$E$20,芦花古楼!B74)*芦花古楼!C74</f>
        <v>4320</v>
      </c>
      <c r="H74" s="15">
        <v>200</v>
      </c>
      <c r="K74" s="18">
        <v>70</v>
      </c>
      <c r="L74" s="26">
        <v>11</v>
      </c>
      <c r="M74" s="39">
        <v>120</v>
      </c>
      <c r="N74" s="26">
        <f>INDEX(章节关卡!$C$6:$C$20,芦花古楼!L74)*芦花古楼!M74</f>
        <v>6360</v>
      </c>
      <c r="O74" s="23">
        <f t="shared" si="42"/>
        <v>75</v>
      </c>
      <c r="P74" s="23">
        <f t="shared" si="43"/>
        <v>90</v>
      </c>
      <c r="Q74" s="15">
        <f>INDEX(章节关卡!$E$6:$E$20,芦花古楼!L74)*芦花古楼!M74</f>
        <v>13200</v>
      </c>
      <c r="R74" s="15">
        <v>200</v>
      </c>
      <c r="U74" s="18">
        <v>70</v>
      </c>
      <c r="V74" s="63">
        <v>12</v>
      </c>
      <c r="W74" s="39">
        <v>180</v>
      </c>
      <c r="X74" s="26">
        <f>INDEX(章节关卡!$C$6:$C$20,芦花古楼!V74)*芦花古楼!W74</f>
        <v>11700</v>
      </c>
      <c r="Y74" s="23">
        <f t="shared" si="38"/>
        <v>80</v>
      </c>
      <c r="Z74" s="23">
        <f t="shared" si="39"/>
        <v>90</v>
      </c>
      <c r="AA74" s="15">
        <f>INDEX(章节关卡!$E$6:$E$20,芦花古楼!V74)*芦花古楼!W74</f>
        <v>23400</v>
      </c>
      <c r="AB74" s="15">
        <v>200</v>
      </c>
      <c r="AE74" s="18">
        <v>70</v>
      </c>
      <c r="AF74" s="63">
        <v>12</v>
      </c>
      <c r="AG74" s="39">
        <v>180</v>
      </c>
      <c r="AH74" s="26">
        <f>INDEX(章节关卡!$C$6:$C$20,芦花古楼!AF74)*芦花古楼!AG74</f>
        <v>11700</v>
      </c>
      <c r="AI74" s="23">
        <f t="shared" si="44"/>
        <v>85</v>
      </c>
      <c r="AJ74" s="23">
        <f t="shared" si="45"/>
        <v>90</v>
      </c>
      <c r="AK74" s="15">
        <f>INDEX(章节关卡!$E$6:$E$20,芦花古楼!AF74)*芦花古楼!AG74</f>
        <v>23400</v>
      </c>
      <c r="AL74" s="15">
        <v>200</v>
      </c>
      <c r="AO74" s="19">
        <v>69</v>
      </c>
      <c r="AP74" s="19">
        <v>27</v>
      </c>
      <c r="AR74" s="19">
        <v>69</v>
      </c>
      <c r="AS74" s="19">
        <f t="shared" si="49"/>
        <v>28</v>
      </c>
      <c r="AU74" s="19">
        <v>69</v>
      </c>
      <c r="AV74" s="19">
        <f t="shared" si="50"/>
        <v>29</v>
      </c>
      <c r="AX74" s="19">
        <v>69</v>
      </c>
      <c r="AY74" s="19">
        <f t="shared" si="51"/>
        <v>30</v>
      </c>
      <c r="BB74" s="19">
        <v>69</v>
      </c>
      <c r="BC74" s="15">
        <f t="shared" si="46"/>
        <v>195</v>
      </c>
      <c r="BD74" s="15">
        <f t="shared" si="47"/>
        <v>425</v>
      </c>
      <c r="BE74" s="15">
        <f t="shared" si="48"/>
        <v>32400</v>
      </c>
      <c r="BF74" s="15">
        <f t="shared" si="52"/>
        <v>1050</v>
      </c>
      <c r="CD74" s="52">
        <v>70</v>
      </c>
      <c r="CE74" s="52">
        <v>1</v>
      </c>
      <c r="CF74" s="54" t="s">
        <v>538</v>
      </c>
      <c r="CG74" s="52">
        <v>70</v>
      </c>
      <c r="CH74" s="52"/>
      <c r="CI74" s="52"/>
      <c r="CJ74" s="52"/>
      <c r="CK74" s="52" t="s">
        <v>539</v>
      </c>
      <c r="CL74" s="52">
        <v>5400</v>
      </c>
      <c r="CM74" s="52" t="s">
        <v>540</v>
      </c>
      <c r="CN74" s="52">
        <v>70</v>
      </c>
      <c r="CO74" s="52"/>
      <c r="CP74" s="52"/>
      <c r="CQ74" s="52" t="s">
        <v>540</v>
      </c>
      <c r="CR74" s="52">
        <v>90</v>
      </c>
      <c r="CS74" s="52"/>
      <c r="CT74" s="52"/>
      <c r="CU74" s="52"/>
      <c r="CV74" s="52"/>
      <c r="CW74" s="52"/>
      <c r="CX74" s="52"/>
      <c r="CY74" s="52"/>
      <c r="CZ74" s="52"/>
      <c r="DA74" s="52"/>
      <c r="DB74" s="52"/>
    </row>
    <row r="75" spans="1:106" ht="16.5" x14ac:dyDescent="0.2">
      <c r="A75" s="23">
        <v>71</v>
      </c>
      <c r="B75" s="63">
        <v>9</v>
      </c>
      <c r="C75" s="39">
        <v>60</v>
      </c>
      <c r="D75" s="26">
        <f>INDEX(章节关卡!$C$6:$C$20,芦花古楼!B75)*芦花古楼!C75</f>
        <v>2160</v>
      </c>
      <c r="E75" s="23">
        <f t="shared" si="40"/>
        <v>75</v>
      </c>
      <c r="F75" s="23">
        <f t="shared" si="41"/>
        <v>90</v>
      </c>
      <c r="G75" s="15">
        <f>INDEX(章节关卡!$E$6:$E$20,芦花古楼!B75)*芦花古楼!C75</f>
        <v>4320</v>
      </c>
      <c r="H75" s="15">
        <v>200</v>
      </c>
      <c r="K75" s="23">
        <v>71</v>
      </c>
      <c r="L75" s="63">
        <v>11</v>
      </c>
      <c r="M75" s="39">
        <v>120</v>
      </c>
      <c r="N75" s="26">
        <f>INDEX(章节关卡!$C$6:$C$20,芦花古楼!L75)*芦花古楼!M75</f>
        <v>6360</v>
      </c>
      <c r="O75" s="23">
        <f t="shared" si="42"/>
        <v>80</v>
      </c>
      <c r="P75" s="23">
        <f t="shared" si="43"/>
        <v>90</v>
      </c>
      <c r="Q75" s="15">
        <f>INDEX(章节关卡!$E$6:$E$20,芦花古楼!L75)*芦花古楼!M75</f>
        <v>13200</v>
      </c>
      <c r="R75" s="15">
        <v>200</v>
      </c>
      <c r="U75" s="23">
        <v>71</v>
      </c>
      <c r="V75" s="63">
        <v>12</v>
      </c>
      <c r="W75" s="39">
        <v>180</v>
      </c>
      <c r="X75" s="26">
        <f>INDEX(章节关卡!$C$6:$C$20,芦花古楼!V75)*芦花古楼!W75</f>
        <v>11700</v>
      </c>
      <c r="Y75" s="23">
        <f t="shared" si="38"/>
        <v>85</v>
      </c>
      <c r="Z75" s="23">
        <f t="shared" si="39"/>
        <v>90</v>
      </c>
      <c r="AA75" s="15">
        <f>INDEX(章节关卡!$E$6:$E$20,芦花古楼!V75)*芦花古楼!W75</f>
        <v>23400</v>
      </c>
      <c r="AB75" s="15">
        <v>200</v>
      </c>
      <c r="AE75" s="23">
        <v>71</v>
      </c>
      <c r="AF75" s="63">
        <v>12</v>
      </c>
      <c r="AG75" s="39">
        <v>180</v>
      </c>
      <c r="AH75" s="26">
        <f>INDEX(章节关卡!$C$6:$C$20,芦花古楼!AF75)*芦花古楼!AG75</f>
        <v>11700</v>
      </c>
      <c r="AI75" s="23">
        <f t="shared" si="44"/>
        <v>90</v>
      </c>
      <c r="AJ75" s="23">
        <f t="shared" si="45"/>
        <v>90</v>
      </c>
      <c r="AK75" s="15">
        <f>INDEX(章节关卡!$E$6:$E$20,芦花古楼!AF75)*芦花古楼!AG75</f>
        <v>23400</v>
      </c>
      <c r="AL75" s="15">
        <v>200</v>
      </c>
      <c r="AO75" s="19">
        <v>70</v>
      </c>
      <c r="AP75" s="19">
        <v>28</v>
      </c>
      <c r="AR75" s="19">
        <v>70</v>
      </c>
      <c r="AS75" s="19">
        <f t="shared" si="49"/>
        <v>29</v>
      </c>
      <c r="AU75" s="19">
        <v>70</v>
      </c>
      <c r="AV75" s="19">
        <f t="shared" si="50"/>
        <v>30</v>
      </c>
      <c r="AX75" s="19">
        <v>70</v>
      </c>
      <c r="AY75" s="19">
        <f t="shared" si="51"/>
        <v>31</v>
      </c>
      <c r="BB75" s="19">
        <v>70</v>
      </c>
      <c r="BC75" s="15">
        <f t="shared" si="46"/>
        <v>95</v>
      </c>
      <c r="BD75" s="15">
        <f t="shared" si="47"/>
        <v>430</v>
      </c>
      <c r="BE75" s="15">
        <f t="shared" si="48"/>
        <v>15600</v>
      </c>
      <c r="BF75" s="15">
        <f t="shared" si="52"/>
        <v>1100</v>
      </c>
      <c r="CD75" s="52">
        <v>71</v>
      </c>
      <c r="CE75" s="52">
        <v>1</v>
      </c>
      <c r="CF75" s="54" t="s">
        <v>538</v>
      </c>
      <c r="CG75" s="52">
        <v>71</v>
      </c>
      <c r="CH75" s="52"/>
      <c r="CI75" s="52"/>
      <c r="CJ75" s="52"/>
      <c r="CK75" s="52" t="s">
        <v>539</v>
      </c>
      <c r="CL75" s="52">
        <v>5400</v>
      </c>
      <c r="CM75" s="52" t="s">
        <v>540</v>
      </c>
      <c r="CN75" s="52">
        <v>75</v>
      </c>
      <c r="CO75" s="52"/>
      <c r="CP75" s="52"/>
      <c r="CQ75" s="52" t="s">
        <v>540</v>
      </c>
      <c r="CR75" s="52">
        <v>90</v>
      </c>
      <c r="CS75" s="52"/>
      <c r="CT75" s="52"/>
      <c r="CU75" s="52"/>
      <c r="CV75" s="52"/>
      <c r="CW75" s="52"/>
      <c r="CX75" s="52"/>
      <c r="CY75" s="52"/>
      <c r="CZ75" s="52"/>
      <c r="DA75" s="52"/>
      <c r="DB75" s="52"/>
    </row>
    <row r="76" spans="1:106" ht="16.5" x14ac:dyDescent="0.2">
      <c r="A76" s="23">
        <v>72</v>
      </c>
      <c r="B76" s="63">
        <v>9</v>
      </c>
      <c r="C76" s="39">
        <v>60</v>
      </c>
      <c r="D76" s="26">
        <f>INDEX(章节关卡!$C$6:$C$20,芦花古楼!B76)*芦花古楼!C76</f>
        <v>2160</v>
      </c>
      <c r="E76" s="23">
        <f t="shared" si="40"/>
        <v>75</v>
      </c>
      <c r="F76" s="23">
        <f t="shared" si="41"/>
        <v>90</v>
      </c>
      <c r="G76" s="15">
        <f>INDEX(章节关卡!$E$6:$E$20,芦花古楼!B76)*芦花古楼!C76</f>
        <v>4320</v>
      </c>
      <c r="H76" s="15">
        <v>200</v>
      </c>
      <c r="K76" s="23">
        <v>72</v>
      </c>
      <c r="L76" s="63">
        <v>11</v>
      </c>
      <c r="M76" s="39">
        <v>120</v>
      </c>
      <c r="N76" s="26">
        <f>INDEX(章节关卡!$C$6:$C$20,芦花古楼!L76)*芦花古楼!M76</f>
        <v>6360</v>
      </c>
      <c r="O76" s="23">
        <f t="shared" si="42"/>
        <v>80</v>
      </c>
      <c r="P76" s="23">
        <f t="shared" si="43"/>
        <v>90</v>
      </c>
      <c r="Q76" s="15">
        <f>INDEX(章节关卡!$E$6:$E$20,芦花古楼!L76)*芦花古楼!M76</f>
        <v>13200</v>
      </c>
      <c r="R76" s="15">
        <v>200</v>
      </c>
      <c r="U76" s="23">
        <v>72</v>
      </c>
      <c r="V76" s="63">
        <v>12</v>
      </c>
      <c r="W76" s="39">
        <v>180</v>
      </c>
      <c r="X76" s="26">
        <f>INDEX(章节关卡!$C$6:$C$20,芦花古楼!V76)*芦花古楼!W76</f>
        <v>11700</v>
      </c>
      <c r="Y76" s="23">
        <f t="shared" si="38"/>
        <v>85</v>
      </c>
      <c r="Z76" s="23">
        <f t="shared" si="39"/>
        <v>90</v>
      </c>
      <c r="AA76" s="15">
        <f>INDEX(章节关卡!$E$6:$E$20,芦花古楼!V76)*芦花古楼!W76</f>
        <v>23400</v>
      </c>
      <c r="AB76" s="15">
        <v>200</v>
      </c>
      <c r="AE76" s="23">
        <v>72</v>
      </c>
      <c r="AF76" s="63">
        <v>12</v>
      </c>
      <c r="AG76" s="39">
        <v>180</v>
      </c>
      <c r="AH76" s="26">
        <f>INDEX(章节关卡!$C$6:$C$20,芦花古楼!AF76)*芦花古楼!AG76</f>
        <v>11700</v>
      </c>
      <c r="AI76" s="23">
        <f t="shared" si="44"/>
        <v>90</v>
      </c>
      <c r="AJ76" s="23">
        <f t="shared" si="45"/>
        <v>90</v>
      </c>
      <c r="AK76" s="15">
        <f>INDEX(章节关卡!$E$6:$E$20,芦花古楼!AF76)*芦花古楼!AG76</f>
        <v>23400</v>
      </c>
      <c r="AL76" s="15">
        <v>200</v>
      </c>
      <c r="AO76" s="19">
        <v>71</v>
      </c>
      <c r="AP76" s="19">
        <v>29</v>
      </c>
      <c r="AR76" s="19">
        <v>71</v>
      </c>
      <c r="AS76" s="19">
        <f t="shared" si="49"/>
        <v>30</v>
      </c>
      <c r="AU76" s="19">
        <v>71</v>
      </c>
      <c r="AV76" s="19">
        <f t="shared" si="50"/>
        <v>31</v>
      </c>
      <c r="AX76" s="19">
        <v>71</v>
      </c>
      <c r="AY76" s="19">
        <f t="shared" si="51"/>
        <v>32</v>
      </c>
      <c r="BB76" s="19">
        <v>71</v>
      </c>
      <c r="BC76" s="15">
        <f t="shared" si="46"/>
        <v>100</v>
      </c>
      <c r="BD76" s="15">
        <f t="shared" si="47"/>
        <v>435</v>
      </c>
      <c r="BE76" s="15">
        <f t="shared" si="48"/>
        <v>31500</v>
      </c>
      <c r="BF76" s="15">
        <f t="shared" si="52"/>
        <v>1150</v>
      </c>
      <c r="CD76" s="52">
        <v>72</v>
      </c>
      <c r="CE76" s="52">
        <v>1</v>
      </c>
      <c r="CF76" s="54" t="s">
        <v>538</v>
      </c>
      <c r="CG76" s="52">
        <v>72</v>
      </c>
      <c r="CH76" s="52"/>
      <c r="CI76" s="52"/>
      <c r="CJ76" s="52"/>
      <c r="CK76" s="52" t="s">
        <v>539</v>
      </c>
      <c r="CL76" s="52">
        <v>5400</v>
      </c>
      <c r="CM76" s="52" t="s">
        <v>540</v>
      </c>
      <c r="CN76" s="52">
        <v>75</v>
      </c>
      <c r="CO76" s="52"/>
      <c r="CP76" s="52"/>
      <c r="CQ76" s="52" t="s">
        <v>540</v>
      </c>
      <c r="CR76" s="52">
        <v>90</v>
      </c>
      <c r="CS76" s="52"/>
      <c r="CT76" s="52"/>
      <c r="CU76" s="52"/>
      <c r="CV76" s="52"/>
      <c r="CW76" s="52"/>
      <c r="CX76" s="52"/>
      <c r="CY76" s="52"/>
      <c r="CZ76" s="52"/>
      <c r="DA76" s="52"/>
      <c r="DB76" s="52"/>
    </row>
    <row r="77" spans="1:106" ht="16.5" x14ac:dyDescent="0.2">
      <c r="A77" s="23">
        <v>73</v>
      </c>
      <c r="B77" s="63">
        <v>9</v>
      </c>
      <c r="C77" s="39">
        <v>60</v>
      </c>
      <c r="D77" s="26">
        <f>INDEX(章节关卡!$C$6:$C$20,芦花古楼!B77)*芦花古楼!C77</f>
        <v>2160</v>
      </c>
      <c r="E77" s="23">
        <f t="shared" si="40"/>
        <v>75</v>
      </c>
      <c r="F77" s="23">
        <f t="shared" si="41"/>
        <v>90</v>
      </c>
      <c r="G77" s="15">
        <f>INDEX(章节关卡!$E$6:$E$20,芦花古楼!B77)*芦花古楼!C77</f>
        <v>4320</v>
      </c>
      <c r="H77" s="15">
        <v>200</v>
      </c>
      <c r="K77" s="23">
        <v>73</v>
      </c>
      <c r="L77" s="63">
        <v>11</v>
      </c>
      <c r="M77" s="39">
        <v>120</v>
      </c>
      <c r="N77" s="26">
        <f>INDEX(章节关卡!$C$6:$C$20,芦花古楼!L77)*芦花古楼!M77</f>
        <v>6360</v>
      </c>
      <c r="O77" s="23">
        <f t="shared" si="42"/>
        <v>80</v>
      </c>
      <c r="P77" s="23">
        <f t="shared" si="43"/>
        <v>90</v>
      </c>
      <c r="Q77" s="15">
        <f>INDEX(章节关卡!$E$6:$E$20,芦花古楼!L77)*芦花古楼!M77</f>
        <v>13200</v>
      </c>
      <c r="R77" s="15">
        <v>200</v>
      </c>
      <c r="U77" s="23">
        <v>73</v>
      </c>
      <c r="V77" s="63">
        <v>12</v>
      </c>
      <c r="W77" s="39">
        <v>180</v>
      </c>
      <c r="X77" s="26">
        <f>INDEX(章节关卡!$C$6:$C$20,芦花古楼!V77)*芦花古楼!W77</f>
        <v>11700</v>
      </c>
      <c r="Y77" s="23">
        <f t="shared" si="38"/>
        <v>85</v>
      </c>
      <c r="Z77" s="23">
        <f t="shared" si="39"/>
        <v>90</v>
      </c>
      <c r="AA77" s="15">
        <f>INDEX(章节关卡!$E$6:$E$20,芦花古楼!V77)*芦花古楼!W77</f>
        <v>23400</v>
      </c>
      <c r="AB77" s="15">
        <v>200</v>
      </c>
      <c r="AE77" s="23">
        <v>73</v>
      </c>
      <c r="AF77" s="63">
        <v>12</v>
      </c>
      <c r="AG77" s="39">
        <v>180</v>
      </c>
      <c r="AH77" s="26">
        <f>INDEX(章节关卡!$C$6:$C$20,芦花古楼!AF77)*芦花古楼!AG77</f>
        <v>11700</v>
      </c>
      <c r="AI77" s="23">
        <f t="shared" si="44"/>
        <v>90</v>
      </c>
      <c r="AJ77" s="23">
        <f t="shared" si="45"/>
        <v>90</v>
      </c>
      <c r="AK77" s="15">
        <f>INDEX(章节关卡!$E$6:$E$20,芦花古楼!AF77)*芦花古楼!AG77</f>
        <v>23400</v>
      </c>
      <c r="AL77" s="15">
        <v>200</v>
      </c>
      <c r="AO77" s="19">
        <v>72</v>
      </c>
      <c r="AP77" s="19">
        <v>30</v>
      </c>
      <c r="AR77" s="19">
        <v>72</v>
      </c>
      <c r="AS77" s="19">
        <f t="shared" si="49"/>
        <v>31</v>
      </c>
      <c r="AU77" s="19">
        <v>72</v>
      </c>
      <c r="AV77" s="19">
        <f t="shared" si="50"/>
        <v>32</v>
      </c>
      <c r="AX77" s="19">
        <v>72</v>
      </c>
      <c r="AY77" s="19">
        <f t="shared" si="51"/>
        <v>33</v>
      </c>
      <c r="BB77" s="19">
        <v>72</v>
      </c>
      <c r="BC77" s="15">
        <f t="shared" si="46"/>
        <v>200</v>
      </c>
      <c r="BD77" s="15">
        <f t="shared" si="47"/>
        <v>440</v>
      </c>
      <c r="BE77" s="15">
        <f t="shared" si="48"/>
        <v>36900</v>
      </c>
      <c r="BF77" s="15">
        <f t="shared" si="52"/>
        <v>1200</v>
      </c>
      <c r="CD77" s="52">
        <v>73</v>
      </c>
      <c r="CE77" s="52">
        <v>1</v>
      </c>
      <c r="CF77" s="54" t="s">
        <v>538</v>
      </c>
      <c r="CG77" s="52">
        <v>73</v>
      </c>
      <c r="CH77" s="52"/>
      <c r="CI77" s="52"/>
      <c r="CJ77" s="52"/>
      <c r="CK77" s="52" t="s">
        <v>539</v>
      </c>
      <c r="CL77" s="52">
        <v>5400</v>
      </c>
      <c r="CM77" s="52" t="s">
        <v>540</v>
      </c>
      <c r="CN77" s="52">
        <v>75</v>
      </c>
      <c r="CO77" s="52"/>
      <c r="CP77" s="52"/>
      <c r="CQ77" s="52" t="s">
        <v>540</v>
      </c>
      <c r="CR77" s="52">
        <v>90</v>
      </c>
      <c r="CS77" s="52"/>
      <c r="CT77" s="52"/>
      <c r="CU77" s="52"/>
      <c r="CV77" s="52"/>
      <c r="CW77" s="52"/>
      <c r="CX77" s="52"/>
      <c r="CY77" s="52"/>
      <c r="CZ77" s="52"/>
      <c r="DA77" s="52"/>
      <c r="DB77" s="52"/>
    </row>
    <row r="78" spans="1:106" ht="16.5" x14ac:dyDescent="0.2">
      <c r="A78" s="23">
        <v>74</v>
      </c>
      <c r="B78" s="63">
        <v>9</v>
      </c>
      <c r="C78" s="39">
        <v>60</v>
      </c>
      <c r="D78" s="26">
        <f>INDEX(章节关卡!$C$6:$C$20,芦花古楼!B78)*芦花古楼!C78</f>
        <v>2160</v>
      </c>
      <c r="E78" s="23">
        <f t="shared" si="40"/>
        <v>75</v>
      </c>
      <c r="F78" s="23">
        <f t="shared" si="41"/>
        <v>90</v>
      </c>
      <c r="G78" s="15">
        <f>INDEX(章节关卡!$E$6:$E$20,芦花古楼!B78)*芦花古楼!C78</f>
        <v>4320</v>
      </c>
      <c r="H78" s="15">
        <v>200</v>
      </c>
      <c r="K78" s="23">
        <v>74</v>
      </c>
      <c r="L78" s="63">
        <v>11</v>
      </c>
      <c r="M78" s="39">
        <v>120</v>
      </c>
      <c r="N78" s="26">
        <f>INDEX(章节关卡!$C$6:$C$20,芦花古楼!L78)*芦花古楼!M78</f>
        <v>6360</v>
      </c>
      <c r="O78" s="23">
        <f t="shared" si="42"/>
        <v>80</v>
      </c>
      <c r="P78" s="23">
        <f t="shared" si="43"/>
        <v>90</v>
      </c>
      <c r="Q78" s="15">
        <f>INDEX(章节关卡!$E$6:$E$20,芦花古楼!L78)*芦花古楼!M78</f>
        <v>13200</v>
      </c>
      <c r="R78" s="15">
        <v>200</v>
      </c>
      <c r="U78" s="23">
        <v>74</v>
      </c>
      <c r="V78" s="63">
        <v>12</v>
      </c>
      <c r="W78" s="39">
        <v>180</v>
      </c>
      <c r="X78" s="26">
        <f>INDEX(章节关卡!$C$6:$C$20,芦花古楼!V78)*芦花古楼!W78</f>
        <v>11700</v>
      </c>
      <c r="Y78" s="23">
        <f t="shared" si="38"/>
        <v>85</v>
      </c>
      <c r="Z78" s="23">
        <f t="shared" si="39"/>
        <v>90</v>
      </c>
      <c r="AA78" s="15">
        <f>INDEX(章节关卡!$E$6:$E$20,芦花古楼!V78)*芦花古楼!W78</f>
        <v>23400</v>
      </c>
      <c r="AB78" s="15">
        <v>200</v>
      </c>
      <c r="AE78" s="23">
        <v>74</v>
      </c>
      <c r="AF78" s="63">
        <v>12</v>
      </c>
      <c r="AG78" s="39">
        <v>180</v>
      </c>
      <c r="AH78" s="26">
        <f>INDEX(章节关卡!$C$6:$C$20,芦花古楼!AF78)*芦花古楼!AG78</f>
        <v>11700</v>
      </c>
      <c r="AI78" s="23">
        <f t="shared" si="44"/>
        <v>90</v>
      </c>
      <c r="AJ78" s="23">
        <f t="shared" si="45"/>
        <v>90</v>
      </c>
      <c r="AK78" s="15">
        <f>INDEX(章节关卡!$E$6:$E$20,芦花古楼!AF78)*芦花古楼!AG78</f>
        <v>23400</v>
      </c>
      <c r="AL78" s="15">
        <v>200</v>
      </c>
      <c r="AO78" s="19">
        <v>73</v>
      </c>
      <c r="AP78" s="19">
        <v>32</v>
      </c>
      <c r="AR78" s="19">
        <v>73</v>
      </c>
      <c r="AS78" s="19">
        <f t="shared" si="49"/>
        <v>33</v>
      </c>
      <c r="AU78" s="19">
        <v>73</v>
      </c>
      <c r="AV78" s="19">
        <f t="shared" si="50"/>
        <v>34</v>
      </c>
      <c r="AX78" s="19">
        <v>73</v>
      </c>
      <c r="AY78" s="19">
        <f t="shared" si="51"/>
        <v>35</v>
      </c>
      <c r="BB78" s="19">
        <v>73</v>
      </c>
      <c r="BC78" s="15">
        <f t="shared" si="46"/>
        <v>100</v>
      </c>
      <c r="BD78" s="15">
        <f t="shared" si="47"/>
        <v>440</v>
      </c>
      <c r="BE78" s="15">
        <f t="shared" si="48"/>
        <v>15600</v>
      </c>
      <c r="BF78" s="15">
        <f t="shared" si="52"/>
        <v>1200</v>
      </c>
      <c r="CD78" s="52">
        <v>74</v>
      </c>
      <c r="CE78" s="52">
        <v>1</v>
      </c>
      <c r="CF78" s="54" t="s">
        <v>538</v>
      </c>
      <c r="CG78" s="52">
        <v>74</v>
      </c>
      <c r="CH78" s="52"/>
      <c r="CI78" s="52"/>
      <c r="CJ78" s="52"/>
      <c r="CK78" s="52" t="s">
        <v>539</v>
      </c>
      <c r="CL78" s="52">
        <v>5400</v>
      </c>
      <c r="CM78" s="52" t="s">
        <v>540</v>
      </c>
      <c r="CN78" s="52">
        <v>75</v>
      </c>
      <c r="CO78" s="52"/>
      <c r="CP78" s="52"/>
      <c r="CQ78" s="52" t="s">
        <v>540</v>
      </c>
      <c r="CR78" s="52">
        <v>90</v>
      </c>
      <c r="CS78" s="52"/>
      <c r="CT78" s="52"/>
      <c r="CU78" s="52"/>
      <c r="CV78" s="52"/>
      <c r="CW78" s="52"/>
      <c r="CX78" s="52"/>
      <c r="CY78" s="52"/>
      <c r="CZ78" s="52"/>
      <c r="DA78" s="52"/>
      <c r="DB78" s="52"/>
    </row>
    <row r="79" spans="1:106" ht="16.5" x14ac:dyDescent="0.2">
      <c r="A79" s="23">
        <v>75</v>
      </c>
      <c r="B79" s="63">
        <v>9</v>
      </c>
      <c r="C79" s="39">
        <v>60</v>
      </c>
      <c r="D79" s="26">
        <f>INDEX(章节关卡!$C$6:$C$20,芦花古楼!B79)*芦花古楼!C79</f>
        <v>2160</v>
      </c>
      <c r="E79" s="23">
        <f t="shared" si="40"/>
        <v>75</v>
      </c>
      <c r="F79" s="23">
        <f t="shared" si="41"/>
        <v>95</v>
      </c>
      <c r="G79" s="15">
        <f>INDEX(章节关卡!$E$6:$E$20,芦花古楼!B79)*芦花古楼!C79</f>
        <v>4320</v>
      </c>
      <c r="H79" s="15">
        <v>200</v>
      </c>
      <c r="K79" s="23">
        <v>75</v>
      </c>
      <c r="L79" s="63">
        <v>11</v>
      </c>
      <c r="M79" s="39">
        <v>120</v>
      </c>
      <c r="N79" s="26">
        <f>INDEX(章节关卡!$C$6:$C$20,芦花古楼!L79)*芦花古楼!M79</f>
        <v>6360</v>
      </c>
      <c r="O79" s="23">
        <f t="shared" si="42"/>
        <v>80</v>
      </c>
      <c r="P79" s="23">
        <f t="shared" si="43"/>
        <v>95</v>
      </c>
      <c r="Q79" s="15">
        <f>INDEX(章节关卡!$E$6:$E$20,芦花古楼!L79)*芦花古楼!M79</f>
        <v>13200</v>
      </c>
      <c r="R79" s="15">
        <v>200</v>
      </c>
      <c r="U79" s="23">
        <v>75</v>
      </c>
      <c r="V79" s="63">
        <v>12</v>
      </c>
      <c r="W79" s="39">
        <v>180</v>
      </c>
      <c r="X79" s="26">
        <f>INDEX(章节关卡!$C$6:$C$20,芦花古楼!V79)*芦花古楼!W79</f>
        <v>11700</v>
      </c>
      <c r="Y79" s="23">
        <f t="shared" si="38"/>
        <v>85</v>
      </c>
      <c r="Z79" s="23">
        <f t="shared" si="39"/>
        <v>95</v>
      </c>
      <c r="AA79" s="15">
        <f>INDEX(章节关卡!$E$6:$E$20,芦花古楼!V79)*芦花古楼!W79</f>
        <v>23400</v>
      </c>
      <c r="AB79" s="15">
        <v>200</v>
      </c>
      <c r="AE79" s="23">
        <v>75</v>
      </c>
      <c r="AF79" s="63">
        <v>12</v>
      </c>
      <c r="AG79" s="39">
        <v>180</v>
      </c>
      <c r="AH79" s="26">
        <f>INDEX(章节关卡!$C$6:$C$20,芦花古楼!AF79)*芦花古楼!AG79</f>
        <v>11700</v>
      </c>
      <c r="AI79" s="23">
        <f t="shared" si="44"/>
        <v>90</v>
      </c>
      <c r="AJ79" s="23">
        <f t="shared" si="45"/>
        <v>95</v>
      </c>
      <c r="AK79" s="15">
        <f>INDEX(章节关卡!$E$6:$E$20,芦花古楼!AF79)*芦花古楼!AG79</f>
        <v>23400</v>
      </c>
      <c r="AL79" s="15">
        <v>200</v>
      </c>
      <c r="AO79" s="19">
        <v>74</v>
      </c>
      <c r="AP79" s="19">
        <v>34</v>
      </c>
      <c r="AR79" s="19">
        <v>74</v>
      </c>
      <c r="AS79" s="19">
        <f t="shared" si="49"/>
        <v>35</v>
      </c>
      <c r="AU79" s="19">
        <v>74</v>
      </c>
      <c r="AV79" s="19">
        <f t="shared" si="50"/>
        <v>36</v>
      </c>
      <c r="AX79" s="19">
        <v>74</v>
      </c>
      <c r="AY79" s="19">
        <f t="shared" si="51"/>
        <v>37</v>
      </c>
      <c r="BB79" s="19">
        <v>74</v>
      </c>
      <c r="BC79" s="15">
        <f t="shared" si="46"/>
        <v>105</v>
      </c>
      <c r="BD79" s="15">
        <f t="shared" si="47"/>
        <v>440</v>
      </c>
      <c r="BE79" s="15">
        <f t="shared" si="48"/>
        <v>31500</v>
      </c>
      <c r="BF79" s="15">
        <f t="shared" si="52"/>
        <v>1200</v>
      </c>
      <c r="CD79" s="52">
        <v>75</v>
      </c>
      <c r="CE79" s="52">
        <v>1</v>
      </c>
      <c r="CF79" s="54" t="s">
        <v>538</v>
      </c>
      <c r="CG79" s="52">
        <v>75</v>
      </c>
      <c r="CH79" s="52"/>
      <c r="CI79" s="52"/>
      <c r="CJ79" s="52"/>
      <c r="CK79" s="52" t="s">
        <v>539</v>
      </c>
      <c r="CL79" s="52">
        <v>6600</v>
      </c>
      <c r="CM79" s="52" t="s">
        <v>540</v>
      </c>
      <c r="CN79" s="52">
        <v>75</v>
      </c>
      <c r="CO79" s="52"/>
      <c r="CP79" s="52"/>
      <c r="CQ79" s="52" t="s">
        <v>540</v>
      </c>
      <c r="CR79" s="52">
        <v>95</v>
      </c>
      <c r="CS79" s="52"/>
      <c r="CT79" s="52"/>
      <c r="CU79" s="52"/>
      <c r="CV79" s="52"/>
      <c r="CW79" s="52"/>
      <c r="CX79" s="52"/>
      <c r="CY79" s="52"/>
      <c r="CZ79" s="52"/>
      <c r="DA79" s="52"/>
      <c r="DB79" s="52"/>
    </row>
    <row r="80" spans="1:106" ht="16.5" x14ac:dyDescent="0.2">
      <c r="A80" s="23">
        <v>76</v>
      </c>
      <c r="B80" s="63">
        <v>9</v>
      </c>
      <c r="C80" s="39">
        <v>60</v>
      </c>
      <c r="D80" s="26">
        <f>INDEX(章节关卡!$C$6:$C$20,芦花古楼!B80)*芦花古楼!C80</f>
        <v>2160</v>
      </c>
      <c r="E80" s="23">
        <f t="shared" si="40"/>
        <v>80</v>
      </c>
      <c r="F80" s="23">
        <f t="shared" si="41"/>
        <v>95</v>
      </c>
      <c r="G80" s="15">
        <f>INDEX(章节关卡!$E$6:$E$20,芦花古楼!B80)*芦花古楼!C80</f>
        <v>4320</v>
      </c>
      <c r="H80" s="15">
        <v>200</v>
      </c>
      <c r="K80" s="23">
        <v>76</v>
      </c>
      <c r="L80" s="63">
        <v>11</v>
      </c>
      <c r="M80" s="39">
        <v>120</v>
      </c>
      <c r="N80" s="26">
        <f>INDEX(章节关卡!$C$6:$C$20,芦花古楼!L80)*芦花古楼!M80</f>
        <v>6360</v>
      </c>
      <c r="O80" s="23">
        <f t="shared" si="42"/>
        <v>85</v>
      </c>
      <c r="P80" s="23">
        <f t="shared" si="43"/>
        <v>95</v>
      </c>
      <c r="Q80" s="15">
        <f>INDEX(章节关卡!$E$6:$E$20,芦花古楼!L80)*芦花古楼!M80</f>
        <v>13200</v>
      </c>
      <c r="R80" s="15">
        <v>200</v>
      </c>
      <c r="U80" s="23">
        <v>76</v>
      </c>
      <c r="V80" s="63">
        <v>12</v>
      </c>
      <c r="W80" s="39">
        <v>180</v>
      </c>
      <c r="X80" s="26">
        <f>INDEX(章节关卡!$C$6:$C$20,芦花古楼!V80)*芦花古楼!W80</f>
        <v>11700</v>
      </c>
      <c r="Y80" s="23">
        <f t="shared" si="38"/>
        <v>90</v>
      </c>
      <c r="Z80" s="23">
        <f t="shared" si="39"/>
        <v>95</v>
      </c>
      <c r="AA80" s="15">
        <f>INDEX(章节关卡!$E$6:$E$20,芦花古楼!V80)*芦花古楼!W80</f>
        <v>23400</v>
      </c>
      <c r="AB80" s="15">
        <v>200</v>
      </c>
      <c r="AE80" s="23">
        <v>76</v>
      </c>
      <c r="AF80" s="63">
        <v>12</v>
      </c>
      <c r="AG80" s="39">
        <v>180</v>
      </c>
      <c r="AH80" s="26">
        <f>INDEX(章节关卡!$C$6:$C$20,芦花古楼!AF80)*芦花古楼!AG80</f>
        <v>11700</v>
      </c>
      <c r="AI80" s="23">
        <f t="shared" si="44"/>
        <v>95</v>
      </c>
      <c r="AJ80" s="23">
        <f t="shared" si="45"/>
        <v>95</v>
      </c>
      <c r="AK80" s="15">
        <f>INDEX(章节关卡!$E$6:$E$20,芦花古楼!AF80)*芦花古楼!AG80</f>
        <v>23400</v>
      </c>
      <c r="AL80" s="15">
        <v>200</v>
      </c>
      <c r="AO80" s="19">
        <v>75</v>
      </c>
      <c r="AP80" s="19">
        <v>36</v>
      </c>
      <c r="AR80" s="19">
        <v>75</v>
      </c>
      <c r="AS80" s="19">
        <f t="shared" si="49"/>
        <v>37</v>
      </c>
      <c r="AU80" s="19">
        <v>75</v>
      </c>
      <c r="AV80" s="19">
        <f t="shared" si="50"/>
        <v>38</v>
      </c>
      <c r="AX80" s="19">
        <v>75</v>
      </c>
      <c r="AY80" s="19">
        <f t="shared" si="51"/>
        <v>39</v>
      </c>
      <c r="BB80" s="19">
        <v>75</v>
      </c>
      <c r="BC80" s="15">
        <f t="shared" si="46"/>
        <v>205</v>
      </c>
      <c r="BD80" s="15">
        <f t="shared" si="47"/>
        <v>440</v>
      </c>
      <c r="BE80" s="15">
        <f t="shared" si="48"/>
        <v>36900</v>
      </c>
      <c r="BF80" s="15">
        <f t="shared" si="52"/>
        <v>1200</v>
      </c>
      <c r="CD80" s="52">
        <v>76</v>
      </c>
      <c r="CE80" s="52">
        <v>1</v>
      </c>
      <c r="CF80" s="54" t="s">
        <v>538</v>
      </c>
      <c r="CG80" s="52">
        <v>76</v>
      </c>
      <c r="CH80" s="52"/>
      <c r="CI80" s="52"/>
      <c r="CJ80" s="52"/>
      <c r="CK80" s="52" t="s">
        <v>539</v>
      </c>
      <c r="CL80" s="52">
        <v>6600</v>
      </c>
      <c r="CM80" s="52" t="s">
        <v>540</v>
      </c>
      <c r="CN80" s="52">
        <v>80</v>
      </c>
      <c r="CO80" s="52"/>
      <c r="CP80" s="52"/>
      <c r="CQ80" s="52" t="s">
        <v>540</v>
      </c>
      <c r="CR80" s="52">
        <v>95</v>
      </c>
      <c r="CS80" s="52"/>
      <c r="CT80" s="52"/>
      <c r="CU80" s="52"/>
      <c r="CV80" s="52"/>
      <c r="CW80" s="52"/>
      <c r="CX80" s="52"/>
      <c r="CY80" s="52"/>
      <c r="CZ80" s="52"/>
      <c r="DA80" s="52"/>
      <c r="DB80" s="52"/>
    </row>
    <row r="81" spans="1:106" ht="16.5" x14ac:dyDescent="0.2">
      <c r="A81" s="23">
        <v>77</v>
      </c>
      <c r="B81" s="63">
        <v>9</v>
      </c>
      <c r="C81" s="39">
        <v>60</v>
      </c>
      <c r="D81" s="26">
        <f>INDEX(章节关卡!$C$6:$C$20,芦花古楼!B81)*芦花古楼!C81</f>
        <v>2160</v>
      </c>
      <c r="E81" s="23">
        <f t="shared" si="40"/>
        <v>80</v>
      </c>
      <c r="F81" s="23">
        <f t="shared" si="41"/>
        <v>95</v>
      </c>
      <c r="G81" s="15">
        <f>INDEX(章节关卡!$E$6:$E$20,芦花古楼!B81)*芦花古楼!C81</f>
        <v>4320</v>
      </c>
      <c r="H81" s="15">
        <v>200</v>
      </c>
      <c r="K81" s="23">
        <v>77</v>
      </c>
      <c r="L81" s="63">
        <v>11</v>
      </c>
      <c r="M81" s="39">
        <v>120</v>
      </c>
      <c r="N81" s="26">
        <f>INDEX(章节关卡!$C$6:$C$20,芦花古楼!L81)*芦花古楼!M81</f>
        <v>6360</v>
      </c>
      <c r="O81" s="23">
        <f t="shared" si="42"/>
        <v>85</v>
      </c>
      <c r="P81" s="23">
        <f t="shared" si="43"/>
        <v>95</v>
      </c>
      <c r="Q81" s="15">
        <f>INDEX(章节关卡!$E$6:$E$20,芦花古楼!L81)*芦花古楼!M81</f>
        <v>13200</v>
      </c>
      <c r="R81" s="15">
        <v>200</v>
      </c>
      <c r="U81" s="23">
        <v>77</v>
      </c>
      <c r="V81" s="63">
        <v>12</v>
      </c>
      <c r="W81" s="39">
        <v>180</v>
      </c>
      <c r="X81" s="26">
        <f>INDEX(章节关卡!$C$6:$C$20,芦花古楼!V81)*芦花古楼!W81</f>
        <v>11700</v>
      </c>
      <c r="Y81" s="23">
        <f t="shared" si="38"/>
        <v>90</v>
      </c>
      <c r="Z81" s="23">
        <f t="shared" si="39"/>
        <v>95</v>
      </c>
      <c r="AA81" s="15">
        <f>INDEX(章节关卡!$E$6:$E$20,芦花古楼!V81)*芦花古楼!W81</f>
        <v>23400</v>
      </c>
      <c r="AB81" s="15">
        <v>200</v>
      </c>
      <c r="AE81" s="23">
        <v>77</v>
      </c>
      <c r="AF81" s="63">
        <v>12</v>
      </c>
      <c r="AG81" s="39">
        <v>180</v>
      </c>
      <c r="AH81" s="26">
        <f>INDEX(章节关卡!$C$6:$C$20,芦花古楼!AF81)*芦花古楼!AG81</f>
        <v>11700</v>
      </c>
      <c r="AI81" s="23">
        <f t="shared" si="44"/>
        <v>95</v>
      </c>
      <c r="AJ81" s="23">
        <f t="shared" si="45"/>
        <v>95</v>
      </c>
      <c r="AK81" s="15">
        <f>INDEX(章节关卡!$E$6:$E$20,芦花古楼!AF81)*芦花古楼!AG81</f>
        <v>23400</v>
      </c>
      <c r="AL81" s="15">
        <v>200</v>
      </c>
      <c r="AO81" s="19">
        <v>76</v>
      </c>
      <c r="AP81" s="19">
        <v>38</v>
      </c>
      <c r="AR81" s="19">
        <v>76</v>
      </c>
      <c r="AS81" s="19">
        <f t="shared" si="49"/>
        <v>39</v>
      </c>
      <c r="AU81" s="19">
        <v>76</v>
      </c>
      <c r="AV81" s="19">
        <f t="shared" si="50"/>
        <v>40</v>
      </c>
      <c r="AX81" s="19">
        <v>76</v>
      </c>
      <c r="AY81" s="19">
        <f t="shared" si="51"/>
        <v>41</v>
      </c>
      <c r="BB81" s="19">
        <v>76</v>
      </c>
      <c r="BC81" s="15">
        <f t="shared" si="46"/>
        <v>100</v>
      </c>
      <c r="BD81" s="15">
        <f t="shared" si="47"/>
        <v>440</v>
      </c>
      <c r="BE81" s="15">
        <f t="shared" si="48"/>
        <v>15600</v>
      </c>
      <c r="BF81" s="15">
        <f t="shared" si="52"/>
        <v>1200</v>
      </c>
      <c r="CD81" s="52">
        <v>77</v>
      </c>
      <c r="CE81" s="52">
        <v>1</v>
      </c>
      <c r="CF81" s="54" t="s">
        <v>538</v>
      </c>
      <c r="CG81" s="52">
        <v>77</v>
      </c>
      <c r="CH81" s="52"/>
      <c r="CI81" s="52"/>
      <c r="CJ81" s="52"/>
      <c r="CK81" s="52" t="s">
        <v>539</v>
      </c>
      <c r="CL81" s="52">
        <v>6600</v>
      </c>
      <c r="CM81" s="52" t="s">
        <v>540</v>
      </c>
      <c r="CN81" s="52">
        <v>80</v>
      </c>
      <c r="CO81" s="52"/>
      <c r="CP81" s="52"/>
      <c r="CQ81" s="52" t="s">
        <v>540</v>
      </c>
      <c r="CR81" s="52">
        <v>95</v>
      </c>
      <c r="CS81" s="52"/>
      <c r="CT81" s="52"/>
      <c r="CU81" s="52"/>
      <c r="CV81" s="52"/>
      <c r="CW81" s="52"/>
      <c r="CX81" s="52"/>
      <c r="CY81" s="52"/>
      <c r="CZ81" s="52"/>
      <c r="DA81" s="52"/>
      <c r="DB81" s="52"/>
    </row>
    <row r="82" spans="1:106" ht="16.5" x14ac:dyDescent="0.2">
      <c r="A82" s="23">
        <v>78</v>
      </c>
      <c r="B82" s="63">
        <v>9</v>
      </c>
      <c r="C82" s="39">
        <v>60</v>
      </c>
      <c r="D82" s="26">
        <f>INDEX(章节关卡!$C$6:$C$20,芦花古楼!B82)*芦花古楼!C82</f>
        <v>2160</v>
      </c>
      <c r="E82" s="23">
        <f t="shared" si="40"/>
        <v>80</v>
      </c>
      <c r="F82" s="23">
        <f t="shared" si="41"/>
        <v>95</v>
      </c>
      <c r="G82" s="15">
        <f>INDEX(章节关卡!$E$6:$E$20,芦花古楼!B82)*芦花古楼!C82</f>
        <v>4320</v>
      </c>
      <c r="H82" s="15">
        <v>200</v>
      </c>
      <c r="K82" s="23">
        <v>78</v>
      </c>
      <c r="L82" s="63">
        <v>11</v>
      </c>
      <c r="M82" s="39">
        <v>120</v>
      </c>
      <c r="N82" s="26">
        <f>INDEX(章节关卡!$C$6:$C$20,芦花古楼!L82)*芦花古楼!M82</f>
        <v>6360</v>
      </c>
      <c r="O82" s="23">
        <f t="shared" si="42"/>
        <v>85</v>
      </c>
      <c r="P82" s="23">
        <f t="shared" si="43"/>
        <v>95</v>
      </c>
      <c r="Q82" s="15">
        <f>INDEX(章节关卡!$E$6:$E$20,芦花古楼!L82)*芦花古楼!M82</f>
        <v>13200</v>
      </c>
      <c r="R82" s="15">
        <v>200</v>
      </c>
      <c r="U82" s="23">
        <v>78</v>
      </c>
      <c r="V82" s="63">
        <v>12</v>
      </c>
      <c r="W82" s="39">
        <v>180</v>
      </c>
      <c r="X82" s="26">
        <f>INDEX(章节关卡!$C$6:$C$20,芦花古楼!V82)*芦花古楼!W82</f>
        <v>11700</v>
      </c>
      <c r="Y82" s="23">
        <f t="shared" si="38"/>
        <v>90</v>
      </c>
      <c r="Z82" s="23">
        <f t="shared" si="39"/>
        <v>95</v>
      </c>
      <c r="AA82" s="15">
        <f>INDEX(章节关卡!$E$6:$E$20,芦花古楼!V82)*芦花古楼!W82</f>
        <v>23400</v>
      </c>
      <c r="AB82" s="15">
        <v>200</v>
      </c>
      <c r="AE82" s="23">
        <v>78</v>
      </c>
      <c r="AF82" s="63">
        <v>12</v>
      </c>
      <c r="AG82" s="39">
        <v>180</v>
      </c>
      <c r="AH82" s="26">
        <f>INDEX(章节关卡!$C$6:$C$20,芦花古楼!AF82)*芦花古楼!AG82</f>
        <v>11700</v>
      </c>
      <c r="AI82" s="23">
        <f t="shared" si="44"/>
        <v>95</v>
      </c>
      <c r="AJ82" s="23">
        <f t="shared" si="45"/>
        <v>95</v>
      </c>
      <c r="AK82" s="15">
        <f>INDEX(章节关卡!$E$6:$E$20,芦花古楼!AF82)*芦花古楼!AG82</f>
        <v>23400</v>
      </c>
      <c r="AL82" s="15">
        <v>200</v>
      </c>
      <c r="AO82" s="19">
        <v>77</v>
      </c>
      <c r="AP82" s="19">
        <v>40</v>
      </c>
      <c r="AR82" s="19">
        <v>77</v>
      </c>
      <c r="AS82" s="19">
        <f t="shared" si="49"/>
        <v>41</v>
      </c>
      <c r="AU82" s="19">
        <v>77</v>
      </c>
      <c r="AV82" s="19">
        <f t="shared" si="50"/>
        <v>42</v>
      </c>
      <c r="AX82" s="19">
        <v>77</v>
      </c>
      <c r="AY82" s="19">
        <f t="shared" si="51"/>
        <v>43</v>
      </c>
      <c r="BB82" s="19">
        <v>77</v>
      </c>
      <c r="BC82" s="15">
        <f t="shared" si="46"/>
        <v>105</v>
      </c>
      <c r="BD82" s="15">
        <f t="shared" si="47"/>
        <v>440</v>
      </c>
      <c r="BE82" s="15">
        <f t="shared" si="48"/>
        <v>31500</v>
      </c>
      <c r="BF82" s="15">
        <f t="shared" si="52"/>
        <v>1200</v>
      </c>
      <c r="CD82" s="52">
        <v>78</v>
      </c>
      <c r="CE82" s="52">
        <v>1</v>
      </c>
      <c r="CF82" s="54" t="s">
        <v>538</v>
      </c>
      <c r="CG82" s="52">
        <v>78</v>
      </c>
      <c r="CH82" s="52"/>
      <c r="CI82" s="52"/>
      <c r="CJ82" s="52"/>
      <c r="CK82" s="52" t="s">
        <v>539</v>
      </c>
      <c r="CL82" s="52">
        <v>6600</v>
      </c>
      <c r="CM82" s="52" t="s">
        <v>540</v>
      </c>
      <c r="CN82" s="52">
        <v>80</v>
      </c>
      <c r="CO82" s="52"/>
      <c r="CP82" s="52"/>
      <c r="CQ82" s="52" t="s">
        <v>540</v>
      </c>
      <c r="CR82" s="52">
        <v>95</v>
      </c>
      <c r="CS82" s="52"/>
      <c r="CT82" s="52"/>
      <c r="CU82" s="52"/>
      <c r="CV82" s="52"/>
      <c r="CW82" s="52"/>
      <c r="CX82" s="52"/>
      <c r="CY82" s="52"/>
      <c r="CZ82" s="52"/>
      <c r="DA82" s="52"/>
      <c r="DB82" s="52"/>
    </row>
    <row r="83" spans="1:106" ht="16.5" x14ac:dyDescent="0.2">
      <c r="A83" s="23">
        <v>79</v>
      </c>
      <c r="B83" s="63">
        <v>9</v>
      </c>
      <c r="C83" s="39">
        <v>60</v>
      </c>
      <c r="D83" s="26">
        <f>INDEX(章节关卡!$C$6:$C$20,芦花古楼!B83)*芦花古楼!C83</f>
        <v>2160</v>
      </c>
      <c r="E83" s="23">
        <f t="shared" si="40"/>
        <v>80</v>
      </c>
      <c r="F83" s="23">
        <f t="shared" si="41"/>
        <v>95</v>
      </c>
      <c r="G83" s="15">
        <f>INDEX(章节关卡!$E$6:$E$20,芦花古楼!B83)*芦花古楼!C83</f>
        <v>4320</v>
      </c>
      <c r="H83" s="15">
        <v>200</v>
      </c>
      <c r="K83" s="23">
        <v>79</v>
      </c>
      <c r="L83" s="63">
        <v>11</v>
      </c>
      <c r="M83" s="39">
        <v>120</v>
      </c>
      <c r="N83" s="26">
        <f>INDEX(章节关卡!$C$6:$C$20,芦花古楼!L83)*芦花古楼!M83</f>
        <v>6360</v>
      </c>
      <c r="O83" s="23">
        <f t="shared" si="42"/>
        <v>85</v>
      </c>
      <c r="P83" s="23">
        <f t="shared" si="43"/>
        <v>95</v>
      </c>
      <c r="Q83" s="15">
        <f>INDEX(章节关卡!$E$6:$E$20,芦花古楼!L83)*芦花古楼!M83</f>
        <v>13200</v>
      </c>
      <c r="R83" s="15">
        <v>200</v>
      </c>
      <c r="U83" s="23">
        <v>79</v>
      </c>
      <c r="V83" s="63">
        <v>12</v>
      </c>
      <c r="W83" s="39">
        <v>180</v>
      </c>
      <c r="X83" s="26">
        <f>INDEX(章节关卡!$C$6:$C$20,芦花古楼!V83)*芦花古楼!W83</f>
        <v>11700</v>
      </c>
      <c r="Y83" s="23">
        <f t="shared" si="38"/>
        <v>90</v>
      </c>
      <c r="Z83" s="23">
        <f t="shared" si="39"/>
        <v>95</v>
      </c>
      <c r="AA83" s="15">
        <f>INDEX(章节关卡!$E$6:$E$20,芦花古楼!V83)*芦花古楼!W83</f>
        <v>23400</v>
      </c>
      <c r="AB83" s="15">
        <v>200</v>
      </c>
      <c r="AE83" s="23">
        <v>79</v>
      </c>
      <c r="AF83" s="63">
        <v>12</v>
      </c>
      <c r="AG83" s="39">
        <v>180</v>
      </c>
      <c r="AH83" s="26">
        <f>INDEX(章节关卡!$C$6:$C$20,芦花古楼!AF83)*芦花古楼!AG83</f>
        <v>11700</v>
      </c>
      <c r="AI83" s="23">
        <f t="shared" si="44"/>
        <v>95</v>
      </c>
      <c r="AJ83" s="23">
        <f t="shared" si="45"/>
        <v>95</v>
      </c>
      <c r="AK83" s="15">
        <f>INDEX(章节关卡!$E$6:$E$20,芦花古楼!AF83)*芦花古楼!AG83</f>
        <v>23400</v>
      </c>
      <c r="AL83" s="15">
        <v>200</v>
      </c>
      <c r="AO83" s="19">
        <v>78</v>
      </c>
      <c r="AP83" s="19">
        <v>42</v>
      </c>
      <c r="AR83" s="19">
        <v>78</v>
      </c>
      <c r="AS83" s="19">
        <f t="shared" si="49"/>
        <v>43</v>
      </c>
      <c r="AU83" s="19">
        <v>78</v>
      </c>
      <c r="AV83" s="19">
        <f t="shared" si="50"/>
        <v>44</v>
      </c>
      <c r="AX83" s="19">
        <v>78</v>
      </c>
      <c r="AY83" s="19">
        <f t="shared" si="51"/>
        <v>45</v>
      </c>
      <c r="BB83" s="19">
        <v>78</v>
      </c>
      <c r="BC83" s="15">
        <f t="shared" si="46"/>
        <v>205</v>
      </c>
      <c r="BD83" s="15">
        <f t="shared" si="47"/>
        <v>440</v>
      </c>
      <c r="BE83" s="15">
        <f t="shared" si="48"/>
        <v>36900</v>
      </c>
      <c r="BF83" s="15">
        <f t="shared" si="52"/>
        <v>1200</v>
      </c>
      <c r="CD83" s="52">
        <v>79</v>
      </c>
      <c r="CE83" s="52">
        <v>1</v>
      </c>
      <c r="CF83" s="54" t="s">
        <v>538</v>
      </c>
      <c r="CG83" s="52">
        <v>79</v>
      </c>
      <c r="CH83" s="52"/>
      <c r="CI83" s="52"/>
      <c r="CJ83" s="52"/>
      <c r="CK83" s="52" t="s">
        <v>539</v>
      </c>
      <c r="CL83" s="52">
        <v>6600</v>
      </c>
      <c r="CM83" s="52" t="s">
        <v>540</v>
      </c>
      <c r="CN83" s="52">
        <v>80</v>
      </c>
      <c r="CO83" s="52"/>
      <c r="CP83" s="52"/>
      <c r="CQ83" s="52" t="s">
        <v>540</v>
      </c>
      <c r="CR83" s="52">
        <v>95</v>
      </c>
      <c r="CS83" s="52"/>
      <c r="CT83" s="52"/>
      <c r="CU83" s="52"/>
      <c r="CV83" s="52"/>
      <c r="CW83" s="52"/>
      <c r="CX83" s="52"/>
      <c r="CY83" s="52"/>
      <c r="CZ83" s="52"/>
      <c r="DA83" s="52"/>
      <c r="DB83" s="52"/>
    </row>
    <row r="84" spans="1:106" ht="16.5" x14ac:dyDescent="0.2">
      <c r="A84" s="23">
        <v>80</v>
      </c>
      <c r="B84" s="26">
        <v>10</v>
      </c>
      <c r="C84" s="39">
        <v>60</v>
      </c>
      <c r="D84" s="26">
        <f>INDEX(章节关卡!$C$6:$C$20,芦花古楼!B84)*芦花古楼!C84</f>
        <v>2640</v>
      </c>
      <c r="E84" s="23">
        <f t="shared" si="40"/>
        <v>80</v>
      </c>
      <c r="F84" s="23">
        <f t="shared" si="41"/>
        <v>100</v>
      </c>
      <c r="G84" s="15">
        <f>INDEX(章节关卡!$E$6:$E$20,芦花古楼!B84)*芦花古楼!C84</f>
        <v>5400</v>
      </c>
      <c r="H84" s="15">
        <v>250</v>
      </c>
      <c r="K84" s="23">
        <v>80</v>
      </c>
      <c r="L84" s="63">
        <v>11</v>
      </c>
      <c r="M84" s="39">
        <v>120</v>
      </c>
      <c r="N84" s="26">
        <f>INDEX(章节关卡!$C$6:$C$20,芦花古楼!L84)*芦花古楼!M84</f>
        <v>6360</v>
      </c>
      <c r="O84" s="23">
        <f t="shared" si="42"/>
        <v>85</v>
      </c>
      <c r="P84" s="23">
        <f t="shared" si="43"/>
        <v>100</v>
      </c>
      <c r="Q84" s="15">
        <f>INDEX(章节关卡!$E$6:$E$20,芦花古楼!L84)*芦花古楼!M84</f>
        <v>13200</v>
      </c>
      <c r="R84" s="15">
        <v>250</v>
      </c>
      <c r="U84" s="23">
        <v>80</v>
      </c>
      <c r="V84" s="26">
        <v>13</v>
      </c>
      <c r="W84" s="39">
        <v>180</v>
      </c>
      <c r="X84" s="26">
        <f>INDEX(章节关卡!$C$6:$C$20,芦花古楼!V84)*芦花古楼!W84</f>
        <v>14400</v>
      </c>
      <c r="Y84" s="23">
        <f t="shared" si="38"/>
        <v>90</v>
      </c>
      <c r="Z84" s="23">
        <f t="shared" si="39"/>
        <v>100</v>
      </c>
      <c r="AA84" s="15">
        <f>INDEX(章节关卡!$E$6:$E$20,芦花古楼!V84)*芦花古楼!W84</f>
        <v>27000</v>
      </c>
      <c r="AB84" s="15">
        <v>250</v>
      </c>
      <c r="AE84" s="23">
        <v>80</v>
      </c>
      <c r="AF84" s="63">
        <v>13</v>
      </c>
      <c r="AG84" s="39">
        <v>180</v>
      </c>
      <c r="AH84" s="26">
        <f>INDEX(章节关卡!$C$6:$C$20,芦花古楼!AF84)*芦花古楼!AG84</f>
        <v>14400</v>
      </c>
      <c r="AI84" s="23">
        <f t="shared" si="44"/>
        <v>95</v>
      </c>
      <c r="AJ84" s="23">
        <f t="shared" si="45"/>
        <v>100</v>
      </c>
      <c r="AK84" s="15">
        <f>INDEX(章节关卡!$E$6:$E$20,芦花古楼!AF84)*芦花古楼!AG84</f>
        <v>27000</v>
      </c>
      <c r="AL84" s="15">
        <v>250</v>
      </c>
      <c r="AO84" s="19">
        <v>79</v>
      </c>
      <c r="AP84" s="19">
        <v>44</v>
      </c>
      <c r="AR84" s="19">
        <v>79</v>
      </c>
      <c r="AS84" s="19">
        <f t="shared" si="49"/>
        <v>45</v>
      </c>
      <c r="AU84" s="19">
        <v>79</v>
      </c>
      <c r="AV84" s="19">
        <f t="shared" si="50"/>
        <v>46</v>
      </c>
      <c r="AX84" s="19">
        <v>79</v>
      </c>
      <c r="AY84" s="19">
        <f t="shared" si="51"/>
        <v>47</v>
      </c>
      <c r="BB84" s="19">
        <v>79</v>
      </c>
      <c r="BC84" s="15">
        <f t="shared" si="46"/>
        <v>100</v>
      </c>
      <c r="BD84" s="15">
        <f t="shared" si="47"/>
        <v>440</v>
      </c>
      <c r="BE84" s="15">
        <f t="shared" si="48"/>
        <v>15600</v>
      </c>
      <c r="BF84" s="15">
        <f t="shared" si="52"/>
        <v>1200</v>
      </c>
      <c r="CD84" s="52">
        <v>80</v>
      </c>
      <c r="CE84" s="52">
        <v>1</v>
      </c>
      <c r="CF84" s="54" t="s">
        <v>538</v>
      </c>
      <c r="CG84" s="52">
        <v>80</v>
      </c>
      <c r="CH84" s="52"/>
      <c r="CI84" s="52"/>
      <c r="CJ84" s="52"/>
      <c r="CK84" s="52" t="s">
        <v>539</v>
      </c>
      <c r="CL84" s="52">
        <v>6600</v>
      </c>
      <c r="CM84" s="52" t="s">
        <v>540</v>
      </c>
      <c r="CN84" s="52">
        <v>80</v>
      </c>
      <c r="CO84" s="52"/>
      <c r="CP84" s="52"/>
      <c r="CQ84" s="52" t="s">
        <v>540</v>
      </c>
      <c r="CR84" s="52">
        <v>100</v>
      </c>
      <c r="CS84" s="52"/>
      <c r="CT84" s="52"/>
      <c r="CU84" s="52"/>
      <c r="CV84" s="52"/>
      <c r="CW84" s="52"/>
      <c r="CX84" s="52"/>
      <c r="CY84" s="52"/>
      <c r="CZ84" s="52"/>
      <c r="DA84" s="52"/>
      <c r="DB84" s="52"/>
    </row>
    <row r="85" spans="1:106" ht="16.5" x14ac:dyDescent="0.2">
      <c r="A85" s="23">
        <v>81</v>
      </c>
      <c r="B85" s="63">
        <v>10</v>
      </c>
      <c r="C85" s="39">
        <v>60</v>
      </c>
      <c r="D85" s="26">
        <f>INDEX(章节关卡!$C$6:$C$20,芦花古楼!B85)*芦花古楼!C85</f>
        <v>2640</v>
      </c>
      <c r="E85" s="23">
        <f t="shared" si="40"/>
        <v>85</v>
      </c>
      <c r="F85" s="23">
        <f t="shared" si="41"/>
        <v>100</v>
      </c>
      <c r="G85" s="15">
        <f>INDEX(章节关卡!$E$6:$E$20,芦花古楼!B85)*芦花古楼!C85</f>
        <v>5400</v>
      </c>
      <c r="H85" s="15">
        <v>250</v>
      </c>
      <c r="K85" s="23">
        <v>81</v>
      </c>
      <c r="L85" s="63">
        <v>11</v>
      </c>
      <c r="M85" s="39">
        <v>120</v>
      </c>
      <c r="N85" s="26">
        <f>INDEX(章节关卡!$C$6:$C$20,芦花古楼!L85)*芦花古楼!M85</f>
        <v>6360</v>
      </c>
      <c r="O85" s="23">
        <f t="shared" si="42"/>
        <v>90</v>
      </c>
      <c r="P85" s="23">
        <f t="shared" si="43"/>
        <v>100</v>
      </c>
      <c r="Q85" s="15">
        <f>INDEX(章节关卡!$E$6:$E$20,芦花古楼!L85)*芦花古楼!M85</f>
        <v>13200</v>
      </c>
      <c r="R85" s="15">
        <v>250</v>
      </c>
      <c r="U85" s="23">
        <v>81</v>
      </c>
      <c r="V85" s="63">
        <v>13</v>
      </c>
      <c r="W85" s="39">
        <v>180</v>
      </c>
      <c r="X85" s="26">
        <f>INDEX(章节关卡!$C$6:$C$20,芦花古楼!V85)*芦花古楼!W85</f>
        <v>14400</v>
      </c>
      <c r="Y85" s="23">
        <f t="shared" si="38"/>
        <v>95</v>
      </c>
      <c r="Z85" s="23">
        <f t="shared" si="39"/>
        <v>100</v>
      </c>
      <c r="AA85" s="15">
        <f>INDEX(章节关卡!$E$6:$E$20,芦花古楼!V85)*芦花古楼!W85</f>
        <v>27000</v>
      </c>
      <c r="AB85" s="15">
        <v>250</v>
      </c>
      <c r="AE85" s="23">
        <v>81</v>
      </c>
      <c r="AF85" s="63">
        <v>13</v>
      </c>
      <c r="AG85" s="39">
        <v>180</v>
      </c>
      <c r="AH85" s="26">
        <f>INDEX(章节关卡!$C$6:$C$20,芦花古楼!AF85)*芦花古楼!AG85</f>
        <v>14400</v>
      </c>
      <c r="AI85" s="23">
        <f t="shared" si="44"/>
        <v>100</v>
      </c>
      <c r="AJ85" s="23">
        <f t="shared" si="45"/>
        <v>100</v>
      </c>
      <c r="AK85" s="15">
        <f>INDEX(章节关卡!$E$6:$E$20,芦花古楼!AF85)*芦花古楼!AG85</f>
        <v>27000</v>
      </c>
      <c r="AL85" s="15">
        <v>250</v>
      </c>
      <c r="AO85" s="19">
        <v>80</v>
      </c>
      <c r="AP85" s="19">
        <v>46</v>
      </c>
      <c r="AR85" s="19">
        <v>80</v>
      </c>
      <c r="AS85" s="19">
        <f t="shared" si="49"/>
        <v>47</v>
      </c>
      <c r="AU85" s="19">
        <v>80</v>
      </c>
      <c r="AV85" s="19">
        <f t="shared" si="50"/>
        <v>48</v>
      </c>
      <c r="AX85" s="19">
        <v>80</v>
      </c>
      <c r="AY85" s="19">
        <f t="shared" si="51"/>
        <v>49</v>
      </c>
      <c r="BB85" s="19">
        <v>80</v>
      </c>
      <c r="BC85" s="15">
        <f t="shared" si="46"/>
        <v>105</v>
      </c>
      <c r="BD85" s="15">
        <f t="shared" si="47"/>
        <v>440</v>
      </c>
      <c r="BE85" s="15">
        <f t="shared" si="48"/>
        <v>31500</v>
      </c>
      <c r="BF85" s="15">
        <f t="shared" si="52"/>
        <v>1200</v>
      </c>
      <c r="CD85" s="52">
        <v>81</v>
      </c>
      <c r="CE85" s="52">
        <v>1</v>
      </c>
      <c r="CF85" s="54" t="s">
        <v>538</v>
      </c>
      <c r="CG85" s="52">
        <v>81</v>
      </c>
      <c r="CH85" s="52"/>
      <c r="CI85" s="52"/>
      <c r="CJ85" s="52"/>
      <c r="CK85" s="52" t="s">
        <v>539</v>
      </c>
      <c r="CL85" s="52">
        <v>6600</v>
      </c>
      <c r="CM85" s="52" t="s">
        <v>540</v>
      </c>
      <c r="CN85" s="52">
        <v>85</v>
      </c>
      <c r="CO85" s="52"/>
      <c r="CP85" s="52"/>
      <c r="CQ85" s="52" t="s">
        <v>540</v>
      </c>
      <c r="CR85" s="52">
        <v>100</v>
      </c>
      <c r="CS85" s="52"/>
      <c r="CT85" s="52"/>
      <c r="CU85" s="52"/>
      <c r="CV85" s="52"/>
      <c r="CW85" s="52"/>
      <c r="CX85" s="52"/>
      <c r="CY85" s="52"/>
      <c r="CZ85" s="52"/>
      <c r="DA85" s="52"/>
      <c r="DB85" s="52"/>
    </row>
    <row r="86" spans="1:106" ht="16.5" x14ac:dyDescent="0.2">
      <c r="A86" s="23">
        <v>82</v>
      </c>
      <c r="B86" s="63">
        <v>10</v>
      </c>
      <c r="C86" s="39">
        <v>60</v>
      </c>
      <c r="D86" s="26">
        <f>INDEX(章节关卡!$C$6:$C$20,芦花古楼!B86)*芦花古楼!C86</f>
        <v>2640</v>
      </c>
      <c r="E86" s="23">
        <f t="shared" si="40"/>
        <v>85</v>
      </c>
      <c r="F86" s="23">
        <f t="shared" si="41"/>
        <v>100</v>
      </c>
      <c r="G86" s="15">
        <f>INDEX(章节关卡!$E$6:$E$20,芦花古楼!B86)*芦花古楼!C86</f>
        <v>5400</v>
      </c>
      <c r="H86" s="15">
        <v>250</v>
      </c>
      <c r="K86" s="23">
        <v>82</v>
      </c>
      <c r="L86" s="63">
        <v>11</v>
      </c>
      <c r="M86" s="39">
        <v>120</v>
      </c>
      <c r="N86" s="26">
        <f>INDEX(章节关卡!$C$6:$C$20,芦花古楼!L86)*芦花古楼!M86</f>
        <v>6360</v>
      </c>
      <c r="O86" s="23">
        <f t="shared" si="42"/>
        <v>90</v>
      </c>
      <c r="P86" s="23">
        <f t="shared" si="43"/>
        <v>100</v>
      </c>
      <c r="Q86" s="15">
        <f>INDEX(章节关卡!$E$6:$E$20,芦花古楼!L86)*芦花古楼!M86</f>
        <v>13200</v>
      </c>
      <c r="R86" s="15">
        <v>250</v>
      </c>
      <c r="U86" s="23">
        <v>82</v>
      </c>
      <c r="V86" s="63">
        <v>13</v>
      </c>
      <c r="W86" s="39">
        <v>180</v>
      </c>
      <c r="X86" s="26">
        <f>INDEX(章节关卡!$C$6:$C$20,芦花古楼!V86)*芦花古楼!W86</f>
        <v>14400</v>
      </c>
      <c r="Y86" s="23">
        <f t="shared" si="38"/>
        <v>95</v>
      </c>
      <c r="Z86" s="23">
        <f t="shared" si="39"/>
        <v>100</v>
      </c>
      <c r="AA86" s="15">
        <f>INDEX(章节关卡!$E$6:$E$20,芦花古楼!V86)*芦花古楼!W86</f>
        <v>27000</v>
      </c>
      <c r="AB86" s="15">
        <v>250</v>
      </c>
      <c r="AE86" s="23">
        <v>82</v>
      </c>
      <c r="AF86" s="63">
        <v>13</v>
      </c>
      <c r="AG86" s="39">
        <v>180</v>
      </c>
      <c r="AH86" s="26">
        <f>INDEX(章节关卡!$C$6:$C$20,芦花古楼!AF86)*芦花古楼!AG86</f>
        <v>14400</v>
      </c>
      <c r="AI86" s="23">
        <f t="shared" si="44"/>
        <v>100</v>
      </c>
      <c r="AJ86" s="23">
        <f t="shared" si="45"/>
        <v>100</v>
      </c>
      <c r="AK86" s="15">
        <f>INDEX(章节关卡!$E$6:$E$20,芦花古楼!AF86)*芦花古楼!AG86</f>
        <v>27000</v>
      </c>
      <c r="AL86" s="15">
        <v>250</v>
      </c>
      <c r="AO86" s="19">
        <v>81</v>
      </c>
      <c r="AP86" s="19">
        <v>48</v>
      </c>
      <c r="AR86" s="19">
        <v>81</v>
      </c>
      <c r="AS86" s="19">
        <f t="shared" si="49"/>
        <v>49</v>
      </c>
      <c r="AU86" s="19">
        <v>81</v>
      </c>
      <c r="AV86" s="19">
        <f t="shared" si="50"/>
        <v>50</v>
      </c>
      <c r="AX86" s="19">
        <v>81</v>
      </c>
      <c r="AY86" s="19">
        <f t="shared" si="51"/>
        <v>51</v>
      </c>
      <c r="BB86" s="19">
        <v>81</v>
      </c>
      <c r="BC86" s="15">
        <f t="shared" si="46"/>
        <v>205</v>
      </c>
      <c r="BD86" s="15">
        <f t="shared" si="47"/>
        <v>440</v>
      </c>
      <c r="BE86" s="15">
        <f t="shared" si="48"/>
        <v>36900</v>
      </c>
      <c r="BF86" s="15">
        <f t="shared" si="52"/>
        <v>1200</v>
      </c>
      <c r="CD86" s="52">
        <v>82</v>
      </c>
      <c r="CE86" s="52">
        <v>1</v>
      </c>
      <c r="CF86" s="54" t="s">
        <v>538</v>
      </c>
      <c r="CG86" s="52">
        <v>82</v>
      </c>
      <c r="CH86" s="52"/>
      <c r="CI86" s="52"/>
      <c r="CJ86" s="52"/>
      <c r="CK86" s="52" t="s">
        <v>539</v>
      </c>
      <c r="CL86" s="52">
        <v>6600</v>
      </c>
      <c r="CM86" s="52" t="s">
        <v>540</v>
      </c>
      <c r="CN86" s="52">
        <v>85</v>
      </c>
      <c r="CO86" s="52"/>
      <c r="CP86" s="52"/>
      <c r="CQ86" s="52" t="s">
        <v>540</v>
      </c>
      <c r="CR86" s="52">
        <v>100</v>
      </c>
      <c r="CS86" s="52"/>
      <c r="CT86" s="52"/>
      <c r="CU86" s="52"/>
      <c r="CV86" s="52"/>
      <c r="CW86" s="52"/>
      <c r="CX86" s="52"/>
      <c r="CY86" s="52"/>
      <c r="CZ86" s="52"/>
      <c r="DA86" s="52"/>
      <c r="DB86" s="52"/>
    </row>
    <row r="87" spans="1:106" ht="16.5" x14ac:dyDescent="0.2">
      <c r="A87" s="23">
        <v>83</v>
      </c>
      <c r="B87" s="63">
        <v>10</v>
      </c>
      <c r="C87" s="39">
        <v>60</v>
      </c>
      <c r="D87" s="26">
        <f>INDEX(章节关卡!$C$6:$C$20,芦花古楼!B87)*芦花古楼!C87</f>
        <v>2640</v>
      </c>
      <c r="E87" s="23">
        <f t="shared" si="40"/>
        <v>85</v>
      </c>
      <c r="F87" s="23">
        <f t="shared" si="41"/>
        <v>100</v>
      </c>
      <c r="G87" s="15">
        <f>INDEX(章节关卡!$E$6:$E$20,芦花古楼!B87)*芦花古楼!C87</f>
        <v>5400</v>
      </c>
      <c r="H87" s="15">
        <v>250</v>
      </c>
      <c r="K87" s="23">
        <v>83</v>
      </c>
      <c r="L87" s="63">
        <v>11</v>
      </c>
      <c r="M87" s="39">
        <v>120</v>
      </c>
      <c r="N87" s="26">
        <f>INDEX(章节关卡!$C$6:$C$20,芦花古楼!L87)*芦花古楼!M87</f>
        <v>6360</v>
      </c>
      <c r="O87" s="23">
        <f t="shared" si="42"/>
        <v>90</v>
      </c>
      <c r="P87" s="23">
        <f t="shared" si="43"/>
        <v>100</v>
      </c>
      <c r="Q87" s="15">
        <f>INDEX(章节关卡!$E$6:$E$20,芦花古楼!L87)*芦花古楼!M87</f>
        <v>13200</v>
      </c>
      <c r="R87" s="15">
        <v>250</v>
      </c>
      <c r="U87" s="23">
        <v>83</v>
      </c>
      <c r="V87" s="63">
        <v>13</v>
      </c>
      <c r="W87" s="39">
        <v>180</v>
      </c>
      <c r="X87" s="26">
        <f>INDEX(章节关卡!$C$6:$C$20,芦花古楼!V87)*芦花古楼!W87</f>
        <v>14400</v>
      </c>
      <c r="Y87" s="23">
        <f t="shared" si="38"/>
        <v>95</v>
      </c>
      <c r="Z87" s="23">
        <f t="shared" si="39"/>
        <v>100</v>
      </c>
      <c r="AA87" s="15">
        <f>INDEX(章节关卡!$E$6:$E$20,芦花古楼!V87)*芦花古楼!W87</f>
        <v>27000</v>
      </c>
      <c r="AB87" s="15">
        <v>250</v>
      </c>
      <c r="AE87" s="23">
        <v>83</v>
      </c>
      <c r="AF87" s="63">
        <v>13</v>
      </c>
      <c r="AG87" s="39">
        <v>180</v>
      </c>
      <c r="AH87" s="26">
        <f>INDEX(章节关卡!$C$6:$C$20,芦花古楼!AF87)*芦花古楼!AG87</f>
        <v>14400</v>
      </c>
      <c r="AI87" s="23">
        <f t="shared" si="44"/>
        <v>100</v>
      </c>
      <c r="AJ87" s="23">
        <f t="shared" si="45"/>
        <v>100</v>
      </c>
      <c r="AK87" s="15">
        <f>INDEX(章节关卡!$E$6:$E$20,芦花古楼!AF87)*芦花古楼!AG87</f>
        <v>27000</v>
      </c>
      <c r="AL87" s="15">
        <v>250</v>
      </c>
      <c r="AO87" s="19">
        <v>82</v>
      </c>
      <c r="AP87" s="19">
        <v>50</v>
      </c>
      <c r="AR87" s="19">
        <v>82</v>
      </c>
      <c r="AS87" s="19">
        <f t="shared" si="49"/>
        <v>51</v>
      </c>
      <c r="AU87" s="19">
        <v>82</v>
      </c>
      <c r="AV87" s="19">
        <f t="shared" si="50"/>
        <v>52</v>
      </c>
      <c r="AX87" s="19">
        <v>82</v>
      </c>
      <c r="AY87" s="19">
        <f t="shared" si="51"/>
        <v>53</v>
      </c>
      <c r="BB87" s="19">
        <v>82</v>
      </c>
      <c r="BC87" s="15">
        <f t="shared" si="46"/>
        <v>100</v>
      </c>
      <c r="BD87" s="15">
        <f t="shared" si="47"/>
        <v>440</v>
      </c>
      <c r="BE87" s="15">
        <f t="shared" si="48"/>
        <v>15600</v>
      </c>
      <c r="BF87" s="15">
        <f t="shared" si="52"/>
        <v>1200</v>
      </c>
      <c r="CD87" s="52">
        <v>83</v>
      </c>
      <c r="CE87" s="52">
        <v>1</v>
      </c>
      <c r="CF87" s="54" t="s">
        <v>538</v>
      </c>
      <c r="CG87" s="52">
        <v>83</v>
      </c>
      <c r="CH87" s="52"/>
      <c r="CI87" s="52"/>
      <c r="CJ87" s="52"/>
      <c r="CK87" s="52" t="s">
        <v>539</v>
      </c>
      <c r="CL87" s="52">
        <v>6600</v>
      </c>
      <c r="CM87" s="52" t="s">
        <v>540</v>
      </c>
      <c r="CN87" s="52">
        <v>85</v>
      </c>
      <c r="CO87" s="52"/>
      <c r="CP87" s="52"/>
      <c r="CQ87" s="52" t="s">
        <v>540</v>
      </c>
      <c r="CR87" s="52">
        <v>100</v>
      </c>
      <c r="CS87" s="52"/>
      <c r="CT87" s="52"/>
      <c r="CU87" s="52"/>
      <c r="CV87" s="52"/>
      <c r="CW87" s="52"/>
      <c r="CX87" s="52"/>
      <c r="CY87" s="52"/>
      <c r="CZ87" s="52"/>
      <c r="DA87" s="52"/>
      <c r="DB87" s="52"/>
    </row>
    <row r="88" spans="1:106" ht="16.5" x14ac:dyDescent="0.2">
      <c r="A88" s="23">
        <v>84</v>
      </c>
      <c r="B88" s="63">
        <v>10</v>
      </c>
      <c r="C88" s="39">
        <v>60</v>
      </c>
      <c r="D88" s="26">
        <f>INDEX(章节关卡!$C$6:$C$20,芦花古楼!B88)*芦花古楼!C88</f>
        <v>2640</v>
      </c>
      <c r="E88" s="23">
        <f t="shared" si="40"/>
        <v>85</v>
      </c>
      <c r="F88" s="23">
        <f t="shared" si="41"/>
        <v>100</v>
      </c>
      <c r="G88" s="15">
        <f>INDEX(章节关卡!$E$6:$E$20,芦花古楼!B88)*芦花古楼!C88</f>
        <v>5400</v>
      </c>
      <c r="H88" s="15">
        <v>250</v>
      </c>
      <c r="K88" s="23">
        <v>84</v>
      </c>
      <c r="L88" s="63">
        <v>11</v>
      </c>
      <c r="M88" s="39">
        <v>120</v>
      </c>
      <c r="N88" s="26">
        <f>INDEX(章节关卡!$C$6:$C$20,芦花古楼!L88)*芦花古楼!M88</f>
        <v>6360</v>
      </c>
      <c r="O88" s="23">
        <f t="shared" si="42"/>
        <v>90</v>
      </c>
      <c r="P88" s="23">
        <f t="shared" si="43"/>
        <v>100</v>
      </c>
      <c r="Q88" s="15">
        <f>INDEX(章节关卡!$E$6:$E$20,芦花古楼!L88)*芦花古楼!M88</f>
        <v>13200</v>
      </c>
      <c r="R88" s="15">
        <v>250</v>
      </c>
      <c r="U88" s="23">
        <v>84</v>
      </c>
      <c r="V88" s="63">
        <v>13</v>
      </c>
      <c r="W88" s="39">
        <v>180</v>
      </c>
      <c r="X88" s="26">
        <f>INDEX(章节关卡!$C$6:$C$20,芦花古楼!V88)*芦花古楼!W88</f>
        <v>14400</v>
      </c>
      <c r="Y88" s="23">
        <f t="shared" si="38"/>
        <v>95</v>
      </c>
      <c r="Z88" s="23">
        <f t="shared" si="39"/>
        <v>100</v>
      </c>
      <c r="AA88" s="15">
        <f>INDEX(章节关卡!$E$6:$E$20,芦花古楼!V88)*芦花古楼!W88</f>
        <v>27000</v>
      </c>
      <c r="AB88" s="15">
        <v>250</v>
      </c>
      <c r="AE88" s="23">
        <v>84</v>
      </c>
      <c r="AF88" s="63">
        <v>13</v>
      </c>
      <c r="AG88" s="39">
        <v>180</v>
      </c>
      <c r="AH88" s="26">
        <f>INDEX(章节关卡!$C$6:$C$20,芦花古楼!AF88)*芦花古楼!AG88</f>
        <v>14400</v>
      </c>
      <c r="AI88" s="23">
        <f t="shared" si="44"/>
        <v>100</v>
      </c>
      <c r="AJ88" s="23">
        <f t="shared" si="45"/>
        <v>100</v>
      </c>
      <c r="AK88" s="15">
        <f>INDEX(章节关卡!$E$6:$E$20,芦花古楼!AF88)*芦花古楼!AG88</f>
        <v>27000</v>
      </c>
      <c r="AL88" s="15">
        <v>250</v>
      </c>
      <c r="AO88" s="19">
        <v>83</v>
      </c>
      <c r="AP88" s="19">
        <v>52</v>
      </c>
      <c r="AR88" s="19">
        <v>83</v>
      </c>
      <c r="AS88" s="19">
        <f t="shared" si="49"/>
        <v>53</v>
      </c>
      <c r="AU88" s="19">
        <v>83</v>
      </c>
      <c r="AV88" s="19">
        <f t="shared" si="50"/>
        <v>54</v>
      </c>
      <c r="AX88" s="19">
        <v>83</v>
      </c>
      <c r="AY88" s="19">
        <f t="shared" si="51"/>
        <v>55</v>
      </c>
      <c r="BB88" s="19">
        <v>83</v>
      </c>
      <c r="BC88" s="15">
        <f t="shared" si="46"/>
        <v>105</v>
      </c>
      <c r="BD88" s="15">
        <f t="shared" si="47"/>
        <v>440</v>
      </c>
      <c r="BE88" s="15">
        <f t="shared" si="48"/>
        <v>31500</v>
      </c>
      <c r="BF88" s="15">
        <f t="shared" si="52"/>
        <v>1200</v>
      </c>
      <c r="CD88" s="52">
        <v>84</v>
      </c>
      <c r="CE88" s="52">
        <v>1</v>
      </c>
      <c r="CF88" s="54" t="s">
        <v>538</v>
      </c>
      <c r="CG88" s="52">
        <v>84</v>
      </c>
      <c r="CH88" s="52"/>
      <c r="CI88" s="52"/>
      <c r="CJ88" s="52"/>
      <c r="CK88" s="52" t="s">
        <v>539</v>
      </c>
      <c r="CL88" s="52">
        <v>6600</v>
      </c>
      <c r="CM88" s="52" t="s">
        <v>540</v>
      </c>
      <c r="CN88" s="52">
        <v>85</v>
      </c>
      <c r="CO88" s="52"/>
      <c r="CP88" s="52"/>
      <c r="CQ88" s="52" t="s">
        <v>540</v>
      </c>
      <c r="CR88" s="52">
        <v>100</v>
      </c>
      <c r="CS88" s="52"/>
      <c r="CT88" s="52"/>
      <c r="CU88" s="52"/>
      <c r="CV88" s="52"/>
      <c r="CW88" s="52"/>
      <c r="CX88" s="52"/>
      <c r="CY88" s="52"/>
      <c r="CZ88" s="52"/>
      <c r="DA88" s="52"/>
      <c r="DB88" s="52"/>
    </row>
    <row r="89" spans="1:106" ht="16.5" x14ac:dyDescent="0.2">
      <c r="A89" s="23">
        <v>85</v>
      </c>
      <c r="B89" s="63">
        <v>10</v>
      </c>
      <c r="C89" s="39">
        <v>60</v>
      </c>
      <c r="D89" s="26">
        <f>INDEX(章节关卡!$C$6:$C$20,芦花古楼!B89)*芦花古楼!C89</f>
        <v>2640</v>
      </c>
      <c r="E89" s="23">
        <f t="shared" si="40"/>
        <v>85</v>
      </c>
      <c r="F89" s="23">
        <f t="shared" si="41"/>
        <v>105</v>
      </c>
      <c r="G89" s="15">
        <f>INDEX(章节关卡!$E$6:$E$20,芦花古楼!B89)*芦花古楼!C89</f>
        <v>5400</v>
      </c>
      <c r="H89" s="15">
        <v>250</v>
      </c>
      <c r="K89" s="23">
        <v>85</v>
      </c>
      <c r="L89" s="26">
        <v>12</v>
      </c>
      <c r="M89" s="39">
        <v>120</v>
      </c>
      <c r="N89" s="26">
        <f>INDEX(章节关卡!$C$6:$C$20,芦花古楼!L89)*芦花古楼!M89</f>
        <v>7800</v>
      </c>
      <c r="O89" s="23">
        <f t="shared" si="42"/>
        <v>90</v>
      </c>
      <c r="P89" s="23">
        <f t="shared" si="43"/>
        <v>105</v>
      </c>
      <c r="Q89" s="15">
        <f>INDEX(章节关卡!$E$6:$E$20,芦花古楼!L89)*芦花古楼!M89</f>
        <v>15600</v>
      </c>
      <c r="R89" s="15">
        <v>250</v>
      </c>
      <c r="U89" s="23">
        <v>85</v>
      </c>
      <c r="V89" s="63">
        <v>13</v>
      </c>
      <c r="W89" s="39">
        <v>180</v>
      </c>
      <c r="X89" s="26">
        <f>INDEX(章节关卡!$C$6:$C$20,芦花古楼!V89)*芦花古楼!W89</f>
        <v>14400</v>
      </c>
      <c r="Y89" s="23">
        <f t="shared" si="38"/>
        <v>95</v>
      </c>
      <c r="Z89" s="23">
        <f t="shared" si="39"/>
        <v>105</v>
      </c>
      <c r="AA89" s="15">
        <f>INDEX(章节关卡!$E$6:$E$20,芦花古楼!V89)*芦花古楼!W89</f>
        <v>27000</v>
      </c>
      <c r="AB89" s="15">
        <v>250</v>
      </c>
      <c r="AE89" s="23">
        <v>85</v>
      </c>
      <c r="AF89" s="63">
        <v>13</v>
      </c>
      <c r="AG89" s="39">
        <v>180</v>
      </c>
      <c r="AH89" s="26">
        <f>INDEX(章节关卡!$C$6:$C$20,芦花古楼!AF89)*芦花古楼!AG89</f>
        <v>14400</v>
      </c>
      <c r="AI89" s="23">
        <f t="shared" si="44"/>
        <v>100</v>
      </c>
      <c r="AJ89" s="23">
        <f t="shared" si="45"/>
        <v>105</v>
      </c>
      <c r="AK89" s="15">
        <f>INDEX(章节关卡!$E$6:$E$20,芦花古楼!AF89)*芦花古楼!AG89</f>
        <v>27000</v>
      </c>
      <c r="AL89" s="15">
        <v>250</v>
      </c>
      <c r="AO89" s="19">
        <v>84</v>
      </c>
      <c r="AP89" s="19">
        <v>54</v>
      </c>
      <c r="AR89" s="19">
        <v>84</v>
      </c>
      <c r="AS89" s="19">
        <f t="shared" si="49"/>
        <v>55</v>
      </c>
      <c r="AU89" s="19">
        <v>84</v>
      </c>
      <c r="AV89" s="19">
        <f t="shared" si="50"/>
        <v>56</v>
      </c>
      <c r="AX89" s="19">
        <v>84</v>
      </c>
      <c r="AY89" s="19">
        <f t="shared" si="51"/>
        <v>57</v>
      </c>
      <c r="BB89" s="19">
        <v>84</v>
      </c>
      <c r="BC89" s="15">
        <f t="shared" si="46"/>
        <v>205</v>
      </c>
      <c r="BD89" s="15">
        <f t="shared" si="47"/>
        <v>445</v>
      </c>
      <c r="BE89" s="15">
        <f t="shared" si="48"/>
        <v>36900</v>
      </c>
      <c r="BF89" s="15">
        <f t="shared" si="52"/>
        <v>1200</v>
      </c>
      <c r="CD89" s="52">
        <v>85</v>
      </c>
      <c r="CE89" s="52">
        <v>1</v>
      </c>
      <c r="CF89" s="54" t="s">
        <v>538</v>
      </c>
      <c r="CG89" s="52">
        <v>85</v>
      </c>
      <c r="CH89" s="52"/>
      <c r="CI89" s="52"/>
      <c r="CJ89" s="52"/>
      <c r="CK89" s="52" t="s">
        <v>539</v>
      </c>
      <c r="CL89" s="52">
        <v>6600</v>
      </c>
      <c r="CM89" s="52" t="s">
        <v>540</v>
      </c>
      <c r="CN89" s="52">
        <v>85</v>
      </c>
      <c r="CO89" s="52"/>
      <c r="CP89" s="52"/>
      <c r="CQ89" s="52" t="s">
        <v>540</v>
      </c>
      <c r="CR89" s="52">
        <v>105</v>
      </c>
      <c r="CS89" s="52"/>
      <c r="CT89" s="52"/>
      <c r="CU89" s="52"/>
      <c r="CV89" s="52"/>
      <c r="CW89" s="52"/>
      <c r="CX89" s="52"/>
      <c r="CY89" s="52"/>
      <c r="CZ89" s="52"/>
      <c r="DA89" s="52"/>
      <c r="DB89" s="52"/>
    </row>
    <row r="90" spans="1:106" ht="16.5" x14ac:dyDescent="0.2">
      <c r="A90" s="23">
        <v>86</v>
      </c>
      <c r="B90" s="63">
        <v>10</v>
      </c>
      <c r="C90" s="39">
        <v>60</v>
      </c>
      <c r="D90" s="26">
        <f>INDEX(章节关卡!$C$6:$C$20,芦花古楼!B90)*芦花古楼!C90</f>
        <v>2640</v>
      </c>
      <c r="E90" s="23">
        <f t="shared" si="40"/>
        <v>90</v>
      </c>
      <c r="F90" s="23">
        <f t="shared" si="41"/>
        <v>105</v>
      </c>
      <c r="G90" s="15">
        <f>INDEX(章节关卡!$E$6:$E$20,芦花古楼!B90)*芦花古楼!C90</f>
        <v>5400</v>
      </c>
      <c r="H90" s="15">
        <v>250</v>
      </c>
      <c r="K90" s="23">
        <v>86</v>
      </c>
      <c r="L90" s="63">
        <v>12</v>
      </c>
      <c r="M90" s="39">
        <v>120</v>
      </c>
      <c r="N90" s="26">
        <f>INDEX(章节关卡!$C$6:$C$20,芦花古楼!L90)*芦花古楼!M90</f>
        <v>7800</v>
      </c>
      <c r="O90" s="23">
        <f t="shared" si="42"/>
        <v>95</v>
      </c>
      <c r="P90" s="23">
        <f t="shared" si="43"/>
        <v>105</v>
      </c>
      <c r="Q90" s="15">
        <f>INDEX(章节关卡!$E$6:$E$20,芦花古楼!L90)*芦花古楼!M90</f>
        <v>15600</v>
      </c>
      <c r="R90" s="15">
        <v>250</v>
      </c>
      <c r="U90" s="23">
        <v>86</v>
      </c>
      <c r="V90" s="63">
        <v>13</v>
      </c>
      <c r="W90" s="39">
        <v>180</v>
      </c>
      <c r="X90" s="26">
        <f>INDEX(章节关卡!$C$6:$C$20,芦花古楼!V90)*芦花古楼!W90</f>
        <v>14400</v>
      </c>
      <c r="Y90" s="23">
        <f t="shared" si="38"/>
        <v>100</v>
      </c>
      <c r="Z90" s="23">
        <f t="shared" si="39"/>
        <v>105</v>
      </c>
      <c r="AA90" s="15">
        <f>INDEX(章节关卡!$E$6:$E$20,芦花古楼!V90)*芦花古楼!W90</f>
        <v>27000</v>
      </c>
      <c r="AB90" s="15">
        <v>250</v>
      </c>
      <c r="AE90" s="23">
        <v>86</v>
      </c>
      <c r="AF90" s="63">
        <v>13</v>
      </c>
      <c r="AG90" s="39">
        <v>180</v>
      </c>
      <c r="AH90" s="26">
        <f>INDEX(章节关卡!$C$6:$C$20,芦花古楼!AF90)*芦花古楼!AG90</f>
        <v>14400</v>
      </c>
      <c r="AI90" s="23">
        <f t="shared" si="44"/>
        <v>105</v>
      </c>
      <c r="AJ90" s="23">
        <f t="shared" si="45"/>
        <v>105</v>
      </c>
      <c r="AK90" s="15">
        <f>INDEX(章节关卡!$E$6:$E$20,芦花古楼!AF90)*芦花古楼!AG90</f>
        <v>27000</v>
      </c>
      <c r="AL90" s="15">
        <v>250</v>
      </c>
      <c r="AO90" s="19">
        <v>85</v>
      </c>
      <c r="AP90" s="19">
        <v>56</v>
      </c>
      <c r="AR90" s="19">
        <v>85</v>
      </c>
      <c r="AS90" s="19">
        <f t="shared" si="49"/>
        <v>57</v>
      </c>
      <c r="AU90" s="19">
        <v>85</v>
      </c>
      <c r="AV90" s="19">
        <f t="shared" si="50"/>
        <v>58</v>
      </c>
      <c r="AX90" s="19">
        <v>85</v>
      </c>
      <c r="AY90" s="19">
        <f t="shared" si="51"/>
        <v>59</v>
      </c>
      <c r="BB90" s="19">
        <v>85</v>
      </c>
      <c r="BC90" s="15">
        <f t="shared" si="46"/>
        <v>100</v>
      </c>
      <c r="BD90" s="15">
        <f t="shared" si="47"/>
        <v>450</v>
      </c>
      <c r="BE90" s="15">
        <f t="shared" si="48"/>
        <v>15600</v>
      </c>
      <c r="BF90" s="15">
        <f t="shared" si="52"/>
        <v>1200</v>
      </c>
      <c r="CD90" s="52">
        <v>86</v>
      </c>
      <c r="CE90" s="52">
        <v>1</v>
      </c>
      <c r="CF90" s="54" t="s">
        <v>538</v>
      </c>
      <c r="CG90" s="52">
        <v>86</v>
      </c>
      <c r="CH90" s="52"/>
      <c r="CI90" s="52"/>
      <c r="CJ90" s="52"/>
      <c r="CK90" s="52" t="s">
        <v>539</v>
      </c>
      <c r="CL90" s="52">
        <v>6600</v>
      </c>
      <c r="CM90" s="52" t="s">
        <v>540</v>
      </c>
      <c r="CN90" s="52">
        <v>90</v>
      </c>
      <c r="CO90" s="52"/>
      <c r="CP90" s="52"/>
      <c r="CQ90" s="52" t="s">
        <v>540</v>
      </c>
      <c r="CR90" s="52">
        <v>105</v>
      </c>
      <c r="CS90" s="52"/>
      <c r="CT90" s="52"/>
      <c r="CU90" s="52"/>
      <c r="CV90" s="52"/>
      <c r="CW90" s="52"/>
      <c r="CX90" s="52"/>
      <c r="CY90" s="52"/>
      <c r="CZ90" s="52"/>
      <c r="DA90" s="52"/>
      <c r="DB90" s="52"/>
    </row>
    <row r="91" spans="1:106" ht="16.5" x14ac:dyDescent="0.2">
      <c r="A91" s="23">
        <v>87</v>
      </c>
      <c r="B91" s="63">
        <v>10</v>
      </c>
      <c r="C91" s="39">
        <v>60</v>
      </c>
      <c r="D91" s="26">
        <f>INDEX(章节关卡!$C$6:$C$20,芦花古楼!B91)*芦花古楼!C91</f>
        <v>2640</v>
      </c>
      <c r="E91" s="23">
        <f t="shared" si="40"/>
        <v>90</v>
      </c>
      <c r="F91" s="23">
        <f t="shared" si="41"/>
        <v>105</v>
      </c>
      <c r="G91" s="15">
        <f>INDEX(章节关卡!$E$6:$E$20,芦花古楼!B91)*芦花古楼!C91</f>
        <v>5400</v>
      </c>
      <c r="H91" s="15">
        <v>250</v>
      </c>
      <c r="K91" s="23">
        <v>87</v>
      </c>
      <c r="L91" s="63">
        <v>12</v>
      </c>
      <c r="M91" s="39">
        <v>120</v>
      </c>
      <c r="N91" s="26">
        <f>INDEX(章节关卡!$C$6:$C$20,芦花古楼!L91)*芦花古楼!M91</f>
        <v>7800</v>
      </c>
      <c r="O91" s="23">
        <f t="shared" si="42"/>
        <v>95</v>
      </c>
      <c r="P91" s="23">
        <f t="shared" si="43"/>
        <v>105</v>
      </c>
      <c r="Q91" s="15">
        <f>INDEX(章节关卡!$E$6:$E$20,芦花古楼!L91)*芦花古楼!M91</f>
        <v>15600</v>
      </c>
      <c r="R91" s="15">
        <v>250</v>
      </c>
      <c r="U91" s="23">
        <v>87</v>
      </c>
      <c r="V91" s="63">
        <v>13</v>
      </c>
      <c r="W91" s="39">
        <v>180</v>
      </c>
      <c r="X91" s="26">
        <f>INDEX(章节关卡!$C$6:$C$20,芦花古楼!V91)*芦花古楼!W91</f>
        <v>14400</v>
      </c>
      <c r="Y91" s="23">
        <f t="shared" si="38"/>
        <v>100</v>
      </c>
      <c r="Z91" s="23">
        <f t="shared" si="39"/>
        <v>105</v>
      </c>
      <c r="AA91" s="15">
        <f>INDEX(章节关卡!$E$6:$E$20,芦花古楼!V91)*芦花古楼!W91</f>
        <v>27000</v>
      </c>
      <c r="AB91" s="15">
        <v>250</v>
      </c>
      <c r="AE91" s="23">
        <v>87</v>
      </c>
      <c r="AF91" s="63">
        <v>13</v>
      </c>
      <c r="AG91" s="39">
        <v>180</v>
      </c>
      <c r="AH91" s="26">
        <f>INDEX(章节关卡!$C$6:$C$20,芦花古楼!AF91)*芦花古楼!AG91</f>
        <v>14400</v>
      </c>
      <c r="AI91" s="23">
        <f t="shared" si="44"/>
        <v>105</v>
      </c>
      <c r="AJ91" s="23">
        <f t="shared" si="45"/>
        <v>105</v>
      </c>
      <c r="AK91" s="15">
        <f>INDEX(章节关卡!$E$6:$E$20,芦花古楼!AF91)*芦花古楼!AG91</f>
        <v>27000</v>
      </c>
      <c r="AL91" s="15">
        <v>250</v>
      </c>
      <c r="AO91" s="19">
        <v>86</v>
      </c>
      <c r="AP91" s="19">
        <v>58</v>
      </c>
      <c r="AR91" s="19">
        <v>86</v>
      </c>
      <c r="AS91" s="19">
        <f t="shared" si="49"/>
        <v>59</v>
      </c>
      <c r="AU91" s="19">
        <v>86</v>
      </c>
      <c r="AV91" s="19">
        <f t="shared" si="50"/>
        <v>60</v>
      </c>
      <c r="AX91" s="19">
        <v>86</v>
      </c>
      <c r="AY91" s="19">
        <f t="shared" si="51"/>
        <v>61</v>
      </c>
      <c r="BB91" s="19">
        <v>86</v>
      </c>
      <c r="BC91" s="15">
        <f t="shared" si="46"/>
        <v>105</v>
      </c>
      <c r="BD91" s="15">
        <f t="shared" si="47"/>
        <v>455</v>
      </c>
      <c r="BE91" s="15">
        <f t="shared" si="48"/>
        <v>31500</v>
      </c>
      <c r="BF91" s="15">
        <f t="shared" si="52"/>
        <v>1200</v>
      </c>
      <c r="CD91" s="52">
        <v>87</v>
      </c>
      <c r="CE91" s="52">
        <v>1</v>
      </c>
      <c r="CF91" s="54" t="s">
        <v>538</v>
      </c>
      <c r="CG91" s="52">
        <v>87</v>
      </c>
      <c r="CH91" s="52"/>
      <c r="CI91" s="52"/>
      <c r="CJ91" s="52"/>
      <c r="CK91" s="52" t="s">
        <v>539</v>
      </c>
      <c r="CL91" s="52">
        <v>6600</v>
      </c>
      <c r="CM91" s="52" t="s">
        <v>540</v>
      </c>
      <c r="CN91" s="52">
        <v>90</v>
      </c>
      <c r="CO91" s="52"/>
      <c r="CP91" s="52"/>
      <c r="CQ91" s="52" t="s">
        <v>540</v>
      </c>
      <c r="CR91" s="52">
        <v>105</v>
      </c>
      <c r="CS91" s="52"/>
      <c r="CT91" s="52"/>
      <c r="CU91" s="52"/>
      <c r="CV91" s="52"/>
      <c r="CW91" s="52"/>
      <c r="CX91" s="52"/>
      <c r="CY91" s="52"/>
      <c r="CZ91" s="52"/>
      <c r="DA91" s="52"/>
      <c r="DB91" s="52"/>
    </row>
    <row r="92" spans="1:106" ht="16.5" x14ac:dyDescent="0.2">
      <c r="A92" s="23">
        <v>88</v>
      </c>
      <c r="B92" s="63">
        <v>10</v>
      </c>
      <c r="C92" s="39">
        <v>60</v>
      </c>
      <c r="D92" s="26">
        <f>INDEX(章节关卡!$C$6:$C$20,芦花古楼!B92)*芦花古楼!C92</f>
        <v>2640</v>
      </c>
      <c r="E92" s="23">
        <f t="shared" si="40"/>
        <v>90</v>
      </c>
      <c r="F92" s="23">
        <f t="shared" si="41"/>
        <v>105</v>
      </c>
      <c r="G92" s="15">
        <f>INDEX(章节关卡!$E$6:$E$20,芦花古楼!B92)*芦花古楼!C92</f>
        <v>5400</v>
      </c>
      <c r="H92" s="15">
        <v>250</v>
      </c>
      <c r="K92" s="23">
        <v>88</v>
      </c>
      <c r="L92" s="63">
        <v>12</v>
      </c>
      <c r="M92" s="39">
        <v>120</v>
      </c>
      <c r="N92" s="26">
        <f>INDEX(章节关卡!$C$6:$C$20,芦花古楼!L92)*芦花古楼!M92</f>
        <v>7800</v>
      </c>
      <c r="O92" s="23">
        <f t="shared" si="42"/>
        <v>95</v>
      </c>
      <c r="P92" s="23">
        <f t="shared" si="43"/>
        <v>105</v>
      </c>
      <c r="Q92" s="15">
        <f>INDEX(章节关卡!$E$6:$E$20,芦花古楼!L92)*芦花古楼!M92</f>
        <v>15600</v>
      </c>
      <c r="R92" s="15">
        <v>250</v>
      </c>
      <c r="U92" s="23">
        <v>88</v>
      </c>
      <c r="V92" s="63">
        <v>13</v>
      </c>
      <c r="W92" s="39">
        <v>180</v>
      </c>
      <c r="X92" s="26">
        <f>INDEX(章节关卡!$C$6:$C$20,芦花古楼!V92)*芦花古楼!W92</f>
        <v>14400</v>
      </c>
      <c r="Y92" s="23">
        <f t="shared" si="38"/>
        <v>100</v>
      </c>
      <c r="Z92" s="23">
        <f t="shared" si="39"/>
        <v>105</v>
      </c>
      <c r="AA92" s="15">
        <f>INDEX(章节关卡!$E$6:$E$20,芦花古楼!V92)*芦花古楼!W92</f>
        <v>27000</v>
      </c>
      <c r="AB92" s="15">
        <v>250</v>
      </c>
      <c r="AE92" s="23">
        <v>88</v>
      </c>
      <c r="AF92" s="63">
        <v>13</v>
      </c>
      <c r="AG92" s="39">
        <v>180</v>
      </c>
      <c r="AH92" s="26">
        <f>INDEX(章节关卡!$C$6:$C$20,芦花古楼!AF92)*芦花古楼!AG92</f>
        <v>14400</v>
      </c>
      <c r="AI92" s="23">
        <f t="shared" si="44"/>
        <v>105</v>
      </c>
      <c r="AJ92" s="23">
        <f t="shared" si="45"/>
        <v>105</v>
      </c>
      <c r="AK92" s="15">
        <f>INDEX(章节关卡!$E$6:$E$20,芦花古楼!AF92)*芦花古楼!AG92</f>
        <v>27000</v>
      </c>
      <c r="AL92" s="15">
        <v>250</v>
      </c>
      <c r="AO92" s="19">
        <v>87</v>
      </c>
      <c r="AP92" s="19">
        <v>60</v>
      </c>
      <c r="AR92" s="19">
        <v>87</v>
      </c>
      <c r="AS92" s="19">
        <f t="shared" si="49"/>
        <v>61</v>
      </c>
      <c r="AU92" s="19">
        <v>87</v>
      </c>
      <c r="AV92" s="19">
        <f t="shared" si="50"/>
        <v>62</v>
      </c>
      <c r="AX92" s="19">
        <v>87</v>
      </c>
      <c r="AY92" s="19">
        <f t="shared" si="51"/>
        <v>63</v>
      </c>
      <c r="BB92" s="19">
        <v>87</v>
      </c>
      <c r="BC92" s="15">
        <f t="shared" si="46"/>
        <v>210</v>
      </c>
      <c r="BD92" s="15">
        <f t="shared" si="47"/>
        <v>460</v>
      </c>
      <c r="BE92" s="15">
        <f t="shared" si="48"/>
        <v>38100</v>
      </c>
      <c r="BF92" s="15">
        <f t="shared" si="52"/>
        <v>1200</v>
      </c>
      <c r="CD92" s="52">
        <v>88</v>
      </c>
      <c r="CE92" s="52">
        <v>1</v>
      </c>
      <c r="CF92" s="54" t="s">
        <v>538</v>
      </c>
      <c r="CG92" s="52">
        <v>88</v>
      </c>
      <c r="CH92" s="52"/>
      <c r="CI92" s="52"/>
      <c r="CJ92" s="52"/>
      <c r="CK92" s="52" t="s">
        <v>539</v>
      </c>
      <c r="CL92" s="52">
        <v>6600</v>
      </c>
      <c r="CM92" s="52" t="s">
        <v>540</v>
      </c>
      <c r="CN92" s="52">
        <v>90</v>
      </c>
      <c r="CO92" s="52"/>
      <c r="CP92" s="52"/>
      <c r="CQ92" s="52" t="s">
        <v>540</v>
      </c>
      <c r="CR92" s="52">
        <v>105</v>
      </c>
      <c r="CS92" s="52"/>
      <c r="CT92" s="52"/>
      <c r="CU92" s="52"/>
      <c r="CV92" s="52"/>
      <c r="CW92" s="52"/>
      <c r="CX92" s="52"/>
      <c r="CY92" s="52"/>
      <c r="CZ92" s="52"/>
      <c r="DA92" s="52"/>
      <c r="DB92" s="52"/>
    </row>
    <row r="93" spans="1:106" ht="16.5" x14ac:dyDescent="0.2">
      <c r="A93" s="23">
        <v>89</v>
      </c>
      <c r="B93" s="63">
        <v>10</v>
      </c>
      <c r="C93" s="39">
        <v>60</v>
      </c>
      <c r="D93" s="26">
        <f>INDEX(章节关卡!$C$6:$C$20,芦花古楼!B93)*芦花古楼!C93</f>
        <v>2640</v>
      </c>
      <c r="E93" s="23">
        <f t="shared" si="40"/>
        <v>90</v>
      </c>
      <c r="F93" s="23">
        <f t="shared" si="41"/>
        <v>105</v>
      </c>
      <c r="G93" s="15">
        <f>INDEX(章节关卡!$E$6:$E$20,芦花古楼!B93)*芦花古楼!C93</f>
        <v>5400</v>
      </c>
      <c r="H93" s="15">
        <v>250</v>
      </c>
      <c r="K93" s="23">
        <v>89</v>
      </c>
      <c r="L93" s="63">
        <v>12</v>
      </c>
      <c r="M93" s="39">
        <v>120</v>
      </c>
      <c r="N93" s="26">
        <f>INDEX(章节关卡!$C$6:$C$20,芦花古楼!L93)*芦花古楼!M93</f>
        <v>7800</v>
      </c>
      <c r="O93" s="23">
        <f t="shared" si="42"/>
        <v>95</v>
      </c>
      <c r="P93" s="23">
        <f t="shared" si="43"/>
        <v>105</v>
      </c>
      <c r="Q93" s="15">
        <f>INDEX(章节关卡!$E$6:$E$20,芦花古楼!L93)*芦花古楼!M93</f>
        <v>15600</v>
      </c>
      <c r="R93" s="15">
        <v>250</v>
      </c>
      <c r="U93" s="23">
        <v>89</v>
      </c>
      <c r="V93" s="63">
        <v>13</v>
      </c>
      <c r="W93" s="39">
        <v>180</v>
      </c>
      <c r="X93" s="26">
        <f>INDEX(章节关卡!$C$6:$C$20,芦花古楼!V93)*芦花古楼!W93</f>
        <v>14400</v>
      </c>
      <c r="Y93" s="23">
        <f t="shared" si="38"/>
        <v>100</v>
      </c>
      <c r="Z93" s="23">
        <f t="shared" si="39"/>
        <v>105</v>
      </c>
      <c r="AA93" s="15">
        <f>INDEX(章节关卡!$E$6:$E$20,芦花古楼!V93)*芦花古楼!W93</f>
        <v>27000</v>
      </c>
      <c r="AB93" s="15">
        <v>250</v>
      </c>
      <c r="AE93" s="23">
        <v>89</v>
      </c>
      <c r="AF93" s="63">
        <v>13</v>
      </c>
      <c r="AG93" s="39">
        <v>180</v>
      </c>
      <c r="AH93" s="26">
        <f>INDEX(章节关卡!$C$6:$C$20,芦花古楼!AF93)*芦花古楼!AG93</f>
        <v>14400</v>
      </c>
      <c r="AI93" s="23">
        <f t="shared" si="44"/>
        <v>105</v>
      </c>
      <c r="AJ93" s="23">
        <f t="shared" si="45"/>
        <v>105</v>
      </c>
      <c r="AK93" s="15">
        <f>INDEX(章节关卡!$E$6:$E$20,芦花古楼!AF93)*芦花古楼!AG93</f>
        <v>27000</v>
      </c>
      <c r="AL93" s="15">
        <v>250</v>
      </c>
      <c r="AO93" s="19">
        <v>88</v>
      </c>
      <c r="AP93" s="19">
        <v>63</v>
      </c>
      <c r="AR93" s="19">
        <v>88</v>
      </c>
      <c r="AS93" s="19">
        <f t="shared" si="49"/>
        <v>64</v>
      </c>
      <c r="AU93" s="19">
        <v>88</v>
      </c>
      <c r="AV93" s="19">
        <f t="shared" si="50"/>
        <v>65</v>
      </c>
      <c r="AX93" s="19">
        <v>88</v>
      </c>
      <c r="AY93" s="19">
        <f t="shared" si="51"/>
        <v>66</v>
      </c>
      <c r="BB93" s="19">
        <v>88</v>
      </c>
      <c r="BC93" s="15">
        <f t="shared" si="46"/>
        <v>105</v>
      </c>
      <c r="BD93" s="15">
        <f t="shared" si="47"/>
        <v>460</v>
      </c>
      <c r="BE93" s="15">
        <f t="shared" si="48"/>
        <v>15600</v>
      </c>
      <c r="BF93" s="15">
        <f t="shared" si="52"/>
        <v>1200</v>
      </c>
      <c r="CD93" s="52">
        <v>89</v>
      </c>
      <c r="CE93" s="52">
        <v>1</v>
      </c>
      <c r="CF93" s="54" t="s">
        <v>538</v>
      </c>
      <c r="CG93" s="52">
        <v>89</v>
      </c>
      <c r="CH93" s="52"/>
      <c r="CI93" s="52"/>
      <c r="CJ93" s="52"/>
      <c r="CK93" s="52" t="s">
        <v>539</v>
      </c>
      <c r="CL93" s="52">
        <v>6600</v>
      </c>
      <c r="CM93" s="52" t="s">
        <v>540</v>
      </c>
      <c r="CN93" s="52">
        <v>90</v>
      </c>
      <c r="CO93" s="52"/>
      <c r="CP93" s="52"/>
      <c r="CQ93" s="52" t="s">
        <v>540</v>
      </c>
      <c r="CR93" s="52">
        <v>105</v>
      </c>
      <c r="CS93" s="52"/>
      <c r="CT93" s="52"/>
      <c r="CU93" s="52"/>
      <c r="CV93" s="52"/>
      <c r="CW93" s="52"/>
      <c r="CX93" s="52"/>
      <c r="CY93" s="52"/>
      <c r="CZ93" s="52"/>
      <c r="DA93" s="52"/>
      <c r="DB93" s="52"/>
    </row>
    <row r="94" spans="1:106" ht="16.5" x14ac:dyDescent="0.2">
      <c r="A94" s="23">
        <v>90</v>
      </c>
      <c r="B94" s="63">
        <v>10</v>
      </c>
      <c r="C94" s="39">
        <v>60</v>
      </c>
      <c r="D94" s="26">
        <f>INDEX(章节关卡!$C$6:$C$20,芦花古楼!B94)*芦花古楼!C94</f>
        <v>2640</v>
      </c>
      <c r="E94" s="23">
        <f t="shared" si="40"/>
        <v>90</v>
      </c>
      <c r="F94" s="23">
        <f t="shared" si="41"/>
        <v>110</v>
      </c>
      <c r="G94" s="15">
        <f>INDEX(章节关卡!$E$6:$E$20,芦花古楼!B94)*芦花古楼!C94</f>
        <v>5400</v>
      </c>
      <c r="H94" s="15">
        <v>300</v>
      </c>
      <c r="K94" s="23">
        <v>90</v>
      </c>
      <c r="L94" s="63">
        <v>12</v>
      </c>
      <c r="M94" s="39">
        <v>120</v>
      </c>
      <c r="N94" s="26">
        <f>INDEX(章节关卡!$C$6:$C$20,芦花古楼!L94)*芦花古楼!M94</f>
        <v>7800</v>
      </c>
      <c r="O94" s="23">
        <f t="shared" si="42"/>
        <v>95</v>
      </c>
      <c r="P94" s="23">
        <f t="shared" si="43"/>
        <v>110</v>
      </c>
      <c r="Q94" s="15">
        <f>INDEX(章节关卡!$E$6:$E$20,芦花古楼!L94)*芦花古楼!M94</f>
        <v>15600</v>
      </c>
      <c r="R94" s="15">
        <v>300</v>
      </c>
      <c r="U94" s="23">
        <v>90</v>
      </c>
      <c r="V94" s="26">
        <v>14</v>
      </c>
      <c r="W94" s="39">
        <v>180</v>
      </c>
      <c r="X94" s="26">
        <f>INDEX(章节关卡!$C$6:$C$20,芦花古楼!V94)*芦花古楼!W94</f>
        <v>18000</v>
      </c>
      <c r="Y94" s="23">
        <f t="shared" si="38"/>
        <v>100</v>
      </c>
      <c r="Z94" s="23">
        <f t="shared" si="39"/>
        <v>110</v>
      </c>
      <c r="AA94" s="15">
        <f>INDEX(章节关卡!$E$6:$E$20,芦花古楼!V94)*芦花古楼!W94</f>
        <v>31500</v>
      </c>
      <c r="AB94" s="15">
        <v>300</v>
      </c>
      <c r="AE94" s="23">
        <v>90</v>
      </c>
      <c r="AF94" s="63">
        <v>14</v>
      </c>
      <c r="AG94" s="39">
        <v>180</v>
      </c>
      <c r="AH94" s="26">
        <f>INDEX(章节关卡!$C$6:$C$20,芦花古楼!AF94)*芦花古楼!AG94</f>
        <v>18000</v>
      </c>
      <c r="AI94" s="23">
        <f t="shared" si="44"/>
        <v>105</v>
      </c>
      <c r="AJ94" s="23">
        <f t="shared" si="45"/>
        <v>110</v>
      </c>
      <c r="AK94" s="15">
        <f>INDEX(章节关卡!$E$6:$E$20,芦花古楼!AF94)*芦花古楼!AG94</f>
        <v>31500</v>
      </c>
      <c r="AL94" s="15">
        <v>300</v>
      </c>
      <c r="AO94" s="19">
        <v>89</v>
      </c>
      <c r="AP94" s="19">
        <v>66</v>
      </c>
      <c r="AR94" s="19">
        <v>89</v>
      </c>
      <c r="AS94" s="19">
        <f t="shared" si="49"/>
        <v>67</v>
      </c>
      <c r="AU94" s="19">
        <v>89</v>
      </c>
      <c r="AV94" s="19">
        <f t="shared" si="50"/>
        <v>68</v>
      </c>
      <c r="AX94" s="19">
        <v>89</v>
      </c>
      <c r="AY94" s="19">
        <f t="shared" si="51"/>
        <v>69</v>
      </c>
      <c r="BB94" s="19">
        <v>89</v>
      </c>
      <c r="BC94" s="15">
        <f t="shared" si="46"/>
        <v>110</v>
      </c>
      <c r="BD94" s="15">
        <f t="shared" si="47"/>
        <v>460</v>
      </c>
      <c r="BE94" s="15">
        <f t="shared" si="48"/>
        <v>36000</v>
      </c>
      <c r="BF94" s="15">
        <f t="shared" si="52"/>
        <v>1200</v>
      </c>
      <c r="CD94" s="52">
        <v>90</v>
      </c>
      <c r="CE94" s="52">
        <v>1</v>
      </c>
      <c r="CF94" s="54" t="s">
        <v>538</v>
      </c>
      <c r="CG94" s="52">
        <v>90</v>
      </c>
      <c r="CH94" s="52"/>
      <c r="CI94" s="52"/>
      <c r="CJ94" s="52"/>
      <c r="CK94" s="52" t="s">
        <v>539</v>
      </c>
      <c r="CL94" s="52">
        <v>7800</v>
      </c>
      <c r="CM94" s="52" t="s">
        <v>540</v>
      </c>
      <c r="CN94" s="52">
        <v>90</v>
      </c>
      <c r="CO94" s="52"/>
      <c r="CP94" s="52"/>
      <c r="CQ94" s="52" t="s">
        <v>540</v>
      </c>
      <c r="CR94" s="52">
        <v>110</v>
      </c>
      <c r="CS94" s="52"/>
      <c r="CT94" s="52"/>
      <c r="CU94" s="52"/>
      <c r="CV94" s="52"/>
      <c r="CW94" s="52"/>
      <c r="CX94" s="52"/>
      <c r="CY94" s="52"/>
      <c r="CZ94" s="52"/>
      <c r="DA94" s="52"/>
      <c r="DB94" s="52"/>
    </row>
    <row r="95" spans="1:106" ht="16.5" x14ac:dyDescent="0.2">
      <c r="A95" s="23">
        <v>91</v>
      </c>
      <c r="B95" s="63">
        <v>10</v>
      </c>
      <c r="C95" s="39">
        <v>60</v>
      </c>
      <c r="D95" s="26">
        <f>INDEX(章节关卡!$C$6:$C$20,芦花古楼!B95)*芦花古楼!C95</f>
        <v>2640</v>
      </c>
      <c r="E95" s="23">
        <f t="shared" si="40"/>
        <v>95</v>
      </c>
      <c r="F95" s="23">
        <f t="shared" si="41"/>
        <v>110</v>
      </c>
      <c r="G95" s="15">
        <f>INDEX(章节关卡!$E$6:$E$20,芦花古楼!B95)*芦花古楼!C95</f>
        <v>5400</v>
      </c>
      <c r="H95" s="15">
        <v>300</v>
      </c>
      <c r="K95" s="23">
        <v>91</v>
      </c>
      <c r="L95" s="63">
        <v>12</v>
      </c>
      <c r="M95" s="39">
        <v>120</v>
      </c>
      <c r="N95" s="26">
        <f>INDEX(章节关卡!$C$6:$C$20,芦花古楼!L95)*芦花古楼!M95</f>
        <v>7800</v>
      </c>
      <c r="O95" s="23">
        <f t="shared" si="42"/>
        <v>100</v>
      </c>
      <c r="P95" s="23">
        <f t="shared" si="43"/>
        <v>110</v>
      </c>
      <c r="Q95" s="15">
        <f>INDEX(章节关卡!$E$6:$E$20,芦花古楼!L95)*芦花古楼!M95</f>
        <v>15600</v>
      </c>
      <c r="R95" s="15">
        <v>300</v>
      </c>
      <c r="U95" s="23">
        <v>91</v>
      </c>
      <c r="V95" s="63">
        <v>14</v>
      </c>
      <c r="W95" s="39">
        <v>180</v>
      </c>
      <c r="X95" s="26">
        <f>INDEX(章节关卡!$C$6:$C$20,芦花古楼!V95)*芦花古楼!W95</f>
        <v>18000</v>
      </c>
      <c r="Y95" s="23">
        <f t="shared" si="38"/>
        <v>105</v>
      </c>
      <c r="Z95" s="23">
        <f t="shared" si="39"/>
        <v>110</v>
      </c>
      <c r="AA95" s="15">
        <f>INDEX(章节关卡!$E$6:$E$20,芦花古楼!V95)*芦花古楼!W95</f>
        <v>31500</v>
      </c>
      <c r="AB95" s="15">
        <v>300</v>
      </c>
      <c r="AE95" s="23">
        <v>91</v>
      </c>
      <c r="AF95" s="63">
        <v>14</v>
      </c>
      <c r="AG95" s="39">
        <v>180</v>
      </c>
      <c r="AH95" s="26">
        <f>INDEX(章节关卡!$C$6:$C$20,芦花古楼!AF95)*芦花古楼!AG95</f>
        <v>18000</v>
      </c>
      <c r="AI95" s="23">
        <f t="shared" si="44"/>
        <v>110</v>
      </c>
      <c r="AJ95" s="23">
        <f t="shared" si="45"/>
        <v>110</v>
      </c>
      <c r="AK95" s="15">
        <f>INDEX(章节关卡!$E$6:$E$20,芦花古楼!AF95)*芦花古楼!AG95</f>
        <v>31500</v>
      </c>
      <c r="AL95" s="15">
        <v>300</v>
      </c>
      <c r="AO95" s="19">
        <v>90</v>
      </c>
      <c r="AP95" s="19">
        <v>69</v>
      </c>
      <c r="AR95" s="19">
        <v>90</v>
      </c>
      <c r="AS95" s="19">
        <f t="shared" si="49"/>
        <v>70</v>
      </c>
      <c r="AU95" s="19">
        <v>90</v>
      </c>
      <c r="AV95" s="19">
        <f t="shared" si="50"/>
        <v>71</v>
      </c>
      <c r="AX95" s="19">
        <v>90</v>
      </c>
      <c r="AY95" s="19">
        <f t="shared" si="51"/>
        <v>72</v>
      </c>
      <c r="BB95" s="19">
        <v>90</v>
      </c>
      <c r="BC95" s="15">
        <f t="shared" si="46"/>
        <v>215</v>
      </c>
      <c r="BD95" s="15">
        <f t="shared" si="47"/>
        <v>460</v>
      </c>
      <c r="BE95" s="15">
        <f t="shared" si="48"/>
        <v>42600</v>
      </c>
      <c r="BF95" s="15">
        <f t="shared" si="52"/>
        <v>1200</v>
      </c>
      <c r="CD95" s="52">
        <v>91</v>
      </c>
      <c r="CE95" s="52">
        <v>1</v>
      </c>
      <c r="CF95" s="54" t="s">
        <v>538</v>
      </c>
      <c r="CG95" s="52">
        <v>91</v>
      </c>
      <c r="CH95" s="52"/>
      <c r="CI95" s="52"/>
      <c r="CJ95" s="52"/>
      <c r="CK95" s="52" t="s">
        <v>539</v>
      </c>
      <c r="CL95" s="52">
        <v>7800</v>
      </c>
      <c r="CM95" s="52" t="s">
        <v>540</v>
      </c>
      <c r="CN95" s="52">
        <v>95</v>
      </c>
      <c r="CO95" s="52"/>
      <c r="CP95" s="52"/>
      <c r="CQ95" s="52" t="s">
        <v>540</v>
      </c>
      <c r="CR95" s="52">
        <v>110</v>
      </c>
      <c r="CS95" s="52"/>
      <c r="CT95" s="52"/>
      <c r="CU95" s="52"/>
      <c r="CV95" s="52"/>
      <c r="CW95" s="52"/>
      <c r="CX95" s="52"/>
      <c r="CY95" s="52"/>
      <c r="CZ95" s="52"/>
      <c r="DA95" s="52"/>
      <c r="DB95" s="52"/>
    </row>
    <row r="96" spans="1:106" ht="16.5" x14ac:dyDescent="0.2">
      <c r="A96" s="23">
        <v>92</v>
      </c>
      <c r="B96" s="63">
        <v>10</v>
      </c>
      <c r="C96" s="39">
        <v>60</v>
      </c>
      <c r="D96" s="26">
        <f>INDEX(章节关卡!$C$6:$C$20,芦花古楼!B96)*芦花古楼!C96</f>
        <v>2640</v>
      </c>
      <c r="E96" s="23">
        <f t="shared" si="40"/>
        <v>95</v>
      </c>
      <c r="F96" s="23">
        <f t="shared" si="41"/>
        <v>110</v>
      </c>
      <c r="G96" s="15">
        <f>INDEX(章节关卡!$E$6:$E$20,芦花古楼!B96)*芦花古楼!C96</f>
        <v>5400</v>
      </c>
      <c r="H96" s="15">
        <v>300</v>
      </c>
      <c r="K96" s="23">
        <v>92</v>
      </c>
      <c r="L96" s="63">
        <v>12</v>
      </c>
      <c r="M96" s="39">
        <v>120</v>
      </c>
      <c r="N96" s="26">
        <f>INDEX(章节关卡!$C$6:$C$20,芦花古楼!L96)*芦花古楼!M96</f>
        <v>7800</v>
      </c>
      <c r="O96" s="23">
        <f t="shared" si="42"/>
        <v>100</v>
      </c>
      <c r="P96" s="23">
        <f t="shared" si="43"/>
        <v>110</v>
      </c>
      <c r="Q96" s="15">
        <f>INDEX(章节关卡!$E$6:$E$20,芦花古楼!L96)*芦花古楼!M96</f>
        <v>15600</v>
      </c>
      <c r="R96" s="15">
        <v>300</v>
      </c>
      <c r="U96" s="23">
        <v>92</v>
      </c>
      <c r="V96" s="63">
        <v>14</v>
      </c>
      <c r="W96" s="39">
        <v>180</v>
      </c>
      <c r="X96" s="26">
        <f>INDEX(章节关卡!$C$6:$C$20,芦花古楼!V96)*芦花古楼!W96</f>
        <v>18000</v>
      </c>
      <c r="Y96" s="23">
        <f t="shared" si="38"/>
        <v>105</v>
      </c>
      <c r="Z96" s="23">
        <f t="shared" si="39"/>
        <v>110</v>
      </c>
      <c r="AA96" s="15">
        <f>INDEX(章节关卡!$E$6:$E$20,芦花古楼!V96)*芦花古楼!W96</f>
        <v>31500</v>
      </c>
      <c r="AB96" s="15">
        <v>300</v>
      </c>
      <c r="AE96" s="23">
        <v>92</v>
      </c>
      <c r="AF96" s="63">
        <v>14</v>
      </c>
      <c r="AG96" s="39">
        <v>180</v>
      </c>
      <c r="AH96" s="26">
        <f>INDEX(章节关卡!$C$6:$C$20,芦花古楼!AF96)*芦花古楼!AG96</f>
        <v>18000</v>
      </c>
      <c r="AI96" s="23">
        <f t="shared" si="44"/>
        <v>110</v>
      </c>
      <c r="AJ96" s="23">
        <f t="shared" si="45"/>
        <v>110</v>
      </c>
      <c r="AK96" s="15">
        <f>INDEX(章节关卡!$E$6:$E$20,芦花古楼!AF96)*芦花古楼!AG96</f>
        <v>31500</v>
      </c>
      <c r="AL96" s="15">
        <v>300</v>
      </c>
      <c r="AO96" s="19">
        <v>91</v>
      </c>
      <c r="AP96" s="19">
        <v>72</v>
      </c>
      <c r="AR96" s="19">
        <v>91</v>
      </c>
      <c r="AS96" s="19">
        <f t="shared" si="49"/>
        <v>73</v>
      </c>
      <c r="AU96" s="19">
        <v>91</v>
      </c>
      <c r="AV96" s="19">
        <f t="shared" si="50"/>
        <v>74</v>
      </c>
      <c r="AX96" s="19">
        <v>91</v>
      </c>
      <c r="AY96" s="19">
        <f t="shared" si="51"/>
        <v>75</v>
      </c>
      <c r="BB96" s="19">
        <v>91</v>
      </c>
      <c r="BC96" s="15">
        <f t="shared" si="46"/>
        <v>105</v>
      </c>
      <c r="BD96" s="15">
        <f t="shared" si="47"/>
        <v>460</v>
      </c>
      <c r="BE96" s="15">
        <f t="shared" si="48"/>
        <v>15600</v>
      </c>
      <c r="BF96" s="15">
        <f t="shared" si="52"/>
        <v>1200</v>
      </c>
      <c r="CD96" s="52">
        <v>92</v>
      </c>
      <c r="CE96" s="52">
        <v>1</v>
      </c>
      <c r="CF96" s="54" t="s">
        <v>538</v>
      </c>
      <c r="CG96" s="52">
        <v>92</v>
      </c>
      <c r="CH96" s="52"/>
      <c r="CI96" s="52"/>
      <c r="CJ96" s="52"/>
      <c r="CK96" s="52" t="s">
        <v>539</v>
      </c>
      <c r="CL96" s="52">
        <v>7800</v>
      </c>
      <c r="CM96" s="52" t="s">
        <v>540</v>
      </c>
      <c r="CN96" s="52">
        <v>95</v>
      </c>
      <c r="CO96" s="52"/>
      <c r="CP96" s="52"/>
      <c r="CQ96" s="52" t="s">
        <v>540</v>
      </c>
      <c r="CR96" s="52">
        <v>110</v>
      </c>
      <c r="CS96" s="52"/>
      <c r="CT96" s="52"/>
      <c r="CU96" s="52"/>
      <c r="CV96" s="52"/>
      <c r="CW96" s="52"/>
      <c r="CX96" s="52"/>
      <c r="CY96" s="52"/>
      <c r="CZ96" s="52"/>
      <c r="DA96" s="52"/>
      <c r="DB96" s="52"/>
    </row>
    <row r="97" spans="1:106" ht="16.5" x14ac:dyDescent="0.2">
      <c r="A97" s="23">
        <v>93</v>
      </c>
      <c r="B97" s="63">
        <v>10</v>
      </c>
      <c r="C97" s="39">
        <v>60</v>
      </c>
      <c r="D97" s="26">
        <f>INDEX(章节关卡!$C$6:$C$20,芦花古楼!B97)*芦花古楼!C97</f>
        <v>2640</v>
      </c>
      <c r="E97" s="23">
        <f t="shared" si="40"/>
        <v>95</v>
      </c>
      <c r="F97" s="23">
        <f t="shared" si="41"/>
        <v>110</v>
      </c>
      <c r="G97" s="15">
        <f>INDEX(章节关卡!$E$6:$E$20,芦花古楼!B97)*芦花古楼!C97</f>
        <v>5400</v>
      </c>
      <c r="H97" s="15">
        <v>300</v>
      </c>
      <c r="K97" s="23">
        <v>93</v>
      </c>
      <c r="L97" s="63">
        <v>12</v>
      </c>
      <c r="M97" s="39">
        <v>120</v>
      </c>
      <c r="N97" s="26">
        <f>INDEX(章节关卡!$C$6:$C$20,芦花古楼!L97)*芦花古楼!M97</f>
        <v>7800</v>
      </c>
      <c r="O97" s="23">
        <f t="shared" si="42"/>
        <v>100</v>
      </c>
      <c r="P97" s="23">
        <f t="shared" si="43"/>
        <v>110</v>
      </c>
      <c r="Q97" s="15">
        <f>INDEX(章节关卡!$E$6:$E$20,芦花古楼!L97)*芦花古楼!M97</f>
        <v>15600</v>
      </c>
      <c r="R97" s="15">
        <v>300</v>
      </c>
      <c r="U97" s="23">
        <v>93</v>
      </c>
      <c r="V97" s="63">
        <v>14</v>
      </c>
      <c r="W97" s="39">
        <v>180</v>
      </c>
      <c r="X97" s="26">
        <f>INDEX(章节关卡!$C$6:$C$20,芦花古楼!V97)*芦花古楼!W97</f>
        <v>18000</v>
      </c>
      <c r="Y97" s="23">
        <f t="shared" si="38"/>
        <v>105</v>
      </c>
      <c r="Z97" s="23">
        <f t="shared" si="39"/>
        <v>110</v>
      </c>
      <c r="AA97" s="15">
        <f>INDEX(章节关卡!$E$6:$E$20,芦花古楼!V97)*芦花古楼!W97</f>
        <v>31500</v>
      </c>
      <c r="AB97" s="15">
        <v>300</v>
      </c>
      <c r="AE97" s="23">
        <v>93</v>
      </c>
      <c r="AF97" s="63">
        <v>14</v>
      </c>
      <c r="AG97" s="39">
        <v>180</v>
      </c>
      <c r="AH97" s="26">
        <f>INDEX(章节关卡!$C$6:$C$20,芦花古楼!AF97)*芦花古楼!AG97</f>
        <v>18000</v>
      </c>
      <c r="AI97" s="23">
        <f t="shared" si="44"/>
        <v>110</v>
      </c>
      <c r="AJ97" s="23">
        <f t="shared" si="45"/>
        <v>110</v>
      </c>
      <c r="AK97" s="15">
        <f>INDEX(章节关卡!$E$6:$E$20,芦花古楼!AF97)*芦花古楼!AG97</f>
        <v>31500</v>
      </c>
      <c r="AL97" s="15">
        <v>300</v>
      </c>
      <c r="AO97" s="19">
        <v>92</v>
      </c>
      <c r="AP97" s="19">
        <v>75</v>
      </c>
      <c r="AR97" s="19">
        <v>92</v>
      </c>
      <c r="AS97" s="19">
        <f t="shared" si="49"/>
        <v>76</v>
      </c>
      <c r="AU97" s="19">
        <v>92</v>
      </c>
      <c r="AV97" s="19">
        <f t="shared" si="50"/>
        <v>77</v>
      </c>
      <c r="AX97" s="19">
        <v>92</v>
      </c>
      <c r="AY97" s="19">
        <f t="shared" si="51"/>
        <v>78</v>
      </c>
      <c r="BB97" s="19">
        <v>92</v>
      </c>
      <c r="BC97" s="15">
        <f t="shared" si="46"/>
        <v>110</v>
      </c>
      <c r="BD97" s="15">
        <f t="shared" si="47"/>
        <v>460</v>
      </c>
      <c r="BE97" s="15">
        <f t="shared" si="48"/>
        <v>36000</v>
      </c>
      <c r="BF97" s="15">
        <f t="shared" si="52"/>
        <v>1200</v>
      </c>
      <c r="CD97" s="52">
        <v>93</v>
      </c>
      <c r="CE97" s="52">
        <v>1</v>
      </c>
      <c r="CF97" s="54" t="s">
        <v>538</v>
      </c>
      <c r="CG97" s="52">
        <v>93</v>
      </c>
      <c r="CH97" s="52"/>
      <c r="CI97" s="52"/>
      <c r="CJ97" s="52"/>
      <c r="CK97" s="52" t="s">
        <v>539</v>
      </c>
      <c r="CL97" s="52">
        <v>7800</v>
      </c>
      <c r="CM97" s="52" t="s">
        <v>540</v>
      </c>
      <c r="CN97" s="52">
        <v>95</v>
      </c>
      <c r="CO97" s="52"/>
      <c r="CP97" s="52"/>
      <c r="CQ97" s="52" t="s">
        <v>540</v>
      </c>
      <c r="CR97" s="52">
        <v>110</v>
      </c>
      <c r="CS97" s="52"/>
      <c r="CT97" s="52"/>
      <c r="CU97" s="52"/>
      <c r="CV97" s="52"/>
      <c r="CW97" s="52"/>
      <c r="CX97" s="52"/>
      <c r="CY97" s="52"/>
      <c r="CZ97" s="52"/>
      <c r="DA97" s="52"/>
      <c r="DB97" s="52"/>
    </row>
    <row r="98" spans="1:106" ht="16.5" x14ac:dyDescent="0.2">
      <c r="A98" s="23">
        <v>94</v>
      </c>
      <c r="B98" s="63">
        <v>10</v>
      </c>
      <c r="C98" s="39">
        <v>60</v>
      </c>
      <c r="D98" s="26">
        <f>INDEX(章节关卡!$C$6:$C$20,芦花古楼!B98)*芦花古楼!C98</f>
        <v>2640</v>
      </c>
      <c r="E98" s="23">
        <f t="shared" si="40"/>
        <v>95</v>
      </c>
      <c r="F98" s="23">
        <f t="shared" si="41"/>
        <v>110</v>
      </c>
      <c r="G98" s="15">
        <f>INDEX(章节关卡!$E$6:$E$20,芦花古楼!B98)*芦花古楼!C98</f>
        <v>5400</v>
      </c>
      <c r="H98" s="15">
        <v>300</v>
      </c>
      <c r="K98" s="23">
        <v>94</v>
      </c>
      <c r="L98" s="63">
        <v>12</v>
      </c>
      <c r="M98" s="39">
        <v>120</v>
      </c>
      <c r="N98" s="26">
        <f>INDEX(章节关卡!$C$6:$C$20,芦花古楼!L98)*芦花古楼!M98</f>
        <v>7800</v>
      </c>
      <c r="O98" s="23">
        <f t="shared" si="42"/>
        <v>100</v>
      </c>
      <c r="P98" s="23">
        <f t="shared" si="43"/>
        <v>110</v>
      </c>
      <c r="Q98" s="15">
        <f>INDEX(章节关卡!$E$6:$E$20,芦花古楼!L98)*芦花古楼!M98</f>
        <v>15600</v>
      </c>
      <c r="R98" s="15">
        <v>300</v>
      </c>
      <c r="U98" s="23">
        <v>94</v>
      </c>
      <c r="V98" s="63">
        <v>14</v>
      </c>
      <c r="W98" s="39">
        <v>180</v>
      </c>
      <c r="X98" s="26">
        <f>INDEX(章节关卡!$C$6:$C$20,芦花古楼!V98)*芦花古楼!W98</f>
        <v>18000</v>
      </c>
      <c r="Y98" s="23">
        <f t="shared" si="38"/>
        <v>105</v>
      </c>
      <c r="Z98" s="23">
        <f t="shared" si="39"/>
        <v>110</v>
      </c>
      <c r="AA98" s="15">
        <f>INDEX(章节关卡!$E$6:$E$20,芦花古楼!V98)*芦花古楼!W98</f>
        <v>31500</v>
      </c>
      <c r="AB98" s="15">
        <v>300</v>
      </c>
      <c r="AE98" s="23">
        <v>94</v>
      </c>
      <c r="AF98" s="63">
        <v>14</v>
      </c>
      <c r="AG98" s="39">
        <v>180</v>
      </c>
      <c r="AH98" s="26">
        <f>INDEX(章节关卡!$C$6:$C$20,芦花古楼!AF98)*芦花古楼!AG98</f>
        <v>18000</v>
      </c>
      <c r="AI98" s="23">
        <f t="shared" si="44"/>
        <v>110</v>
      </c>
      <c r="AJ98" s="23">
        <f t="shared" si="45"/>
        <v>110</v>
      </c>
      <c r="AK98" s="15">
        <f>INDEX(章节关卡!$E$6:$E$20,芦花古楼!AF98)*芦花古楼!AG98</f>
        <v>31500</v>
      </c>
      <c r="AL98" s="15">
        <v>300</v>
      </c>
      <c r="AO98" s="19">
        <v>93</v>
      </c>
      <c r="AP98" s="19">
        <v>78</v>
      </c>
      <c r="AR98" s="19">
        <v>93</v>
      </c>
      <c r="AS98" s="19">
        <f t="shared" si="49"/>
        <v>79</v>
      </c>
      <c r="AU98" s="19">
        <v>93</v>
      </c>
      <c r="AV98" s="19">
        <f t="shared" si="50"/>
        <v>80</v>
      </c>
      <c r="AX98" s="19">
        <v>93</v>
      </c>
      <c r="AY98" s="19">
        <f t="shared" si="51"/>
        <v>81</v>
      </c>
      <c r="BB98" s="19">
        <v>93</v>
      </c>
      <c r="BC98" s="15">
        <f t="shared" si="46"/>
        <v>215</v>
      </c>
      <c r="BD98" s="15">
        <f t="shared" si="47"/>
        <v>460</v>
      </c>
      <c r="BE98" s="15">
        <f t="shared" si="48"/>
        <v>42600</v>
      </c>
      <c r="BF98" s="15">
        <f t="shared" si="52"/>
        <v>1200</v>
      </c>
      <c r="CD98" s="52">
        <v>94</v>
      </c>
      <c r="CE98" s="52">
        <v>1</v>
      </c>
      <c r="CF98" s="54" t="s">
        <v>538</v>
      </c>
      <c r="CG98" s="52">
        <v>94</v>
      </c>
      <c r="CH98" s="52"/>
      <c r="CI98" s="52"/>
      <c r="CJ98" s="52"/>
      <c r="CK98" s="52" t="s">
        <v>539</v>
      </c>
      <c r="CL98" s="52">
        <v>7800</v>
      </c>
      <c r="CM98" s="52" t="s">
        <v>540</v>
      </c>
      <c r="CN98" s="52">
        <v>95</v>
      </c>
      <c r="CO98" s="52"/>
      <c r="CP98" s="52"/>
      <c r="CQ98" s="52" t="s">
        <v>540</v>
      </c>
      <c r="CR98" s="52">
        <v>110</v>
      </c>
      <c r="CS98" s="52"/>
      <c r="CT98" s="52"/>
      <c r="CU98" s="52"/>
      <c r="CV98" s="52"/>
      <c r="CW98" s="52"/>
      <c r="CX98" s="52"/>
      <c r="CY98" s="52"/>
      <c r="CZ98" s="52"/>
      <c r="DA98" s="52"/>
      <c r="DB98" s="52"/>
    </row>
    <row r="99" spans="1:106" ht="16.5" x14ac:dyDescent="0.2">
      <c r="A99" s="23">
        <v>95</v>
      </c>
      <c r="B99" s="63">
        <v>10</v>
      </c>
      <c r="C99" s="39">
        <v>60</v>
      </c>
      <c r="D99" s="26">
        <f>INDEX(章节关卡!$C$6:$C$20,芦花古楼!B99)*芦花古楼!C99</f>
        <v>2640</v>
      </c>
      <c r="E99" s="23">
        <f t="shared" si="40"/>
        <v>95</v>
      </c>
      <c r="F99" s="23">
        <f t="shared" si="41"/>
        <v>115</v>
      </c>
      <c r="G99" s="15">
        <f>INDEX(章节关卡!$E$6:$E$20,芦花古楼!B99)*芦花古楼!C99</f>
        <v>5400</v>
      </c>
      <c r="H99" s="15">
        <v>300</v>
      </c>
      <c r="K99" s="23">
        <v>95</v>
      </c>
      <c r="L99" s="63">
        <v>12</v>
      </c>
      <c r="M99" s="39">
        <v>120</v>
      </c>
      <c r="N99" s="26">
        <f>INDEX(章节关卡!$C$6:$C$20,芦花古楼!L99)*芦花古楼!M99</f>
        <v>7800</v>
      </c>
      <c r="O99" s="23">
        <f t="shared" si="42"/>
        <v>100</v>
      </c>
      <c r="P99" s="23">
        <f t="shared" si="43"/>
        <v>115</v>
      </c>
      <c r="Q99" s="15">
        <f>INDEX(章节关卡!$E$6:$E$20,芦花古楼!L99)*芦花古楼!M99</f>
        <v>15600</v>
      </c>
      <c r="R99" s="15">
        <v>300</v>
      </c>
      <c r="U99" s="23">
        <v>95</v>
      </c>
      <c r="V99" s="63">
        <v>14</v>
      </c>
      <c r="W99" s="39">
        <v>180</v>
      </c>
      <c r="X99" s="26">
        <f>INDEX(章节关卡!$C$6:$C$20,芦花古楼!V99)*芦花古楼!W99</f>
        <v>18000</v>
      </c>
      <c r="Y99" s="23">
        <f t="shared" si="38"/>
        <v>105</v>
      </c>
      <c r="Z99" s="23">
        <f t="shared" si="39"/>
        <v>115</v>
      </c>
      <c r="AA99" s="15">
        <f>INDEX(章节关卡!$E$6:$E$20,芦花古楼!V99)*芦花古楼!W99</f>
        <v>31500</v>
      </c>
      <c r="AB99" s="15">
        <v>300</v>
      </c>
      <c r="AE99" s="23">
        <v>95</v>
      </c>
      <c r="AF99" s="63">
        <v>14</v>
      </c>
      <c r="AG99" s="39">
        <v>180</v>
      </c>
      <c r="AH99" s="26">
        <f>INDEX(章节关卡!$C$6:$C$20,芦花古楼!AF99)*芦花古楼!AG99</f>
        <v>18000</v>
      </c>
      <c r="AI99" s="23">
        <f t="shared" si="44"/>
        <v>110</v>
      </c>
      <c r="AJ99" s="23">
        <f t="shared" si="45"/>
        <v>115</v>
      </c>
      <c r="AK99" s="15">
        <f>INDEX(章节关卡!$E$6:$E$20,芦花古楼!AF99)*芦花古楼!AG99</f>
        <v>31500</v>
      </c>
      <c r="AL99" s="15">
        <v>300</v>
      </c>
      <c r="AO99" s="19">
        <v>94</v>
      </c>
      <c r="AP99" s="19">
        <v>81</v>
      </c>
      <c r="AR99" s="19">
        <v>94</v>
      </c>
      <c r="AS99" s="19">
        <f t="shared" si="49"/>
        <v>82</v>
      </c>
      <c r="AU99" s="19">
        <v>94</v>
      </c>
      <c r="AV99" s="19">
        <f t="shared" si="50"/>
        <v>83</v>
      </c>
      <c r="AX99" s="19">
        <v>94</v>
      </c>
      <c r="AY99" s="19">
        <f t="shared" si="51"/>
        <v>84</v>
      </c>
      <c r="BB99" s="19">
        <v>94</v>
      </c>
      <c r="BC99" s="15">
        <f t="shared" si="46"/>
        <v>105</v>
      </c>
      <c r="BD99" s="15">
        <f t="shared" si="47"/>
        <v>460</v>
      </c>
      <c r="BE99" s="15">
        <f t="shared" si="48"/>
        <v>15600</v>
      </c>
      <c r="BF99" s="15">
        <f t="shared" si="52"/>
        <v>1200</v>
      </c>
      <c r="CD99" s="52">
        <v>95</v>
      </c>
      <c r="CE99" s="52">
        <v>1</v>
      </c>
      <c r="CF99" s="54" t="s">
        <v>538</v>
      </c>
      <c r="CG99" s="52">
        <v>95</v>
      </c>
      <c r="CH99" s="52"/>
      <c r="CI99" s="52"/>
      <c r="CJ99" s="52"/>
      <c r="CK99" s="52" t="s">
        <v>539</v>
      </c>
      <c r="CL99" s="52">
        <v>7800</v>
      </c>
      <c r="CM99" s="52" t="s">
        <v>540</v>
      </c>
      <c r="CN99" s="52">
        <v>95</v>
      </c>
      <c r="CO99" s="52"/>
      <c r="CP99" s="52"/>
      <c r="CQ99" s="52" t="s">
        <v>540</v>
      </c>
      <c r="CR99" s="52">
        <v>115</v>
      </c>
      <c r="CS99" s="52"/>
      <c r="CT99" s="52"/>
      <c r="CU99" s="52"/>
      <c r="CV99" s="52"/>
      <c r="CW99" s="52"/>
      <c r="CX99" s="52"/>
      <c r="CY99" s="52"/>
      <c r="CZ99" s="52"/>
      <c r="DA99" s="52"/>
      <c r="DB99" s="52"/>
    </row>
    <row r="100" spans="1:106" ht="16.5" x14ac:dyDescent="0.2">
      <c r="A100" s="23">
        <v>96</v>
      </c>
      <c r="B100" s="26">
        <v>11</v>
      </c>
      <c r="C100" s="39">
        <v>60</v>
      </c>
      <c r="D100" s="26">
        <f>INDEX(章节关卡!$C$6:$C$20,芦花古楼!B100)*芦花古楼!C100</f>
        <v>3180</v>
      </c>
      <c r="E100" s="23">
        <f t="shared" si="40"/>
        <v>100</v>
      </c>
      <c r="F100" s="23">
        <f t="shared" si="41"/>
        <v>115</v>
      </c>
      <c r="G100" s="15">
        <f>INDEX(章节关卡!$E$6:$E$20,芦花古楼!B100)*芦花古楼!C100</f>
        <v>6600</v>
      </c>
      <c r="H100" s="15">
        <v>300</v>
      </c>
      <c r="K100" s="23">
        <v>96</v>
      </c>
      <c r="L100" s="63">
        <v>12</v>
      </c>
      <c r="M100" s="39">
        <v>120</v>
      </c>
      <c r="N100" s="26">
        <f>INDEX(章节关卡!$C$6:$C$20,芦花古楼!L100)*芦花古楼!M100</f>
        <v>7800</v>
      </c>
      <c r="O100" s="23">
        <f t="shared" si="42"/>
        <v>105</v>
      </c>
      <c r="P100" s="23">
        <f t="shared" si="43"/>
        <v>115</v>
      </c>
      <c r="Q100" s="15">
        <f>INDEX(章节关卡!$E$6:$E$20,芦花古楼!L100)*芦花古楼!M100</f>
        <v>15600</v>
      </c>
      <c r="R100" s="15">
        <v>300</v>
      </c>
      <c r="U100" s="23">
        <v>96</v>
      </c>
      <c r="V100" s="26">
        <v>15</v>
      </c>
      <c r="W100" s="39">
        <v>180</v>
      </c>
      <c r="X100" s="26">
        <f>INDEX(章节关卡!$C$6:$C$20,芦花古楼!V100)*芦花古楼!W100</f>
        <v>22500</v>
      </c>
      <c r="Y100" s="23">
        <f t="shared" si="38"/>
        <v>110</v>
      </c>
      <c r="Z100" s="23">
        <f t="shared" si="39"/>
        <v>115</v>
      </c>
      <c r="AA100" s="15">
        <f>INDEX(章节关卡!$E$6:$E$20,芦花古楼!V100)*芦花古楼!W100</f>
        <v>36000</v>
      </c>
      <c r="AB100" s="15">
        <v>300</v>
      </c>
      <c r="AE100" s="23">
        <v>96</v>
      </c>
      <c r="AF100" s="63">
        <v>15</v>
      </c>
      <c r="AG100" s="39">
        <v>180</v>
      </c>
      <c r="AH100" s="26">
        <f>INDEX(章节关卡!$C$6:$C$20,芦花古楼!AF100)*芦花古楼!AG100</f>
        <v>22500</v>
      </c>
      <c r="AI100" s="23">
        <f t="shared" si="44"/>
        <v>115</v>
      </c>
      <c r="AJ100" s="23">
        <f t="shared" si="45"/>
        <v>115</v>
      </c>
      <c r="AK100" s="15">
        <f>INDEX(章节关卡!$E$6:$E$20,芦花古楼!AF100)*芦花古楼!AG100</f>
        <v>36000</v>
      </c>
      <c r="AL100" s="15">
        <v>300</v>
      </c>
      <c r="AO100" s="19">
        <v>95</v>
      </c>
      <c r="AP100" s="19">
        <v>84</v>
      </c>
      <c r="AR100" s="19">
        <v>95</v>
      </c>
      <c r="AS100" s="19">
        <f t="shared" si="49"/>
        <v>85</v>
      </c>
      <c r="AU100" s="19">
        <v>95</v>
      </c>
      <c r="AV100" s="19">
        <f t="shared" si="50"/>
        <v>86</v>
      </c>
      <c r="AX100" s="19">
        <v>95</v>
      </c>
      <c r="AY100" s="19">
        <f t="shared" si="51"/>
        <v>87</v>
      </c>
      <c r="BB100" s="19">
        <v>95</v>
      </c>
      <c r="BC100" s="15">
        <f t="shared" si="46"/>
        <v>110</v>
      </c>
      <c r="BD100" s="15">
        <f t="shared" si="47"/>
        <v>460</v>
      </c>
      <c r="BE100" s="15">
        <f t="shared" si="48"/>
        <v>36000</v>
      </c>
      <c r="BF100" s="15">
        <f t="shared" si="52"/>
        <v>1200</v>
      </c>
      <c r="CD100" s="52">
        <v>96</v>
      </c>
      <c r="CE100" s="52">
        <v>1</v>
      </c>
      <c r="CF100" s="54" t="s">
        <v>538</v>
      </c>
      <c r="CG100" s="52">
        <v>96</v>
      </c>
      <c r="CH100" s="52"/>
      <c r="CI100" s="52"/>
      <c r="CJ100" s="52"/>
      <c r="CK100" s="52" t="s">
        <v>539</v>
      </c>
      <c r="CL100" s="52">
        <v>7800</v>
      </c>
      <c r="CM100" s="52" t="s">
        <v>540</v>
      </c>
      <c r="CN100" s="52">
        <v>100</v>
      </c>
      <c r="CO100" s="52"/>
      <c r="CP100" s="52"/>
      <c r="CQ100" s="52" t="s">
        <v>540</v>
      </c>
      <c r="CR100" s="52">
        <v>115</v>
      </c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</row>
    <row r="101" spans="1:106" ht="16.5" x14ac:dyDescent="0.2">
      <c r="A101" s="23">
        <v>97</v>
      </c>
      <c r="B101" s="63">
        <v>11</v>
      </c>
      <c r="C101" s="39">
        <v>60</v>
      </c>
      <c r="D101" s="26">
        <f>INDEX(章节关卡!$C$6:$C$20,芦花古楼!B101)*芦花古楼!C101</f>
        <v>3180</v>
      </c>
      <c r="E101" s="23">
        <f t="shared" si="40"/>
        <v>100</v>
      </c>
      <c r="F101" s="23">
        <f t="shared" si="41"/>
        <v>115</v>
      </c>
      <c r="G101" s="15">
        <f>INDEX(章节关卡!$E$6:$E$20,芦花古楼!B101)*芦花古楼!C101</f>
        <v>6600</v>
      </c>
      <c r="H101" s="15">
        <v>300</v>
      </c>
      <c r="K101" s="23">
        <v>97</v>
      </c>
      <c r="L101" s="63">
        <v>12</v>
      </c>
      <c r="M101" s="39">
        <v>120</v>
      </c>
      <c r="N101" s="26">
        <f>INDEX(章节关卡!$C$6:$C$20,芦花古楼!L101)*芦花古楼!M101</f>
        <v>7800</v>
      </c>
      <c r="O101" s="23">
        <f t="shared" si="42"/>
        <v>105</v>
      </c>
      <c r="P101" s="23">
        <f t="shared" si="43"/>
        <v>115</v>
      </c>
      <c r="Q101" s="15">
        <f>INDEX(章节关卡!$E$6:$E$20,芦花古楼!L101)*芦花古楼!M101</f>
        <v>15600</v>
      </c>
      <c r="R101" s="15">
        <v>300</v>
      </c>
      <c r="U101" s="23">
        <v>97</v>
      </c>
      <c r="V101" s="26">
        <v>15</v>
      </c>
      <c r="W101" s="39">
        <v>180</v>
      </c>
      <c r="X101" s="26">
        <f>INDEX(章节关卡!$C$6:$C$20,芦花古楼!V101)*芦花古楼!W101</f>
        <v>22500</v>
      </c>
      <c r="Y101" s="23">
        <f t="shared" si="38"/>
        <v>110</v>
      </c>
      <c r="Z101" s="23">
        <f t="shared" si="39"/>
        <v>115</v>
      </c>
      <c r="AA101" s="15">
        <f>INDEX(章节关卡!$E$6:$E$20,芦花古楼!V101)*芦花古楼!W101</f>
        <v>36000</v>
      </c>
      <c r="AB101" s="15">
        <v>300</v>
      </c>
      <c r="AE101" s="23">
        <v>97</v>
      </c>
      <c r="AF101" s="63">
        <v>15</v>
      </c>
      <c r="AG101" s="39">
        <v>180</v>
      </c>
      <c r="AH101" s="26">
        <f>INDEX(章节关卡!$C$6:$C$20,芦花古楼!AF101)*芦花古楼!AG101</f>
        <v>22500</v>
      </c>
      <c r="AI101" s="23">
        <f t="shared" si="44"/>
        <v>115</v>
      </c>
      <c r="AJ101" s="23">
        <f t="shared" si="45"/>
        <v>115</v>
      </c>
      <c r="AK101" s="15">
        <f>INDEX(章节关卡!$E$6:$E$20,芦花古楼!AF101)*芦花古楼!AG101</f>
        <v>36000</v>
      </c>
      <c r="AL101" s="15">
        <v>300</v>
      </c>
      <c r="AO101" s="19">
        <v>96</v>
      </c>
      <c r="AP101" s="19">
        <v>87</v>
      </c>
      <c r="AR101" s="19">
        <v>96</v>
      </c>
      <c r="AS101" s="19">
        <f t="shared" si="49"/>
        <v>88</v>
      </c>
      <c r="AU101" s="19">
        <v>96</v>
      </c>
      <c r="AV101" s="19">
        <f t="shared" si="50"/>
        <v>89</v>
      </c>
      <c r="AX101" s="19">
        <v>96</v>
      </c>
      <c r="AY101" s="19">
        <f t="shared" si="51"/>
        <v>90</v>
      </c>
      <c r="BB101" s="19">
        <v>96</v>
      </c>
      <c r="BC101" s="15">
        <f t="shared" si="46"/>
        <v>215</v>
      </c>
      <c r="BD101" s="15">
        <f t="shared" si="47"/>
        <v>460</v>
      </c>
      <c r="BE101" s="15">
        <f t="shared" si="48"/>
        <v>42600</v>
      </c>
      <c r="BF101" s="15">
        <f t="shared" si="52"/>
        <v>1200</v>
      </c>
      <c r="CD101" s="52">
        <v>97</v>
      </c>
      <c r="CE101" s="52">
        <v>1</v>
      </c>
      <c r="CF101" s="54" t="s">
        <v>538</v>
      </c>
      <c r="CG101" s="52">
        <v>97</v>
      </c>
      <c r="CH101" s="52"/>
      <c r="CI101" s="52"/>
      <c r="CJ101" s="52"/>
      <c r="CK101" s="52" t="s">
        <v>539</v>
      </c>
      <c r="CL101" s="52">
        <v>7800</v>
      </c>
      <c r="CM101" s="52" t="s">
        <v>540</v>
      </c>
      <c r="CN101" s="52">
        <v>100</v>
      </c>
      <c r="CO101" s="52"/>
      <c r="CP101" s="52"/>
      <c r="CQ101" s="52" t="s">
        <v>540</v>
      </c>
      <c r="CR101" s="52">
        <v>115</v>
      </c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</row>
    <row r="102" spans="1:106" ht="16.5" x14ac:dyDescent="0.2">
      <c r="A102" s="23">
        <v>98</v>
      </c>
      <c r="B102" s="63">
        <v>11</v>
      </c>
      <c r="C102" s="39">
        <v>60</v>
      </c>
      <c r="D102" s="26">
        <f>INDEX(章节关卡!$C$6:$C$20,芦花古楼!B102)*芦花古楼!C102</f>
        <v>3180</v>
      </c>
      <c r="E102" s="23">
        <f t="shared" si="40"/>
        <v>100</v>
      </c>
      <c r="F102" s="23">
        <f t="shared" si="41"/>
        <v>115</v>
      </c>
      <c r="G102" s="15">
        <f>INDEX(章节关卡!$E$6:$E$20,芦花古楼!B102)*芦花古楼!C102</f>
        <v>6600</v>
      </c>
      <c r="H102" s="15">
        <v>300</v>
      </c>
      <c r="K102" s="23">
        <v>98</v>
      </c>
      <c r="L102" s="63">
        <v>12</v>
      </c>
      <c r="M102" s="39">
        <v>120</v>
      </c>
      <c r="N102" s="26">
        <f>INDEX(章节关卡!$C$6:$C$20,芦花古楼!L102)*芦花古楼!M102</f>
        <v>7800</v>
      </c>
      <c r="O102" s="23">
        <f t="shared" si="42"/>
        <v>105</v>
      </c>
      <c r="P102" s="23">
        <f t="shared" si="43"/>
        <v>115</v>
      </c>
      <c r="Q102" s="15">
        <f>INDEX(章节关卡!$E$6:$E$20,芦花古楼!L102)*芦花古楼!M102</f>
        <v>15600</v>
      </c>
      <c r="R102" s="15">
        <v>300</v>
      </c>
      <c r="U102" s="23">
        <v>98</v>
      </c>
      <c r="V102" s="26">
        <v>15</v>
      </c>
      <c r="W102" s="39">
        <v>180</v>
      </c>
      <c r="X102" s="26">
        <f>INDEX(章节关卡!$C$6:$C$20,芦花古楼!V102)*芦花古楼!W102</f>
        <v>22500</v>
      </c>
      <c r="Y102" s="23">
        <f t="shared" si="38"/>
        <v>110</v>
      </c>
      <c r="Z102" s="23">
        <f t="shared" si="39"/>
        <v>115</v>
      </c>
      <c r="AA102" s="15">
        <f>INDEX(章节关卡!$E$6:$E$20,芦花古楼!V102)*芦花古楼!W102</f>
        <v>36000</v>
      </c>
      <c r="AB102" s="15">
        <v>300</v>
      </c>
      <c r="AE102" s="23">
        <v>98</v>
      </c>
      <c r="AF102" s="63">
        <v>15</v>
      </c>
      <c r="AG102" s="39">
        <v>180</v>
      </c>
      <c r="AH102" s="26">
        <f>INDEX(章节关卡!$C$6:$C$20,芦花古楼!AF102)*芦花古楼!AG102</f>
        <v>22500</v>
      </c>
      <c r="AI102" s="23">
        <f t="shared" si="44"/>
        <v>115</v>
      </c>
      <c r="AJ102" s="23">
        <f t="shared" si="45"/>
        <v>115</v>
      </c>
      <c r="AK102" s="15">
        <f>INDEX(章节关卡!$E$6:$E$20,芦花古楼!AF102)*芦花古楼!AG102</f>
        <v>36000</v>
      </c>
      <c r="AL102" s="15">
        <v>300</v>
      </c>
      <c r="AO102" s="19">
        <v>97</v>
      </c>
      <c r="AP102" s="19">
        <v>90</v>
      </c>
      <c r="AR102" s="19">
        <v>97</v>
      </c>
      <c r="AS102" s="19">
        <f t="shared" si="49"/>
        <v>91</v>
      </c>
      <c r="AU102" s="19">
        <v>97</v>
      </c>
      <c r="AV102" s="19">
        <f t="shared" si="50"/>
        <v>92</v>
      </c>
      <c r="AX102" s="19">
        <v>97</v>
      </c>
      <c r="AY102" s="19">
        <f t="shared" si="51"/>
        <v>93</v>
      </c>
      <c r="BB102" s="19">
        <v>97</v>
      </c>
      <c r="BC102" s="15">
        <f t="shared" ref="BC102:BC105" si="53">SUMIFS($E$5:$E$104,$AP$6:$AP$105,"="&amp;BB102)+SUMIFS($O$5:$O$104,$AS$6:$AS$105,"="&amp;BB102)+SUMIFS($Y$5:$Y$104,$AV$6:$AV$105,"="&amp;BB102)+SUMIFS($AI$5:$AI$104,$AY$6:$AY$105,"="&amp;BB102)</f>
        <v>105</v>
      </c>
      <c r="BD102" s="15">
        <f t="shared" si="47"/>
        <v>460</v>
      </c>
      <c r="BE102" s="15">
        <f t="shared" si="48"/>
        <v>15600</v>
      </c>
      <c r="BF102" s="15">
        <f t="shared" si="52"/>
        <v>1200</v>
      </c>
      <c r="CD102" s="52">
        <v>98</v>
      </c>
      <c r="CE102" s="52">
        <v>1</v>
      </c>
      <c r="CF102" s="54" t="s">
        <v>538</v>
      </c>
      <c r="CG102" s="52">
        <v>98</v>
      </c>
      <c r="CH102" s="52"/>
      <c r="CI102" s="52"/>
      <c r="CJ102" s="52"/>
      <c r="CK102" s="52" t="s">
        <v>539</v>
      </c>
      <c r="CL102" s="52">
        <v>7800</v>
      </c>
      <c r="CM102" s="52" t="s">
        <v>540</v>
      </c>
      <c r="CN102" s="52">
        <v>100</v>
      </c>
      <c r="CO102" s="52"/>
      <c r="CP102" s="52"/>
      <c r="CQ102" s="52" t="s">
        <v>540</v>
      </c>
      <c r="CR102" s="52">
        <v>115</v>
      </c>
      <c r="CS102" s="52"/>
      <c r="CT102" s="52"/>
      <c r="CU102" s="52"/>
      <c r="CV102" s="52"/>
      <c r="CW102" s="52"/>
      <c r="CX102" s="52"/>
      <c r="CY102" s="52"/>
      <c r="CZ102" s="52"/>
      <c r="DA102" s="52"/>
      <c r="DB102" s="52"/>
    </row>
    <row r="103" spans="1:106" ht="16.5" x14ac:dyDescent="0.2">
      <c r="A103" s="23">
        <v>99</v>
      </c>
      <c r="B103" s="63">
        <v>11</v>
      </c>
      <c r="C103" s="39">
        <v>60</v>
      </c>
      <c r="D103" s="26">
        <f>INDEX(章节关卡!$C$6:$C$20,芦花古楼!B103)*芦花古楼!C103</f>
        <v>3180</v>
      </c>
      <c r="E103" s="23">
        <f t="shared" si="40"/>
        <v>100</v>
      </c>
      <c r="F103" s="23">
        <f t="shared" si="41"/>
        <v>115</v>
      </c>
      <c r="G103" s="15">
        <f>INDEX(章节关卡!$E$6:$E$20,芦花古楼!B103)*芦花古楼!C103</f>
        <v>6600</v>
      </c>
      <c r="H103" s="15">
        <v>300</v>
      </c>
      <c r="K103" s="23">
        <v>99</v>
      </c>
      <c r="L103" s="63">
        <v>12</v>
      </c>
      <c r="M103" s="39">
        <v>120</v>
      </c>
      <c r="N103" s="26">
        <f>INDEX(章节关卡!$C$6:$C$20,芦花古楼!L103)*芦花古楼!M103</f>
        <v>7800</v>
      </c>
      <c r="O103" s="23">
        <f t="shared" si="42"/>
        <v>105</v>
      </c>
      <c r="P103" s="23">
        <f t="shared" si="43"/>
        <v>115</v>
      </c>
      <c r="Q103" s="15">
        <f>INDEX(章节关卡!$E$6:$E$20,芦花古楼!L103)*芦花古楼!M103</f>
        <v>15600</v>
      </c>
      <c r="R103" s="15">
        <v>300</v>
      </c>
      <c r="U103" s="23">
        <v>99</v>
      </c>
      <c r="V103" s="26">
        <v>15</v>
      </c>
      <c r="W103" s="39">
        <v>180</v>
      </c>
      <c r="X103" s="26">
        <f>INDEX(章节关卡!$C$6:$C$20,芦花古楼!V103)*芦花古楼!W103</f>
        <v>22500</v>
      </c>
      <c r="Y103" s="23">
        <f t="shared" si="38"/>
        <v>110</v>
      </c>
      <c r="Z103" s="23">
        <f t="shared" si="39"/>
        <v>115</v>
      </c>
      <c r="AA103" s="15">
        <f>INDEX(章节关卡!$E$6:$E$20,芦花古楼!V103)*芦花古楼!W103</f>
        <v>36000</v>
      </c>
      <c r="AB103" s="15">
        <v>300</v>
      </c>
      <c r="AE103" s="23">
        <v>99</v>
      </c>
      <c r="AF103" s="63">
        <v>15</v>
      </c>
      <c r="AG103" s="39">
        <v>180</v>
      </c>
      <c r="AH103" s="26">
        <f>INDEX(章节关卡!$C$6:$C$20,芦花古楼!AF103)*芦花古楼!AG103</f>
        <v>22500</v>
      </c>
      <c r="AI103" s="23">
        <f t="shared" si="44"/>
        <v>115</v>
      </c>
      <c r="AJ103" s="23">
        <f t="shared" si="45"/>
        <v>115</v>
      </c>
      <c r="AK103" s="15">
        <f>INDEX(章节关卡!$E$6:$E$20,芦花古楼!AF103)*芦花古楼!AG103</f>
        <v>36000</v>
      </c>
      <c r="AL103" s="15">
        <v>300</v>
      </c>
      <c r="AO103" s="19">
        <v>98</v>
      </c>
      <c r="AP103" s="19">
        <v>93</v>
      </c>
      <c r="AR103" s="19">
        <v>98</v>
      </c>
      <c r="AS103" s="19">
        <f t="shared" si="49"/>
        <v>94</v>
      </c>
      <c r="AU103" s="19">
        <v>98</v>
      </c>
      <c r="AV103" s="19">
        <f t="shared" si="50"/>
        <v>95</v>
      </c>
      <c r="AX103" s="19">
        <v>98</v>
      </c>
      <c r="AY103" s="19">
        <f t="shared" si="51"/>
        <v>96</v>
      </c>
      <c r="BB103" s="19">
        <v>98</v>
      </c>
      <c r="BC103" s="15">
        <f t="shared" si="53"/>
        <v>110</v>
      </c>
      <c r="BD103" s="15">
        <f t="shared" si="47"/>
        <v>460</v>
      </c>
      <c r="BE103" s="15">
        <f t="shared" si="48"/>
        <v>36000</v>
      </c>
      <c r="BF103" s="15">
        <f t="shared" si="52"/>
        <v>1200</v>
      </c>
      <c r="CD103" s="52">
        <v>99</v>
      </c>
      <c r="CE103" s="52">
        <v>1</v>
      </c>
      <c r="CF103" s="54" t="s">
        <v>538</v>
      </c>
      <c r="CG103" s="52">
        <v>99</v>
      </c>
      <c r="CH103" s="52"/>
      <c r="CI103" s="52"/>
      <c r="CJ103" s="52"/>
      <c r="CK103" s="52" t="s">
        <v>539</v>
      </c>
      <c r="CL103" s="52">
        <v>7800</v>
      </c>
      <c r="CM103" s="52" t="s">
        <v>540</v>
      </c>
      <c r="CN103" s="52">
        <v>100</v>
      </c>
      <c r="CO103" s="52"/>
      <c r="CP103" s="52"/>
      <c r="CQ103" s="52" t="s">
        <v>540</v>
      </c>
      <c r="CR103" s="52">
        <v>115</v>
      </c>
      <c r="CS103" s="52"/>
      <c r="CT103" s="52"/>
      <c r="CU103" s="52"/>
      <c r="CV103" s="52"/>
      <c r="CW103" s="52"/>
      <c r="CX103" s="52"/>
      <c r="CY103" s="52"/>
      <c r="CZ103" s="52"/>
      <c r="DA103" s="52"/>
      <c r="DB103" s="52"/>
    </row>
    <row r="104" spans="1:106" ht="16.5" x14ac:dyDescent="0.2">
      <c r="A104" s="23">
        <v>100</v>
      </c>
      <c r="B104" s="63">
        <v>11</v>
      </c>
      <c r="C104" s="39">
        <v>60</v>
      </c>
      <c r="D104" s="26">
        <f>INDEX(章节关卡!$C$6:$C$20,芦花古楼!B104)*芦花古楼!C104</f>
        <v>3180</v>
      </c>
      <c r="E104" s="23">
        <f t="shared" si="40"/>
        <v>100</v>
      </c>
      <c r="F104" s="23">
        <f t="shared" si="41"/>
        <v>120</v>
      </c>
      <c r="G104" s="15">
        <f>INDEX(章节关卡!$E$6:$E$20,芦花古楼!B104)*芦花古楼!C104</f>
        <v>6600</v>
      </c>
      <c r="H104" s="15">
        <v>300</v>
      </c>
      <c r="K104" s="23">
        <v>100</v>
      </c>
      <c r="L104" s="26">
        <v>13</v>
      </c>
      <c r="M104" s="39">
        <v>120</v>
      </c>
      <c r="N104" s="26">
        <f>INDEX(章节关卡!$C$6:$C$20,芦花古楼!L104)*芦花古楼!M104</f>
        <v>9600</v>
      </c>
      <c r="O104" s="23">
        <f t="shared" si="42"/>
        <v>105</v>
      </c>
      <c r="P104" s="23">
        <f t="shared" si="43"/>
        <v>120</v>
      </c>
      <c r="Q104" s="15">
        <f>INDEX(章节关卡!$E$6:$E$20,芦花古楼!L104)*芦花古楼!M104</f>
        <v>18000</v>
      </c>
      <c r="R104" s="15">
        <v>300</v>
      </c>
      <c r="U104" s="23">
        <v>100</v>
      </c>
      <c r="V104" s="26">
        <v>15</v>
      </c>
      <c r="W104" s="39">
        <v>180</v>
      </c>
      <c r="X104" s="26">
        <f>INDEX(章节关卡!$C$6:$C$20,芦花古楼!V104)*芦花古楼!W104</f>
        <v>22500</v>
      </c>
      <c r="Y104" s="23">
        <f t="shared" si="38"/>
        <v>110</v>
      </c>
      <c r="Z104" s="23">
        <f t="shared" si="39"/>
        <v>120</v>
      </c>
      <c r="AA104" s="15">
        <f>INDEX(章节关卡!$E$6:$E$20,芦花古楼!V104)*芦花古楼!W104</f>
        <v>36000</v>
      </c>
      <c r="AB104" s="15">
        <v>300</v>
      </c>
      <c r="AE104" s="23">
        <v>100</v>
      </c>
      <c r="AF104" s="63">
        <v>15</v>
      </c>
      <c r="AG104" s="39">
        <v>180</v>
      </c>
      <c r="AH104" s="26">
        <f>INDEX(章节关卡!$C$6:$C$20,芦花古楼!AF104)*芦花古楼!AG104</f>
        <v>22500</v>
      </c>
      <c r="AI104" s="23">
        <f t="shared" si="44"/>
        <v>115</v>
      </c>
      <c r="AJ104" s="23">
        <f t="shared" si="45"/>
        <v>120</v>
      </c>
      <c r="AK104" s="15">
        <f>INDEX(章节关卡!$E$6:$E$20,芦花古楼!AF104)*芦花古楼!AG104</f>
        <v>36000</v>
      </c>
      <c r="AL104" s="15">
        <v>300</v>
      </c>
      <c r="AO104" s="19">
        <v>99</v>
      </c>
      <c r="AP104" s="19">
        <v>96</v>
      </c>
      <c r="AR104" s="19">
        <v>99</v>
      </c>
      <c r="AS104" s="19">
        <f t="shared" si="49"/>
        <v>97</v>
      </c>
      <c r="AU104" s="19">
        <v>99</v>
      </c>
      <c r="AV104" s="19">
        <f t="shared" si="50"/>
        <v>98</v>
      </c>
      <c r="AX104" s="19">
        <v>99</v>
      </c>
      <c r="AY104" s="19">
        <f t="shared" si="51"/>
        <v>99</v>
      </c>
      <c r="BB104" s="19">
        <v>99</v>
      </c>
      <c r="BC104" s="15">
        <f t="shared" si="53"/>
        <v>215</v>
      </c>
      <c r="BD104" s="15">
        <f t="shared" si="47"/>
        <v>465</v>
      </c>
      <c r="BE104" s="15">
        <f t="shared" si="48"/>
        <v>42600</v>
      </c>
      <c r="BF104" s="15">
        <f t="shared" si="52"/>
        <v>1200</v>
      </c>
      <c r="CD104" s="52">
        <v>100</v>
      </c>
      <c r="CE104" s="52">
        <v>1</v>
      </c>
      <c r="CF104" s="54" t="s">
        <v>538</v>
      </c>
      <c r="CG104" s="52">
        <v>100</v>
      </c>
      <c r="CH104" s="52"/>
      <c r="CI104" s="52"/>
      <c r="CJ104" s="52"/>
      <c r="CK104" s="52" t="s">
        <v>539</v>
      </c>
      <c r="CL104" s="52">
        <v>9000</v>
      </c>
      <c r="CM104" s="52" t="s">
        <v>540</v>
      </c>
      <c r="CN104" s="52">
        <v>100</v>
      </c>
      <c r="CO104" s="52"/>
      <c r="CP104" s="52"/>
      <c r="CQ104" s="52" t="s">
        <v>540</v>
      </c>
      <c r="CR104" s="52">
        <v>120</v>
      </c>
      <c r="CS104" s="52"/>
      <c r="CT104" s="52"/>
      <c r="CU104" s="52"/>
      <c r="CV104" s="52"/>
      <c r="CW104" s="52"/>
      <c r="CX104" s="52"/>
      <c r="CY104" s="52"/>
      <c r="CZ104" s="52"/>
      <c r="DA104" s="52"/>
      <c r="DB104" s="52"/>
    </row>
    <row r="105" spans="1:106" ht="16.5" x14ac:dyDescent="0.2">
      <c r="AO105" s="19">
        <v>100</v>
      </c>
      <c r="AP105" s="19">
        <v>99</v>
      </c>
      <c r="AR105" s="19">
        <v>100</v>
      </c>
      <c r="AS105" s="19">
        <f t="shared" si="49"/>
        <v>100</v>
      </c>
      <c r="AU105" s="19">
        <v>100</v>
      </c>
      <c r="AV105" s="19">
        <f t="shared" si="50"/>
        <v>101</v>
      </c>
      <c r="AX105" s="19">
        <v>100</v>
      </c>
      <c r="AY105" s="19">
        <f t="shared" si="51"/>
        <v>102</v>
      </c>
      <c r="BB105" s="19">
        <v>100</v>
      </c>
      <c r="BC105" s="15">
        <f t="shared" si="53"/>
        <v>105</v>
      </c>
      <c r="BD105" s="15">
        <f t="shared" si="47"/>
        <v>470</v>
      </c>
      <c r="BE105" s="15">
        <f t="shared" si="48"/>
        <v>18000</v>
      </c>
      <c r="BF105" s="15">
        <f t="shared" si="52"/>
        <v>1200</v>
      </c>
      <c r="CD105" s="52">
        <v>101</v>
      </c>
      <c r="CE105" s="52">
        <v>2</v>
      </c>
      <c r="CF105" s="54" t="s">
        <v>538</v>
      </c>
      <c r="CG105" s="52">
        <v>1</v>
      </c>
      <c r="CH105" s="52"/>
      <c r="CI105" s="52"/>
      <c r="CJ105" s="52"/>
      <c r="CK105" s="52" t="s">
        <v>539</v>
      </c>
      <c r="CL105" s="52"/>
      <c r="CM105" s="52" t="s">
        <v>540</v>
      </c>
      <c r="CN105" s="52"/>
      <c r="CO105" s="52"/>
      <c r="CP105" s="52"/>
      <c r="CQ105" s="52" t="s">
        <v>540</v>
      </c>
      <c r="CR105" s="52"/>
      <c r="CS105" s="52"/>
      <c r="CT105" s="52"/>
      <c r="CU105" s="52"/>
      <c r="CV105" s="52"/>
      <c r="CW105" s="52"/>
      <c r="CX105" s="52"/>
      <c r="CY105" s="52"/>
      <c r="CZ105" s="52"/>
      <c r="DA105" s="52"/>
      <c r="DB105" s="52"/>
    </row>
    <row r="106" spans="1:106" ht="16.5" x14ac:dyDescent="0.2">
      <c r="CD106" s="52">
        <v>102</v>
      </c>
      <c r="CE106" s="52">
        <v>2</v>
      </c>
      <c r="CF106" s="54" t="s">
        <v>538</v>
      </c>
      <c r="CG106" s="52">
        <v>2</v>
      </c>
      <c r="CH106" s="52"/>
      <c r="CI106" s="52"/>
      <c r="CJ106" s="52"/>
      <c r="CK106" s="52" t="s">
        <v>539</v>
      </c>
      <c r="CL106" s="52"/>
      <c r="CM106" s="52" t="s">
        <v>540</v>
      </c>
      <c r="CN106" s="52"/>
      <c r="CO106" s="52"/>
      <c r="CP106" s="52"/>
      <c r="CQ106" s="52" t="s">
        <v>540</v>
      </c>
      <c r="CR106" s="52"/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</row>
    <row r="107" spans="1:106" ht="16.5" x14ac:dyDescent="0.2">
      <c r="CD107" s="52">
        <v>103</v>
      </c>
      <c r="CE107" s="52">
        <v>2</v>
      </c>
      <c r="CF107" s="54" t="s">
        <v>538</v>
      </c>
      <c r="CG107" s="52">
        <v>3</v>
      </c>
      <c r="CH107" s="52"/>
      <c r="CI107" s="52"/>
      <c r="CJ107" s="52"/>
      <c r="CK107" s="52" t="s">
        <v>539</v>
      </c>
      <c r="CL107" s="52"/>
      <c r="CM107" s="52" t="s">
        <v>540</v>
      </c>
      <c r="CN107" s="52"/>
      <c r="CO107" s="52"/>
      <c r="CP107" s="52"/>
      <c r="CQ107" s="52" t="s">
        <v>540</v>
      </c>
      <c r="CR107" s="52"/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</row>
    <row r="108" spans="1:106" ht="16.5" x14ac:dyDescent="0.2">
      <c r="CD108" s="52">
        <v>104</v>
      </c>
      <c r="CE108" s="52">
        <v>2</v>
      </c>
      <c r="CF108" s="54" t="s">
        <v>538</v>
      </c>
      <c r="CG108" s="52">
        <v>4</v>
      </c>
      <c r="CH108" s="52"/>
      <c r="CI108" s="52"/>
      <c r="CJ108" s="52"/>
      <c r="CK108" s="52" t="s">
        <v>539</v>
      </c>
      <c r="CL108" s="52"/>
      <c r="CM108" s="52" t="s">
        <v>540</v>
      </c>
      <c r="CN108" s="52"/>
      <c r="CO108" s="52"/>
      <c r="CP108" s="52"/>
      <c r="CQ108" s="52" t="s">
        <v>540</v>
      </c>
      <c r="CR108" s="52"/>
      <c r="CS108" s="52"/>
      <c r="CT108" s="52"/>
      <c r="CU108" s="52"/>
      <c r="CV108" s="52"/>
      <c r="CW108" s="52"/>
      <c r="CX108" s="52"/>
      <c r="CY108" s="52"/>
      <c r="CZ108" s="52"/>
      <c r="DA108" s="52"/>
      <c r="DB108" s="52"/>
    </row>
    <row r="109" spans="1:106" ht="16.5" x14ac:dyDescent="0.2">
      <c r="CD109" s="52">
        <v>105</v>
      </c>
      <c r="CE109" s="52">
        <v>2</v>
      </c>
      <c r="CF109" s="54" t="s">
        <v>538</v>
      </c>
      <c r="CG109" s="52">
        <v>5</v>
      </c>
      <c r="CH109" s="52"/>
      <c r="CI109" s="52"/>
      <c r="CJ109" s="52"/>
      <c r="CK109" s="52" t="s">
        <v>539</v>
      </c>
      <c r="CL109" s="52"/>
      <c r="CM109" s="52" t="s">
        <v>540</v>
      </c>
      <c r="CN109" s="52"/>
      <c r="CO109" s="52"/>
      <c r="CP109" s="52"/>
      <c r="CQ109" s="52" t="s">
        <v>540</v>
      </c>
      <c r="CR109" s="52"/>
      <c r="CS109" s="52"/>
      <c r="CT109" s="52"/>
      <c r="CU109" s="52"/>
      <c r="CV109" s="52"/>
      <c r="CW109" s="52"/>
      <c r="CX109" s="52"/>
      <c r="CY109" s="52"/>
      <c r="CZ109" s="52"/>
      <c r="DA109" s="52"/>
      <c r="DB109" s="52"/>
    </row>
    <row r="110" spans="1:106" ht="16.5" x14ac:dyDescent="0.2">
      <c r="CD110" s="52">
        <v>106</v>
      </c>
      <c r="CE110" s="52">
        <v>2</v>
      </c>
      <c r="CF110" s="54" t="s">
        <v>538</v>
      </c>
      <c r="CG110" s="52">
        <v>6</v>
      </c>
      <c r="CH110" s="52"/>
      <c r="CI110" s="52"/>
      <c r="CJ110" s="52"/>
      <c r="CK110" s="52" t="s">
        <v>539</v>
      </c>
      <c r="CL110" s="52"/>
      <c r="CM110" s="52" t="s">
        <v>540</v>
      </c>
      <c r="CN110" s="52"/>
      <c r="CO110" s="52"/>
      <c r="CP110" s="52"/>
      <c r="CQ110" s="52" t="s">
        <v>540</v>
      </c>
      <c r="CR110" s="52"/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</row>
    <row r="111" spans="1:106" ht="16.5" x14ac:dyDescent="0.2">
      <c r="CD111" s="52">
        <v>107</v>
      </c>
      <c r="CE111" s="52">
        <v>2</v>
      </c>
      <c r="CF111" s="54" t="s">
        <v>538</v>
      </c>
      <c r="CG111" s="52">
        <v>7</v>
      </c>
      <c r="CH111" s="52"/>
      <c r="CI111" s="52"/>
      <c r="CJ111" s="52"/>
      <c r="CK111" s="52" t="s">
        <v>539</v>
      </c>
      <c r="CL111" s="52"/>
      <c r="CM111" s="52" t="s">
        <v>540</v>
      </c>
      <c r="CN111" s="52"/>
      <c r="CO111" s="52"/>
      <c r="CP111" s="52"/>
      <c r="CQ111" s="52" t="s">
        <v>540</v>
      </c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</row>
    <row r="112" spans="1:106" ht="16.5" x14ac:dyDescent="0.2">
      <c r="CD112" s="52">
        <v>108</v>
      </c>
      <c r="CE112" s="52">
        <v>2</v>
      </c>
      <c r="CF112" s="54" t="s">
        <v>538</v>
      </c>
      <c r="CG112" s="52">
        <v>8</v>
      </c>
      <c r="CH112" s="52"/>
      <c r="CI112" s="52"/>
      <c r="CJ112" s="52"/>
      <c r="CK112" s="52" t="s">
        <v>539</v>
      </c>
      <c r="CL112" s="52"/>
      <c r="CM112" s="52" t="s">
        <v>540</v>
      </c>
      <c r="CN112" s="52"/>
      <c r="CO112" s="52"/>
      <c r="CP112" s="52"/>
      <c r="CQ112" s="52" t="s">
        <v>540</v>
      </c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</row>
    <row r="113" spans="82:106" ht="16.5" x14ac:dyDescent="0.2">
      <c r="CD113" s="52">
        <v>109</v>
      </c>
      <c r="CE113" s="52">
        <v>2</v>
      </c>
      <c r="CF113" s="54" t="s">
        <v>538</v>
      </c>
      <c r="CG113" s="52">
        <v>9</v>
      </c>
      <c r="CH113" s="52"/>
      <c r="CI113" s="52"/>
      <c r="CJ113" s="52"/>
      <c r="CK113" s="52" t="s">
        <v>539</v>
      </c>
      <c r="CL113" s="52"/>
      <c r="CM113" s="52" t="s">
        <v>540</v>
      </c>
      <c r="CN113" s="52"/>
      <c r="CO113" s="52"/>
      <c r="CP113" s="52"/>
      <c r="CQ113" s="52" t="s">
        <v>540</v>
      </c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</row>
    <row r="114" spans="82:106" ht="16.5" x14ac:dyDescent="0.2">
      <c r="CD114" s="52">
        <v>110</v>
      </c>
      <c r="CE114" s="52">
        <v>2</v>
      </c>
      <c r="CF114" s="54" t="s">
        <v>538</v>
      </c>
      <c r="CG114" s="52">
        <v>10</v>
      </c>
      <c r="CH114" s="52"/>
      <c r="CI114" s="52"/>
      <c r="CJ114" s="52"/>
      <c r="CK114" s="52" t="s">
        <v>539</v>
      </c>
      <c r="CL114" s="52"/>
      <c r="CM114" s="52" t="s">
        <v>540</v>
      </c>
      <c r="CN114" s="52"/>
      <c r="CO114" s="52"/>
      <c r="CP114" s="52"/>
      <c r="CQ114" s="52" t="s">
        <v>540</v>
      </c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</row>
    <row r="115" spans="82:106" ht="16.5" x14ac:dyDescent="0.2">
      <c r="CD115" s="52">
        <v>111</v>
      </c>
      <c r="CE115" s="52">
        <v>2</v>
      </c>
      <c r="CF115" s="54" t="s">
        <v>538</v>
      </c>
      <c r="CG115" s="52">
        <v>11</v>
      </c>
      <c r="CH115" s="52"/>
      <c r="CI115" s="52"/>
      <c r="CJ115" s="52"/>
      <c r="CK115" s="52" t="s">
        <v>539</v>
      </c>
      <c r="CL115" s="52"/>
      <c r="CM115" s="52" t="s">
        <v>540</v>
      </c>
      <c r="CN115" s="52"/>
      <c r="CO115" s="52"/>
      <c r="CP115" s="52"/>
      <c r="CQ115" s="52" t="s">
        <v>540</v>
      </c>
      <c r="CR115" s="52"/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</row>
    <row r="116" spans="82:106" ht="16.5" x14ac:dyDescent="0.2">
      <c r="CD116" s="52">
        <v>112</v>
      </c>
      <c r="CE116" s="52">
        <v>2</v>
      </c>
      <c r="CF116" s="54" t="s">
        <v>538</v>
      </c>
      <c r="CG116" s="52">
        <v>12</v>
      </c>
      <c r="CH116" s="52"/>
      <c r="CI116" s="52"/>
      <c r="CJ116" s="52"/>
      <c r="CK116" s="52" t="s">
        <v>539</v>
      </c>
      <c r="CL116" s="52"/>
      <c r="CM116" s="52" t="s">
        <v>540</v>
      </c>
      <c r="CN116" s="52"/>
      <c r="CO116" s="52"/>
      <c r="CP116" s="52"/>
      <c r="CQ116" s="52" t="s">
        <v>540</v>
      </c>
      <c r="CR116" s="52"/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</row>
    <row r="117" spans="82:106" ht="16.5" x14ac:dyDescent="0.2">
      <c r="CD117" s="52">
        <v>113</v>
      </c>
      <c r="CE117" s="52">
        <v>2</v>
      </c>
      <c r="CF117" s="54" t="s">
        <v>538</v>
      </c>
      <c r="CG117" s="52">
        <v>13</v>
      </c>
      <c r="CH117" s="52"/>
      <c r="CI117" s="52"/>
      <c r="CJ117" s="52"/>
      <c r="CK117" s="52" t="s">
        <v>539</v>
      </c>
      <c r="CL117" s="52"/>
      <c r="CM117" s="52" t="s">
        <v>540</v>
      </c>
      <c r="CN117" s="52"/>
      <c r="CO117" s="52"/>
      <c r="CP117" s="52"/>
      <c r="CQ117" s="52" t="s">
        <v>540</v>
      </c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</row>
    <row r="118" spans="82:106" ht="16.5" x14ac:dyDescent="0.2">
      <c r="CD118" s="52">
        <v>114</v>
      </c>
      <c r="CE118" s="52">
        <v>2</v>
      </c>
      <c r="CF118" s="54" t="s">
        <v>538</v>
      </c>
      <c r="CG118" s="52">
        <v>14</v>
      </c>
      <c r="CH118" s="52"/>
      <c r="CI118" s="52"/>
      <c r="CJ118" s="52"/>
      <c r="CK118" s="52" t="s">
        <v>539</v>
      </c>
      <c r="CL118" s="52"/>
      <c r="CM118" s="52" t="s">
        <v>540</v>
      </c>
      <c r="CN118" s="52"/>
      <c r="CO118" s="52"/>
      <c r="CP118" s="52"/>
      <c r="CQ118" s="52" t="s">
        <v>540</v>
      </c>
      <c r="CR118" s="52"/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</row>
    <row r="119" spans="82:106" ht="16.5" x14ac:dyDescent="0.2">
      <c r="CD119" s="52">
        <v>115</v>
      </c>
      <c r="CE119" s="52">
        <v>2</v>
      </c>
      <c r="CF119" s="54" t="s">
        <v>538</v>
      </c>
      <c r="CG119" s="52">
        <v>15</v>
      </c>
      <c r="CH119" s="52"/>
      <c r="CI119" s="52"/>
      <c r="CJ119" s="52"/>
      <c r="CK119" s="52" t="s">
        <v>539</v>
      </c>
      <c r="CL119" s="52"/>
      <c r="CM119" s="52" t="s">
        <v>540</v>
      </c>
      <c r="CN119" s="52"/>
      <c r="CO119" s="52"/>
      <c r="CP119" s="52"/>
      <c r="CQ119" s="52" t="s">
        <v>540</v>
      </c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</row>
    <row r="120" spans="82:106" ht="16.5" x14ac:dyDescent="0.2">
      <c r="CD120" s="52">
        <v>116</v>
      </c>
      <c r="CE120" s="52">
        <v>2</v>
      </c>
      <c r="CF120" s="54" t="s">
        <v>538</v>
      </c>
      <c r="CG120" s="52">
        <v>16</v>
      </c>
      <c r="CH120" s="52"/>
      <c r="CI120" s="52"/>
      <c r="CJ120" s="52"/>
      <c r="CK120" s="52" t="s">
        <v>539</v>
      </c>
      <c r="CL120" s="52"/>
      <c r="CM120" s="52" t="s">
        <v>540</v>
      </c>
      <c r="CN120" s="52"/>
      <c r="CO120" s="52"/>
      <c r="CP120" s="52"/>
      <c r="CQ120" s="52" t="s">
        <v>540</v>
      </c>
      <c r="CR120" s="52"/>
      <c r="CS120" s="52"/>
      <c r="CT120" s="52"/>
      <c r="CU120" s="52"/>
      <c r="CV120" s="52"/>
      <c r="CW120" s="52"/>
      <c r="CX120" s="52"/>
      <c r="CY120" s="52"/>
      <c r="CZ120" s="52"/>
      <c r="DA120" s="52"/>
      <c r="DB120" s="52"/>
    </row>
    <row r="121" spans="82:106" ht="16.5" x14ac:dyDescent="0.2">
      <c r="CD121" s="52">
        <v>117</v>
      </c>
      <c r="CE121" s="52">
        <v>2</v>
      </c>
      <c r="CF121" s="54" t="s">
        <v>538</v>
      </c>
      <c r="CG121" s="52">
        <v>17</v>
      </c>
      <c r="CH121" s="52"/>
      <c r="CI121" s="52"/>
      <c r="CJ121" s="52"/>
      <c r="CK121" s="52" t="s">
        <v>539</v>
      </c>
      <c r="CL121" s="52"/>
      <c r="CM121" s="52" t="s">
        <v>540</v>
      </c>
      <c r="CN121" s="52"/>
      <c r="CO121" s="52"/>
      <c r="CP121" s="52"/>
      <c r="CQ121" s="52" t="s">
        <v>540</v>
      </c>
      <c r="CR121" s="52"/>
      <c r="CS121" s="52"/>
      <c r="CT121" s="52"/>
      <c r="CU121" s="52"/>
      <c r="CV121" s="52"/>
      <c r="CW121" s="52"/>
      <c r="CX121" s="52"/>
      <c r="CY121" s="52"/>
      <c r="CZ121" s="52"/>
      <c r="DA121" s="52"/>
      <c r="DB121" s="52"/>
    </row>
    <row r="122" spans="82:106" ht="16.5" x14ac:dyDescent="0.2">
      <c r="CD122" s="52">
        <v>118</v>
      </c>
      <c r="CE122" s="52">
        <v>2</v>
      </c>
      <c r="CF122" s="54" t="s">
        <v>538</v>
      </c>
      <c r="CG122" s="52">
        <v>18</v>
      </c>
      <c r="CH122" s="52"/>
      <c r="CI122" s="52"/>
      <c r="CJ122" s="52"/>
      <c r="CK122" s="52" t="s">
        <v>539</v>
      </c>
      <c r="CL122" s="52"/>
      <c r="CM122" s="52" t="s">
        <v>540</v>
      </c>
      <c r="CN122" s="52"/>
      <c r="CO122" s="52"/>
      <c r="CP122" s="52"/>
      <c r="CQ122" s="52" t="s">
        <v>540</v>
      </c>
      <c r="CR122" s="52"/>
      <c r="CS122" s="52"/>
      <c r="CT122" s="52"/>
      <c r="CU122" s="52"/>
      <c r="CV122" s="52"/>
      <c r="CW122" s="52"/>
      <c r="CX122" s="52"/>
      <c r="CY122" s="52"/>
      <c r="CZ122" s="52"/>
      <c r="DA122" s="52"/>
      <c r="DB122" s="52"/>
    </row>
    <row r="123" spans="82:106" ht="16.5" x14ac:dyDescent="0.2">
      <c r="CD123" s="52">
        <v>119</v>
      </c>
      <c r="CE123" s="52">
        <v>2</v>
      </c>
      <c r="CF123" s="54" t="s">
        <v>538</v>
      </c>
      <c r="CG123" s="52">
        <v>19</v>
      </c>
      <c r="CH123" s="52"/>
      <c r="CI123" s="52"/>
      <c r="CJ123" s="52"/>
      <c r="CK123" s="52" t="s">
        <v>539</v>
      </c>
      <c r="CL123" s="52"/>
      <c r="CM123" s="52" t="s">
        <v>540</v>
      </c>
      <c r="CN123" s="52"/>
      <c r="CO123" s="52"/>
      <c r="CP123" s="52"/>
      <c r="CQ123" s="52" t="s">
        <v>540</v>
      </c>
      <c r="CR123" s="52"/>
      <c r="CS123" s="52"/>
      <c r="CT123" s="52"/>
      <c r="CU123" s="52"/>
      <c r="CV123" s="52"/>
      <c r="CW123" s="52"/>
      <c r="CX123" s="52"/>
      <c r="CY123" s="52"/>
      <c r="CZ123" s="52"/>
      <c r="DA123" s="52"/>
      <c r="DB123" s="52"/>
    </row>
    <row r="124" spans="82:106" ht="16.5" x14ac:dyDescent="0.2">
      <c r="CD124" s="52">
        <v>120</v>
      </c>
      <c r="CE124" s="52">
        <v>2</v>
      </c>
      <c r="CF124" s="54" t="s">
        <v>538</v>
      </c>
      <c r="CG124" s="52">
        <v>20</v>
      </c>
      <c r="CH124" s="52"/>
      <c r="CI124" s="52"/>
      <c r="CJ124" s="52"/>
      <c r="CK124" s="52" t="s">
        <v>539</v>
      </c>
      <c r="CL124" s="52"/>
      <c r="CM124" s="52" t="s">
        <v>540</v>
      </c>
      <c r="CN124" s="52"/>
      <c r="CO124" s="52"/>
      <c r="CP124" s="52"/>
      <c r="CQ124" s="52" t="s">
        <v>540</v>
      </c>
      <c r="CR124" s="52"/>
      <c r="CS124" s="52"/>
      <c r="CT124" s="52"/>
      <c r="CU124" s="52"/>
      <c r="CV124" s="52"/>
      <c r="CW124" s="52"/>
      <c r="CX124" s="52"/>
      <c r="CY124" s="52"/>
      <c r="CZ124" s="52"/>
      <c r="DA124" s="52"/>
      <c r="DB124" s="52"/>
    </row>
    <row r="125" spans="82:106" ht="16.5" x14ac:dyDescent="0.2">
      <c r="CD125" s="52">
        <v>121</v>
      </c>
      <c r="CE125" s="52">
        <v>2</v>
      </c>
      <c r="CF125" s="54" t="s">
        <v>538</v>
      </c>
      <c r="CG125" s="52">
        <v>21</v>
      </c>
      <c r="CH125" s="52"/>
      <c r="CI125" s="52"/>
      <c r="CJ125" s="52"/>
      <c r="CK125" s="52" t="s">
        <v>539</v>
      </c>
      <c r="CL125" s="52"/>
      <c r="CM125" s="52" t="s">
        <v>540</v>
      </c>
      <c r="CN125" s="52"/>
      <c r="CO125" s="52"/>
      <c r="CP125" s="52"/>
      <c r="CQ125" s="52" t="s">
        <v>540</v>
      </c>
      <c r="CR125" s="52"/>
      <c r="CS125" s="52"/>
      <c r="CT125" s="52"/>
      <c r="CU125" s="52"/>
      <c r="CV125" s="52"/>
      <c r="CW125" s="52"/>
      <c r="CX125" s="52"/>
      <c r="CY125" s="52"/>
      <c r="CZ125" s="52"/>
      <c r="DA125" s="52"/>
      <c r="DB125" s="52"/>
    </row>
    <row r="126" spans="82:106" ht="16.5" x14ac:dyDescent="0.2">
      <c r="CD126" s="52">
        <v>122</v>
      </c>
      <c r="CE126" s="52">
        <v>2</v>
      </c>
      <c r="CF126" s="54" t="s">
        <v>538</v>
      </c>
      <c r="CG126" s="52">
        <v>22</v>
      </c>
      <c r="CH126" s="52"/>
      <c r="CI126" s="52"/>
      <c r="CJ126" s="52"/>
      <c r="CK126" s="52" t="s">
        <v>539</v>
      </c>
      <c r="CL126" s="52"/>
      <c r="CM126" s="52" t="s">
        <v>540</v>
      </c>
      <c r="CN126" s="52"/>
      <c r="CO126" s="52"/>
      <c r="CP126" s="52"/>
      <c r="CQ126" s="52" t="s">
        <v>540</v>
      </c>
      <c r="CR126" s="52"/>
      <c r="CS126" s="52"/>
      <c r="CT126" s="52"/>
      <c r="CU126" s="52"/>
      <c r="CV126" s="52"/>
      <c r="CW126" s="52"/>
      <c r="CX126" s="52"/>
      <c r="CY126" s="52"/>
      <c r="CZ126" s="52"/>
      <c r="DA126" s="52"/>
      <c r="DB126" s="52"/>
    </row>
    <row r="127" spans="82:106" ht="16.5" x14ac:dyDescent="0.2">
      <c r="CD127" s="52">
        <v>123</v>
      </c>
      <c r="CE127" s="52">
        <v>2</v>
      </c>
      <c r="CF127" s="54" t="s">
        <v>538</v>
      </c>
      <c r="CG127" s="52">
        <v>23</v>
      </c>
      <c r="CH127" s="52"/>
      <c r="CI127" s="52"/>
      <c r="CJ127" s="52"/>
      <c r="CK127" s="52" t="s">
        <v>539</v>
      </c>
      <c r="CL127" s="52"/>
      <c r="CM127" s="52" t="s">
        <v>540</v>
      </c>
      <c r="CN127" s="52"/>
      <c r="CO127" s="52"/>
      <c r="CP127" s="52"/>
      <c r="CQ127" s="52" t="s">
        <v>540</v>
      </c>
      <c r="CR127" s="52"/>
      <c r="CS127" s="52"/>
      <c r="CT127" s="52"/>
      <c r="CU127" s="52"/>
      <c r="CV127" s="52"/>
      <c r="CW127" s="52"/>
      <c r="CX127" s="52"/>
      <c r="CY127" s="52"/>
      <c r="CZ127" s="52"/>
      <c r="DA127" s="52"/>
      <c r="DB127" s="52"/>
    </row>
    <row r="128" spans="82:106" ht="16.5" x14ac:dyDescent="0.2">
      <c r="CD128" s="52">
        <v>124</v>
      </c>
      <c r="CE128" s="52">
        <v>2</v>
      </c>
      <c r="CF128" s="54" t="s">
        <v>538</v>
      </c>
      <c r="CG128" s="52">
        <v>24</v>
      </c>
      <c r="CH128" s="52"/>
      <c r="CI128" s="52"/>
      <c r="CJ128" s="52"/>
      <c r="CK128" s="52" t="s">
        <v>539</v>
      </c>
      <c r="CL128" s="52"/>
      <c r="CM128" s="52" t="s">
        <v>540</v>
      </c>
      <c r="CN128" s="52"/>
      <c r="CO128" s="52"/>
      <c r="CP128" s="52"/>
      <c r="CQ128" s="52" t="s">
        <v>540</v>
      </c>
      <c r="CR128" s="52"/>
      <c r="CS128" s="52"/>
      <c r="CT128" s="52"/>
      <c r="CU128" s="52"/>
      <c r="CV128" s="52"/>
      <c r="CW128" s="52"/>
      <c r="CX128" s="52"/>
      <c r="CY128" s="52"/>
      <c r="CZ128" s="52"/>
      <c r="DA128" s="52"/>
      <c r="DB128" s="52"/>
    </row>
    <row r="129" spans="82:106" ht="16.5" x14ac:dyDescent="0.2">
      <c r="CD129" s="52">
        <v>125</v>
      </c>
      <c r="CE129" s="52">
        <v>2</v>
      </c>
      <c r="CF129" s="54" t="s">
        <v>538</v>
      </c>
      <c r="CG129" s="52">
        <v>25</v>
      </c>
      <c r="CH129" s="52"/>
      <c r="CI129" s="52"/>
      <c r="CJ129" s="52"/>
      <c r="CK129" s="52" t="s">
        <v>539</v>
      </c>
      <c r="CL129" s="52"/>
      <c r="CM129" s="52" t="s">
        <v>540</v>
      </c>
      <c r="CN129" s="52"/>
      <c r="CO129" s="52"/>
      <c r="CP129" s="52"/>
      <c r="CQ129" s="52" t="s">
        <v>540</v>
      </c>
      <c r="CR129" s="52"/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</row>
    <row r="130" spans="82:106" ht="16.5" x14ac:dyDescent="0.2">
      <c r="CD130" s="52">
        <v>126</v>
      </c>
      <c r="CE130" s="52">
        <v>2</v>
      </c>
      <c r="CF130" s="54" t="s">
        <v>538</v>
      </c>
      <c r="CG130" s="52">
        <v>26</v>
      </c>
      <c r="CH130" s="52"/>
      <c r="CI130" s="52"/>
      <c r="CJ130" s="52"/>
      <c r="CK130" s="52" t="s">
        <v>539</v>
      </c>
      <c r="CL130" s="52"/>
      <c r="CM130" s="52" t="s">
        <v>540</v>
      </c>
      <c r="CN130" s="52"/>
      <c r="CO130" s="52"/>
      <c r="CP130" s="52"/>
      <c r="CQ130" s="52" t="s">
        <v>540</v>
      </c>
      <c r="CR130" s="52"/>
      <c r="CS130" s="52"/>
      <c r="CT130" s="52"/>
      <c r="CU130" s="52"/>
      <c r="CV130" s="52"/>
      <c r="CW130" s="52"/>
      <c r="CX130" s="52"/>
      <c r="CY130" s="52"/>
      <c r="CZ130" s="52"/>
      <c r="DA130" s="52"/>
      <c r="DB130" s="52"/>
    </row>
    <row r="131" spans="82:106" ht="16.5" x14ac:dyDescent="0.2">
      <c r="CD131" s="52">
        <v>127</v>
      </c>
      <c r="CE131" s="52">
        <v>2</v>
      </c>
      <c r="CF131" s="54" t="s">
        <v>538</v>
      </c>
      <c r="CG131" s="52">
        <v>27</v>
      </c>
      <c r="CH131" s="52"/>
      <c r="CI131" s="52"/>
      <c r="CJ131" s="52"/>
      <c r="CK131" s="52" t="s">
        <v>539</v>
      </c>
      <c r="CL131" s="52"/>
      <c r="CM131" s="52" t="s">
        <v>540</v>
      </c>
      <c r="CN131" s="52"/>
      <c r="CO131" s="52"/>
      <c r="CP131" s="52"/>
      <c r="CQ131" s="52" t="s">
        <v>540</v>
      </c>
      <c r="CR131" s="52"/>
      <c r="CS131" s="52"/>
      <c r="CT131" s="52"/>
      <c r="CU131" s="52"/>
      <c r="CV131" s="52"/>
      <c r="CW131" s="52"/>
      <c r="CX131" s="52"/>
      <c r="CY131" s="52"/>
      <c r="CZ131" s="52"/>
      <c r="DA131" s="52"/>
      <c r="DB131" s="52"/>
    </row>
    <row r="132" spans="82:106" ht="16.5" x14ac:dyDescent="0.2">
      <c r="CD132" s="52">
        <v>128</v>
      </c>
      <c r="CE132" s="52">
        <v>2</v>
      </c>
      <c r="CF132" s="54" t="s">
        <v>538</v>
      </c>
      <c r="CG132" s="52">
        <v>28</v>
      </c>
      <c r="CH132" s="52"/>
      <c r="CI132" s="52"/>
      <c r="CJ132" s="52"/>
      <c r="CK132" s="52" t="s">
        <v>539</v>
      </c>
      <c r="CL132" s="52"/>
      <c r="CM132" s="52" t="s">
        <v>540</v>
      </c>
      <c r="CN132" s="52"/>
      <c r="CO132" s="52"/>
      <c r="CP132" s="52"/>
      <c r="CQ132" s="52" t="s">
        <v>540</v>
      </c>
      <c r="CR132" s="52"/>
      <c r="CS132" s="52"/>
      <c r="CT132" s="52"/>
      <c r="CU132" s="52"/>
      <c r="CV132" s="52"/>
      <c r="CW132" s="52"/>
      <c r="CX132" s="52"/>
      <c r="CY132" s="52"/>
      <c r="CZ132" s="52"/>
      <c r="DA132" s="52"/>
      <c r="DB132" s="52"/>
    </row>
    <row r="133" spans="82:106" ht="16.5" x14ac:dyDescent="0.2">
      <c r="CD133" s="52">
        <v>129</v>
      </c>
      <c r="CE133" s="52">
        <v>2</v>
      </c>
      <c r="CF133" s="54" t="s">
        <v>538</v>
      </c>
      <c r="CG133" s="52">
        <v>29</v>
      </c>
      <c r="CH133" s="52"/>
      <c r="CI133" s="52"/>
      <c r="CJ133" s="52"/>
      <c r="CK133" s="52" t="s">
        <v>539</v>
      </c>
      <c r="CL133" s="52"/>
      <c r="CM133" s="52" t="s">
        <v>540</v>
      </c>
      <c r="CN133" s="52"/>
      <c r="CO133" s="52"/>
      <c r="CP133" s="52"/>
      <c r="CQ133" s="52" t="s">
        <v>540</v>
      </c>
      <c r="CR133" s="52"/>
      <c r="CS133" s="52"/>
      <c r="CT133" s="52"/>
      <c r="CU133" s="52"/>
      <c r="CV133" s="52"/>
      <c r="CW133" s="52"/>
      <c r="CX133" s="52"/>
      <c r="CY133" s="52"/>
      <c r="CZ133" s="52"/>
      <c r="DA133" s="52"/>
      <c r="DB133" s="52"/>
    </row>
    <row r="134" spans="82:106" ht="16.5" x14ac:dyDescent="0.2">
      <c r="CD134" s="52">
        <v>130</v>
      </c>
      <c r="CE134" s="52">
        <v>2</v>
      </c>
      <c r="CF134" s="54" t="s">
        <v>538</v>
      </c>
      <c r="CG134" s="52">
        <v>30</v>
      </c>
      <c r="CH134" s="52"/>
      <c r="CI134" s="52"/>
      <c r="CJ134" s="52"/>
      <c r="CK134" s="52" t="s">
        <v>539</v>
      </c>
      <c r="CL134" s="52"/>
      <c r="CM134" s="52" t="s">
        <v>540</v>
      </c>
      <c r="CN134" s="52"/>
      <c r="CO134" s="52"/>
      <c r="CP134" s="52"/>
      <c r="CQ134" s="52" t="s">
        <v>540</v>
      </c>
      <c r="CR134" s="52"/>
      <c r="CS134" s="52"/>
      <c r="CT134" s="52"/>
      <c r="CU134" s="52"/>
      <c r="CV134" s="52"/>
      <c r="CW134" s="52"/>
      <c r="CX134" s="52"/>
      <c r="CY134" s="52"/>
      <c r="CZ134" s="52"/>
      <c r="DA134" s="52"/>
      <c r="DB134" s="52"/>
    </row>
    <row r="135" spans="82:106" ht="16.5" x14ac:dyDescent="0.2">
      <c r="CD135" s="52">
        <v>131</v>
      </c>
      <c r="CE135" s="52">
        <v>2</v>
      </c>
      <c r="CF135" s="54" t="s">
        <v>538</v>
      </c>
      <c r="CG135" s="52">
        <v>31</v>
      </c>
      <c r="CH135" s="52"/>
      <c r="CI135" s="52"/>
      <c r="CJ135" s="52"/>
      <c r="CK135" s="52" t="s">
        <v>539</v>
      </c>
      <c r="CL135" s="52"/>
      <c r="CM135" s="52" t="s">
        <v>540</v>
      </c>
      <c r="CN135" s="52"/>
      <c r="CO135" s="52"/>
      <c r="CP135" s="52"/>
      <c r="CQ135" s="52" t="s">
        <v>540</v>
      </c>
      <c r="CR135" s="52"/>
      <c r="CS135" s="52"/>
      <c r="CT135" s="52"/>
      <c r="CU135" s="52"/>
      <c r="CV135" s="52"/>
      <c r="CW135" s="52"/>
      <c r="CX135" s="52"/>
      <c r="CY135" s="52"/>
      <c r="CZ135" s="52"/>
      <c r="DA135" s="52"/>
      <c r="DB135" s="52"/>
    </row>
    <row r="136" spans="82:106" ht="16.5" x14ac:dyDescent="0.2">
      <c r="CD136" s="52">
        <v>132</v>
      </c>
      <c r="CE136" s="52">
        <v>2</v>
      </c>
      <c r="CF136" s="54" t="s">
        <v>538</v>
      </c>
      <c r="CG136" s="52">
        <v>32</v>
      </c>
      <c r="CH136" s="52"/>
      <c r="CI136" s="52"/>
      <c r="CJ136" s="52"/>
      <c r="CK136" s="52" t="s">
        <v>539</v>
      </c>
      <c r="CL136" s="52"/>
      <c r="CM136" s="52" t="s">
        <v>540</v>
      </c>
      <c r="CN136" s="52"/>
      <c r="CO136" s="52"/>
      <c r="CP136" s="52"/>
      <c r="CQ136" s="52" t="s">
        <v>540</v>
      </c>
      <c r="CR136" s="52"/>
      <c r="CS136" s="52"/>
      <c r="CT136" s="52"/>
      <c r="CU136" s="52"/>
      <c r="CV136" s="52"/>
      <c r="CW136" s="52"/>
      <c r="CX136" s="52"/>
      <c r="CY136" s="52"/>
      <c r="CZ136" s="52"/>
      <c r="DA136" s="52"/>
      <c r="DB136" s="52"/>
    </row>
    <row r="137" spans="82:106" ht="16.5" x14ac:dyDescent="0.2">
      <c r="CD137" s="52">
        <v>133</v>
      </c>
      <c r="CE137" s="52">
        <v>2</v>
      </c>
      <c r="CF137" s="54" t="s">
        <v>538</v>
      </c>
      <c r="CG137" s="52">
        <v>33</v>
      </c>
      <c r="CH137" s="52"/>
      <c r="CI137" s="52"/>
      <c r="CJ137" s="52"/>
      <c r="CK137" s="52" t="s">
        <v>539</v>
      </c>
      <c r="CL137" s="52"/>
      <c r="CM137" s="52" t="s">
        <v>540</v>
      </c>
      <c r="CN137" s="52"/>
      <c r="CO137" s="52"/>
      <c r="CP137" s="52"/>
      <c r="CQ137" s="52" t="s">
        <v>540</v>
      </c>
      <c r="CR137" s="52"/>
      <c r="CS137" s="52"/>
      <c r="CT137" s="52"/>
      <c r="CU137" s="52"/>
      <c r="CV137" s="52"/>
      <c r="CW137" s="52"/>
      <c r="CX137" s="52"/>
      <c r="CY137" s="52"/>
      <c r="CZ137" s="52"/>
      <c r="DA137" s="52"/>
      <c r="DB137" s="52"/>
    </row>
    <row r="138" spans="82:106" ht="16.5" x14ac:dyDescent="0.2">
      <c r="CD138" s="52">
        <v>134</v>
      </c>
      <c r="CE138" s="52">
        <v>2</v>
      </c>
      <c r="CF138" s="54" t="s">
        <v>538</v>
      </c>
      <c r="CG138" s="52">
        <v>34</v>
      </c>
      <c r="CH138" s="52"/>
      <c r="CI138" s="52"/>
      <c r="CJ138" s="52"/>
      <c r="CK138" s="52" t="s">
        <v>539</v>
      </c>
      <c r="CL138" s="52"/>
      <c r="CM138" s="52" t="s">
        <v>540</v>
      </c>
      <c r="CN138" s="52"/>
      <c r="CO138" s="52"/>
      <c r="CP138" s="52"/>
      <c r="CQ138" s="52" t="s">
        <v>540</v>
      </c>
      <c r="CR138" s="52"/>
      <c r="CS138" s="52"/>
      <c r="CT138" s="52"/>
      <c r="CU138" s="52"/>
      <c r="CV138" s="52"/>
      <c r="CW138" s="52"/>
      <c r="CX138" s="52"/>
      <c r="CY138" s="52"/>
      <c r="CZ138" s="52"/>
      <c r="DA138" s="52"/>
      <c r="DB138" s="52"/>
    </row>
    <row r="139" spans="82:106" ht="16.5" x14ac:dyDescent="0.2">
      <c r="CD139" s="52">
        <v>135</v>
      </c>
      <c r="CE139" s="52">
        <v>2</v>
      </c>
      <c r="CF139" s="54" t="s">
        <v>538</v>
      </c>
      <c r="CG139" s="52">
        <v>35</v>
      </c>
      <c r="CH139" s="52"/>
      <c r="CI139" s="52"/>
      <c r="CJ139" s="52"/>
      <c r="CK139" s="52" t="s">
        <v>539</v>
      </c>
      <c r="CL139" s="52"/>
      <c r="CM139" s="52" t="s">
        <v>540</v>
      </c>
      <c r="CN139" s="52"/>
      <c r="CO139" s="52"/>
      <c r="CP139" s="52"/>
      <c r="CQ139" s="52" t="s">
        <v>540</v>
      </c>
      <c r="CR139" s="52"/>
      <c r="CS139" s="52"/>
      <c r="CT139" s="52"/>
      <c r="CU139" s="52"/>
      <c r="CV139" s="52"/>
      <c r="CW139" s="52"/>
      <c r="CX139" s="52"/>
      <c r="CY139" s="52"/>
      <c r="CZ139" s="52"/>
      <c r="DA139" s="52"/>
      <c r="DB139" s="52"/>
    </row>
    <row r="140" spans="82:106" ht="16.5" x14ac:dyDescent="0.2">
      <c r="CD140" s="52">
        <v>136</v>
      </c>
      <c r="CE140" s="52">
        <v>2</v>
      </c>
      <c r="CF140" s="54" t="s">
        <v>538</v>
      </c>
      <c r="CG140" s="52">
        <v>36</v>
      </c>
      <c r="CH140" s="52"/>
      <c r="CI140" s="52"/>
      <c r="CJ140" s="52"/>
      <c r="CK140" s="52" t="s">
        <v>539</v>
      </c>
      <c r="CL140" s="52"/>
      <c r="CM140" s="52" t="s">
        <v>540</v>
      </c>
      <c r="CN140" s="52"/>
      <c r="CO140" s="52"/>
      <c r="CP140" s="52"/>
      <c r="CQ140" s="52" t="s">
        <v>540</v>
      </c>
      <c r="CR140" s="52"/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</row>
    <row r="141" spans="82:106" ht="16.5" x14ac:dyDescent="0.2">
      <c r="CD141" s="52">
        <v>137</v>
      </c>
      <c r="CE141" s="52">
        <v>2</v>
      </c>
      <c r="CF141" s="54" t="s">
        <v>538</v>
      </c>
      <c r="CG141" s="52">
        <v>37</v>
      </c>
      <c r="CH141" s="52"/>
      <c r="CI141" s="52"/>
      <c r="CJ141" s="52"/>
      <c r="CK141" s="52" t="s">
        <v>539</v>
      </c>
      <c r="CL141" s="52"/>
      <c r="CM141" s="52" t="s">
        <v>540</v>
      </c>
      <c r="CN141" s="52"/>
      <c r="CO141" s="52"/>
      <c r="CP141" s="52"/>
      <c r="CQ141" s="52" t="s">
        <v>540</v>
      </c>
      <c r="CR141" s="52"/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</row>
    <row r="142" spans="82:106" ht="16.5" x14ac:dyDescent="0.2">
      <c r="CD142" s="52">
        <v>138</v>
      </c>
      <c r="CE142" s="52">
        <v>2</v>
      </c>
      <c r="CF142" s="54" t="s">
        <v>538</v>
      </c>
      <c r="CG142" s="52">
        <v>38</v>
      </c>
      <c r="CH142" s="52"/>
      <c r="CI142" s="52"/>
      <c r="CJ142" s="52"/>
      <c r="CK142" s="52" t="s">
        <v>539</v>
      </c>
      <c r="CL142" s="52"/>
      <c r="CM142" s="52" t="s">
        <v>540</v>
      </c>
      <c r="CN142" s="52"/>
      <c r="CO142" s="52"/>
      <c r="CP142" s="52"/>
      <c r="CQ142" s="52" t="s">
        <v>540</v>
      </c>
      <c r="CR142" s="52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</row>
    <row r="143" spans="82:106" ht="16.5" x14ac:dyDescent="0.2">
      <c r="CD143" s="52">
        <v>139</v>
      </c>
      <c r="CE143" s="52">
        <v>2</v>
      </c>
      <c r="CF143" s="54" t="s">
        <v>538</v>
      </c>
      <c r="CG143" s="52">
        <v>39</v>
      </c>
      <c r="CH143" s="52"/>
      <c r="CI143" s="52"/>
      <c r="CJ143" s="52"/>
      <c r="CK143" s="52" t="s">
        <v>539</v>
      </c>
      <c r="CL143" s="52"/>
      <c r="CM143" s="52" t="s">
        <v>540</v>
      </c>
      <c r="CN143" s="52"/>
      <c r="CO143" s="52"/>
      <c r="CP143" s="52"/>
      <c r="CQ143" s="52" t="s">
        <v>540</v>
      </c>
      <c r="CR143" s="52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</row>
    <row r="144" spans="82:106" ht="16.5" x14ac:dyDescent="0.2">
      <c r="CD144" s="52">
        <v>140</v>
      </c>
      <c r="CE144" s="52">
        <v>2</v>
      </c>
      <c r="CF144" s="54" t="s">
        <v>538</v>
      </c>
      <c r="CG144" s="52">
        <v>40</v>
      </c>
      <c r="CH144" s="52"/>
      <c r="CI144" s="52"/>
      <c r="CJ144" s="52"/>
      <c r="CK144" s="52" t="s">
        <v>539</v>
      </c>
      <c r="CL144" s="52"/>
      <c r="CM144" s="52" t="s">
        <v>540</v>
      </c>
      <c r="CN144" s="52"/>
      <c r="CO144" s="52"/>
      <c r="CP144" s="52"/>
      <c r="CQ144" s="52" t="s">
        <v>540</v>
      </c>
      <c r="CR144" s="52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</row>
    <row r="145" spans="82:106" ht="16.5" x14ac:dyDescent="0.2">
      <c r="CD145" s="52">
        <v>141</v>
      </c>
      <c r="CE145" s="52">
        <v>2</v>
      </c>
      <c r="CF145" s="54" t="s">
        <v>538</v>
      </c>
      <c r="CG145" s="52">
        <v>41</v>
      </c>
      <c r="CH145" s="52"/>
      <c r="CI145" s="52"/>
      <c r="CJ145" s="52"/>
      <c r="CK145" s="52" t="s">
        <v>539</v>
      </c>
      <c r="CL145" s="52"/>
      <c r="CM145" s="52" t="s">
        <v>540</v>
      </c>
      <c r="CN145" s="52"/>
      <c r="CO145" s="52"/>
      <c r="CP145" s="52"/>
      <c r="CQ145" s="52" t="s">
        <v>540</v>
      </c>
      <c r="CR145" s="52"/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</row>
    <row r="146" spans="82:106" ht="16.5" x14ac:dyDescent="0.2">
      <c r="CD146" s="52">
        <v>142</v>
      </c>
      <c r="CE146" s="52">
        <v>2</v>
      </c>
      <c r="CF146" s="54" t="s">
        <v>538</v>
      </c>
      <c r="CG146" s="52">
        <v>42</v>
      </c>
      <c r="CH146" s="52"/>
      <c r="CI146" s="52"/>
      <c r="CJ146" s="52"/>
      <c r="CK146" s="52" t="s">
        <v>539</v>
      </c>
      <c r="CL146" s="52"/>
      <c r="CM146" s="52" t="s">
        <v>540</v>
      </c>
      <c r="CN146" s="52"/>
      <c r="CO146" s="52"/>
      <c r="CP146" s="52"/>
      <c r="CQ146" s="52" t="s">
        <v>540</v>
      </c>
      <c r="CR146" s="52"/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</row>
    <row r="147" spans="82:106" ht="16.5" x14ac:dyDescent="0.2">
      <c r="CD147" s="52">
        <v>143</v>
      </c>
      <c r="CE147" s="52">
        <v>2</v>
      </c>
      <c r="CF147" s="54" t="s">
        <v>538</v>
      </c>
      <c r="CG147" s="52">
        <v>43</v>
      </c>
      <c r="CH147" s="52"/>
      <c r="CI147" s="52"/>
      <c r="CJ147" s="52"/>
      <c r="CK147" s="52" t="s">
        <v>539</v>
      </c>
      <c r="CL147" s="52"/>
      <c r="CM147" s="52" t="s">
        <v>540</v>
      </c>
      <c r="CN147" s="52"/>
      <c r="CO147" s="52"/>
      <c r="CP147" s="52"/>
      <c r="CQ147" s="52" t="s">
        <v>540</v>
      </c>
      <c r="CR147" s="52"/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</row>
    <row r="148" spans="82:106" ht="16.5" x14ac:dyDescent="0.2">
      <c r="CD148" s="52">
        <v>144</v>
      </c>
      <c r="CE148" s="52">
        <v>2</v>
      </c>
      <c r="CF148" s="54" t="s">
        <v>538</v>
      </c>
      <c r="CG148" s="52">
        <v>44</v>
      </c>
      <c r="CH148" s="52"/>
      <c r="CI148" s="52"/>
      <c r="CJ148" s="52"/>
      <c r="CK148" s="52" t="s">
        <v>539</v>
      </c>
      <c r="CL148" s="52"/>
      <c r="CM148" s="52" t="s">
        <v>540</v>
      </c>
      <c r="CN148" s="52"/>
      <c r="CO148" s="52"/>
      <c r="CP148" s="52"/>
      <c r="CQ148" s="52" t="s">
        <v>540</v>
      </c>
      <c r="CR148" s="52"/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</row>
    <row r="149" spans="82:106" ht="16.5" x14ac:dyDescent="0.2">
      <c r="CD149" s="52">
        <v>145</v>
      </c>
      <c r="CE149" s="52">
        <v>2</v>
      </c>
      <c r="CF149" s="54" t="s">
        <v>538</v>
      </c>
      <c r="CG149" s="52">
        <v>45</v>
      </c>
      <c r="CH149" s="52"/>
      <c r="CI149" s="52"/>
      <c r="CJ149" s="52"/>
      <c r="CK149" s="52" t="s">
        <v>539</v>
      </c>
      <c r="CL149" s="52"/>
      <c r="CM149" s="52" t="s">
        <v>540</v>
      </c>
      <c r="CN149" s="52"/>
      <c r="CO149" s="52"/>
      <c r="CP149" s="52"/>
      <c r="CQ149" s="52" t="s">
        <v>540</v>
      </c>
      <c r="CR149" s="52"/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</row>
    <row r="150" spans="82:106" ht="16.5" x14ac:dyDescent="0.2">
      <c r="CD150" s="52">
        <v>146</v>
      </c>
      <c r="CE150" s="52">
        <v>2</v>
      </c>
      <c r="CF150" s="54" t="s">
        <v>538</v>
      </c>
      <c r="CG150" s="52">
        <v>46</v>
      </c>
      <c r="CH150" s="52"/>
      <c r="CI150" s="52"/>
      <c r="CJ150" s="52"/>
      <c r="CK150" s="52" t="s">
        <v>539</v>
      </c>
      <c r="CL150" s="52"/>
      <c r="CM150" s="52" t="s">
        <v>540</v>
      </c>
      <c r="CN150" s="52"/>
      <c r="CO150" s="52"/>
      <c r="CP150" s="52"/>
      <c r="CQ150" s="52" t="s">
        <v>540</v>
      </c>
      <c r="CR150" s="52"/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</row>
    <row r="151" spans="82:106" ht="16.5" x14ac:dyDescent="0.2">
      <c r="CD151" s="52">
        <v>147</v>
      </c>
      <c r="CE151" s="52">
        <v>2</v>
      </c>
      <c r="CF151" s="54" t="s">
        <v>538</v>
      </c>
      <c r="CG151" s="52">
        <v>47</v>
      </c>
      <c r="CH151" s="52"/>
      <c r="CI151" s="52"/>
      <c r="CJ151" s="52"/>
      <c r="CK151" s="52" t="s">
        <v>539</v>
      </c>
      <c r="CL151" s="52"/>
      <c r="CM151" s="52" t="s">
        <v>540</v>
      </c>
      <c r="CN151" s="52"/>
      <c r="CO151" s="52"/>
      <c r="CP151" s="52"/>
      <c r="CQ151" s="52" t="s">
        <v>540</v>
      </c>
      <c r="CR151" s="52"/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</row>
    <row r="152" spans="82:106" ht="16.5" x14ac:dyDescent="0.2">
      <c r="CD152" s="52">
        <v>148</v>
      </c>
      <c r="CE152" s="52">
        <v>2</v>
      </c>
      <c r="CF152" s="54" t="s">
        <v>538</v>
      </c>
      <c r="CG152" s="52">
        <v>48</v>
      </c>
      <c r="CH152" s="52"/>
      <c r="CI152" s="52"/>
      <c r="CJ152" s="52"/>
      <c r="CK152" s="52" t="s">
        <v>539</v>
      </c>
      <c r="CL152" s="52"/>
      <c r="CM152" s="52" t="s">
        <v>540</v>
      </c>
      <c r="CN152" s="52"/>
      <c r="CO152" s="52"/>
      <c r="CP152" s="52"/>
      <c r="CQ152" s="52" t="s">
        <v>540</v>
      </c>
      <c r="CR152" s="52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</row>
    <row r="153" spans="82:106" ht="16.5" x14ac:dyDescent="0.2">
      <c r="CD153" s="52">
        <v>149</v>
      </c>
      <c r="CE153" s="52">
        <v>2</v>
      </c>
      <c r="CF153" s="54" t="s">
        <v>538</v>
      </c>
      <c r="CG153" s="52">
        <v>49</v>
      </c>
      <c r="CH153" s="52"/>
      <c r="CI153" s="52"/>
      <c r="CJ153" s="52"/>
      <c r="CK153" s="52" t="s">
        <v>539</v>
      </c>
      <c r="CL153" s="52"/>
      <c r="CM153" s="52" t="s">
        <v>540</v>
      </c>
      <c r="CN153" s="52"/>
      <c r="CO153" s="52"/>
      <c r="CP153" s="52"/>
      <c r="CQ153" s="52" t="s">
        <v>540</v>
      </c>
      <c r="CR153" s="52"/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</row>
    <row r="154" spans="82:106" ht="16.5" x14ac:dyDescent="0.2">
      <c r="CD154" s="52">
        <v>150</v>
      </c>
      <c r="CE154" s="52">
        <v>2</v>
      </c>
      <c r="CF154" s="54" t="s">
        <v>538</v>
      </c>
      <c r="CG154" s="52">
        <v>50</v>
      </c>
      <c r="CH154" s="52"/>
      <c r="CI154" s="52"/>
      <c r="CJ154" s="52"/>
      <c r="CK154" s="52" t="s">
        <v>539</v>
      </c>
      <c r="CL154" s="52"/>
      <c r="CM154" s="52" t="s">
        <v>540</v>
      </c>
      <c r="CN154" s="52"/>
      <c r="CO154" s="52"/>
      <c r="CP154" s="52"/>
      <c r="CQ154" s="52" t="s">
        <v>540</v>
      </c>
      <c r="CR154" s="52"/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</row>
    <row r="155" spans="82:106" ht="16.5" x14ac:dyDescent="0.2">
      <c r="CD155" s="52">
        <v>151</v>
      </c>
      <c r="CE155" s="52">
        <v>2</v>
      </c>
      <c r="CF155" s="54" t="s">
        <v>538</v>
      </c>
      <c r="CG155" s="52">
        <v>51</v>
      </c>
      <c r="CH155" s="52"/>
      <c r="CI155" s="52"/>
      <c r="CJ155" s="52"/>
      <c r="CK155" s="52" t="s">
        <v>539</v>
      </c>
      <c r="CL155" s="52"/>
      <c r="CM155" s="52" t="s">
        <v>540</v>
      </c>
      <c r="CN155" s="52"/>
      <c r="CO155" s="52"/>
      <c r="CP155" s="52"/>
      <c r="CQ155" s="52" t="s">
        <v>540</v>
      </c>
      <c r="CR155" s="52"/>
      <c r="CS155" s="52"/>
      <c r="CT155" s="52"/>
      <c r="CU155" s="52"/>
      <c r="CV155" s="52"/>
      <c r="CW155" s="52"/>
      <c r="CX155" s="52"/>
      <c r="CY155" s="52"/>
      <c r="CZ155" s="52"/>
      <c r="DA155" s="52"/>
      <c r="DB155" s="52"/>
    </row>
    <row r="156" spans="82:106" ht="16.5" x14ac:dyDescent="0.2">
      <c r="CD156" s="52">
        <v>152</v>
      </c>
      <c r="CE156" s="52">
        <v>2</v>
      </c>
      <c r="CF156" s="54" t="s">
        <v>538</v>
      </c>
      <c r="CG156" s="52">
        <v>52</v>
      </c>
      <c r="CH156" s="52"/>
      <c r="CI156" s="52"/>
      <c r="CJ156" s="52"/>
      <c r="CK156" s="52" t="s">
        <v>539</v>
      </c>
      <c r="CL156" s="52"/>
      <c r="CM156" s="52" t="s">
        <v>540</v>
      </c>
      <c r="CN156" s="52"/>
      <c r="CO156" s="52"/>
      <c r="CP156" s="52"/>
      <c r="CQ156" s="52" t="s">
        <v>540</v>
      </c>
      <c r="CR156" s="52"/>
      <c r="CS156" s="52"/>
      <c r="CT156" s="52"/>
      <c r="CU156" s="52"/>
      <c r="CV156" s="52"/>
      <c r="CW156" s="52"/>
      <c r="CX156" s="52"/>
      <c r="CY156" s="52"/>
      <c r="CZ156" s="52"/>
      <c r="DA156" s="52"/>
      <c r="DB156" s="52"/>
    </row>
    <row r="157" spans="82:106" ht="16.5" x14ac:dyDescent="0.2">
      <c r="CD157" s="52">
        <v>153</v>
      </c>
      <c r="CE157" s="52">
        <v>2</v>
      </c>
      <c r="CF157" s="54" t="s">
        <v>538</v>
      </c>
      <c r="CG157" s="52">
        <v>53</v>
      </c>
      <c r="CH157" s="52"/>
      <c r="CI157" s="52"/>
      <c r="CJ157" s="52"/>
      <c r="CK157" s="52" t="s">
        <v>539</v>
      </c>
      <c r="CL157" s="52"/>
      <c r="CM157" s="52" t="s">
        <v>540</v>
      </c>
      <c r="CN157" s="52"/>
      <c r="CO157" s="52"/>
      <c r="CP157" s="52"/>
      <c r="CQ157" s="52" t="s">
        <v>540</v>
      </c>
      <c r="CR157" s="52"/>
      <c r="CS157" s="52"/>
      <c r="CT157" s="52"/>
      <c r="CU157" s="52"/>
      <c r="CV157" s="52"/>
      <c r="CW157" s="52"/>
      <c r="CX157" s="52"/>
      <c r="CY157" s="52"/>
      <c r="CZ157" s="52"/>
      <c r="DA157" s="52"/>
      <c r="DB157" s="52"/>
    </row>
    <row r="158" spans="82:106" ht="16.5" x14ac:dyDescent="0.2">
      <c r="CD158" s="52">
        <v>154</v>
      </c>
      <c r="CE158" s="52">
        <v>2</v>
      </c>
      <c r="CF158" s="54" t="s">
        <v>538</v>
      </c>
      <c r="CG158" s="52">
        <v>54</v>
      </c>
      <c r="CH158" s="52"/>
      <c r="CI158" s="52"/>
      <c r="CJ158" s="52"/>
      <c r="CK158" s="52" t="s">
        <v>539</v>
      </c>
      <c r="CL158" s="52"/>
      <c r="CM158" s="52" t="s">
        <v>540</v>
      </c>
      <c r="CN158" s="52"/>
      <c r="CO158" s="52"/>
      <c r="CP158" s="52"/>
      <c r="CQ158" s="52" t="s">
        <v>540</v>
      </c>
      <c r="CR158" s="52"/>
      <c r="CS158" s="52"/>
      <c r="CT158" s="52"/>
      <c r="CU158" s="52"/>
      <c r="CV158" s="52"/>
      <c r="CW158" s="52"/>
      <c r="CX158" s="52"/>
      <c r="CY158" s="52"/>
      <c r="CZ158" s="52"/>
      <c r="DA158" s="52"/>
      <c r="DB158" s="52"/>
    </row>
    <row r="159" spans="82:106" ht="16.5" x14ac:dyDescent="0.2">
      <c r="CD159" s="52">
        <v>155</v>
      </c>
      <c r="CE159" s="52">
        <v>2</v>
      </c>
      <c r="CF159" s="54" t="s">
        <v>538</v>
      </c>
      <c r="CG159" s="52">
        <v>55</v>
      </c>
      <c r="CH159" s="52"/>
      <c r="CI159" s="52"/>
      <c r="CJ159" s="52"/>
      <c r="CK159" s="52" t="s">
        <v>539</v>
      </c>
      <c r="CL159" s="52"/>
      <c r="CM159" s="52" t="s">
        <v>540</v>
      </c>
      <c r="CN159" s="52"/>
      <c r="CO159" s="52"/>
      <c r="CP159" s="52"/>
      <c r="CQ159" s="52" t="s">
        <v>540</v>
      </c>
      <c r="CR159" s="52"/>
      <c r="CS159" s="52"/>
      <c r="CT159" s="52"/>
      <c r="CU159" s="52"/>
      <c r="CV159" s="52"/>
      <c r="CW159" s="52"/>
      <c r="CX159" s="52"/>
      <c r="CY159" s="52"/>
      <c r="CZ159" s="52"/>
      <c r="DA159" s="52"/>
      <c r="DB159" s="52"/>
    </row>
    <row r="160" spans="82:106" ht="16.5" x14ac:dyDescent="0.2">
      <c r="CD160" s="52">
        <v>156</v>
      </c>
      <c r="CE160" s="52">
        <v>2</v>
      </c>
      <c r="CF160" s="54" t="s">
        <v>538</v>
      </c>
      <c r="CG160" s="52">
        <v>56</v>
      </c>
      <c r="CH160" s="52"/>
      <c r="CI160" s="52"/>
      <c r="CJ160" s="52"/>
      <c r="CK160" s="52" t="s">
        <v>539</v>
      </c>
      <c r="CL160" s="52"/>
      <c r="CM160" s="52" t="s">
        <v>540</v>
      </c>
      <c r="CN160" s="52"/>
      <c r="CO160" s="52"/>
      <c r="CP160" s="52"/>
      <c r="CQ160" s="52" t="s">
        <v>540</v>
      </c>
      <c r="CR160" s="52"/>
      <c r="CS160" s="52"/>
      <c r="CT160" s="52"/>
      <c r="CU160" s="52"/>
      <c r="CV160" s="52"/>
      <c r="CW160" s="52"/>
      <c r="CX160" s="52"/>
      <c r="CY160" s="52"/>
      <c r="CZ160" s="52"/>
      <c r="DA160" s="52"/>
      <c r="DB160" s="52"/>
    </row>
    <row r="161" spans="82:106" ht="16.5" x14ac:dyDescent="0.2">
      <c r="CD161" s="52">
        <v>157</v>
      </c>
      <c r="CE161" s="52">
        <v>2</v>
      </c>
      <c r="CF161" s="54" t="s">
        <v>538</v>
      </c>
      <c r="CG161" s="52">
        <v>57</v>
      </c>
      <c r="CH161" s="52"/>
      <c r="CI161" s="52"/>
      <c r="CJ161" s="52"/>
      <c r="CK161" s="52" t="s">
        <v>539</v>
      </c>
      <c r="CL161" s="52"/>
      <c r="CM161" s="52" t="s">
        <v>540</v>
      </c>
      <c r="CN161" s="52"/>
      <c r="CO161" s="52"/>
      <c r="CP161" s="52"/>
      <c r="CQ161" s="52" t="s">
        <v>540</v>
      </c>
      <c r="CR161" s="52"/>
      <c r="CS161" s="52"/>
      <c r="CT161" s="52"/>
      <c r="CU161" s="52"/>
      <c r="CV161" s="52"/>
      <c r="CW161" s="52"/>
      <c r="CX161" s="52"/>
      <c r="CY161" s="52"/>
      <c r="CZ161" s="52"/>
      <c r="DA161" s="52"/>
      <c r="DB161" s="52"/>
    </row>
    <row r="162" spans="82:106" ht="16.5" x14ac:dyDescent="0.2">
      <c r="CD162" s="52">
        <v>158</v>
      </c>
      <c r="CE162" s="52">
        <v>2</v>
      </c>
      <c r="CF162" s="54" t="s">
        <v>538</v>
      </c>
      <c r="CG162" s="52">
        <v>58</v>
      </c>
      <c r="CH162" s="52"/>
      <c r="CI162" s="52"/>
      <c r="CJ162" s="52"/>
      <c r="CK162" s="52" t="s">
        <v>539</v>
      </c>
      <c r="CL162" s="52"/>
      <c r="CM162" s="52" t="s">
        <v>540</v>
      </c>
      <c r="CN162" s="52"/>
      <c r="CO162" s="52"/>
      <c r="CP162" s="52"/>
      <c r="CQ162" s="52" t="s">
        <v>540</v>
      </c>
      <c r="CR162" s="52"/>
      <c r="CS162" s="52"/>
      <c r="CT162" s="52"/>
      <c r="CU162" s="52"/>
      <c r="CV162" s="52"/>
      <c r="CW162" s="52"/>
      <c r="CX162" s="52"/>
      <c r="CY162" s="52"/>
      <c r="CZ162" s="52"/>
      <c r="DA162" s="52"/>
      <c r="DB162" s="52"/>
    </row>
    <row r="163" spans="82:106" ht="16.5" x14ac:dyDescent="0.2">
      <c r="CD163" s="52">
        <v>159</v>
      </c>
      <c r="CE163" s="52">
        <v>2</v>
      </c>
      <c r="CF163" s="54" t="s">
        <v>538</v>
      </c>
      <c r="CG163" s="52">
        <v>59</v>
      </c>
      <c r="CH163" s="52"/>
      <c r="CI163" s="52"/>
      <c r="CJ163" s="52"/>
      <c r="CK163" s="52" t="s">
        <v>539</v>
      </c>
      <c r="CL163" s="52"/>
      <c r="CM163" s="52" t="s">
        <v>540</v>
      </c>
      <c r="CN163" s="52"/>
      <c r="CO163" s="52"/>
      <c r="CP163" s="52"/>
      <c r="CQ163" s="52" t="s">
        <v>540</v>
      </c>
      <c r="CR163" s="52"/>
      <c r="CS163" s="52"/>
      <c r="CT163" s="52"/>
      <c r="CU163" s="52"/>
      <c r="CV163" s="52"/>
      <c r="CW163" s="52"/>
      <c r="CX163" s="52"/>
      <c r="CY163" s="52"/>
      <c r="CZ163" s="52"/>
      <c r="DA163" s="52"/>
      <c r="DB163" s="52"/>
    </row>
    <row r="164" spans="82:106" ht="16.5" x14ac:dyDescent="0.2">
      <c r="CD164" s="52">
        <v>160</v>
      </c>
      <c r="CE164" s="52">
        <v>2</v>
      </c>
      <c r="CF164" s="54" t="s">
        <v>538</v>
      </c>
      <c r="CG164" s="52">
        <v>60</v>
      </c>
      <c r="CH164" s="52"/>
      <c r="CI164" s="52"/>
      <c r="CJ164" s="52"/>
      <c r="CK164" s="52" t="s">
        <v>539</v>
      </c>
      <c r="CL164" s="52"/>
      <c r="CM164" s="52" t="s">
        <v>540</v>
      </c>
      <c r="CN164" s="52"/>
      <c r="CO164" s="52"/>
      <c r="CP164" s="52"/>
      <c r="CQ164" s="52" t="s">
        <v>540</v>
      </c>
      <c r="CR164" s="52"/>
      <c r="CS164" s="52"/>
      <c r="CT164" s="52"/>
      <c r="CU164" s="52"/>
      <c r="CV164" s="52"/>
      <c r="CW164" s="52"/>
      <c r="CX164" s="52"/>
      <c r="CY164" s="52"/>
      <c r="CZ164" s="52"/>
      <c r="DA164" s="52"/>
      <c r="DB164" s="52"/>
    </row>
    <row r="165" spans="82:106" ht="16.5" x14ac:dyDescent="0.2">
      <c r="CD165" s="52">
        <v>161</v>
      </c>
      <c r="CE165" s="52">
        <v>2</v>
      </c>
      <c r="CF165" s="54" t="s">
        <v>538</v>
      </c>
      <c r="CG165" s="52">
        <v>61</v>
      </c>
      <c r="CH165" s="52"/>
      <c r="CI165" s="52"/>
      <c r="CJ165" s="52"/>
      <c r="CK165" s="52" t="s">
        <v>539</v>
      </c>
      <c r="CL165" s="52"/>
      <c r="CM165" s="52" t="s">
        <v>540</v>
      </c>
      <c r="CN165" s="52"/>
      <c r="CO165" s="52"/>
      <c r="CP165" s="52"/>
      <c r="CQ165" s="52" t="s">
        <v>540</v>
      </c>
      <c r="CR165" s="52"/>
      <c r="CS165" s="52"/>
      <c r="CT165" s="52"/>
      <c r="CU165" s="52"/>
      <c r="CV165" s="52"/>
      <c r="CW165" s="52"/>
      <c r="CX165" s="52"/>
      <c r="CY165" s="52"/>
      <c r="CZ165" s="52"/>
      <c r="DA165" s="52"/>
      <c r="DB165" s="52"/>
    </row>
    <row r="166" spans="82:106" ht="16.5" x14ac:dyDescent="0.2">
      <c r="CD166" s="52">
        <v>162</v>
      </c>
      <c r="CE166" s="52">
        <v>2</v>
      </c>
      <c r="CF166" s="54" t="s">
        <v>538</v>
      </c>
      <c r="CG166" s="52">
        <v>62</v>
      </c>
      <c r="CH166" s="52"/>
      <c r="CI166" s="52"/>
      <c r="CJ166" s="52"/>
      <c r="CK166" s="52" t="s">
        <v>539</v>
      </c>
      <c r="CL166" s="52"/>
      <c r="CM166" s="52" t="s">
        <v>540</v>
      </c>
      <c r="CN166" s="52"/>
      <c r="CO166" s="52"/>
      <c r="CP166" s="52"/>
      <c r="CQ166" s="52" t="s">
        <v>540</v>
      </c>
      <c r="CR166" s="52"/>
      <c r="CS166" s="52"/>
      <c r="CT166" s="52"/>
      <c r="CU166" s="52"/>
      <c r="CV166" s="52"/>
      <c r="CW166" s="52"/>
      <c r="CX166" s="52"/>
      <c r="CY166" s="52"/>
      <c r="CZ166" s="52"/>
      <c r="DA166" s="52"/>
      <c r="DB166" s="52"/>
    </row>
    <row r="167" spans="82:106" ht="16.5" x14ac:dyDescent="0.2">
      <c r="CD167" s="52">
        <v>163</v>
      </c>
      <c r="CE167" s="52">
        <v>2</v>
      </c>
      <c r="CF167" s="54" t="s">
        <v>538</v>
      </c>
      <c r="CG167" s="52">
        <v>63</v>
      </c>
      <c r="CH167" s="52"/>
      <c r="CI167" s="52"/>
      <c r="CJ167" s="52"/>
      <c r="CK167" s="52" t="s">
        <v>539</v>
      </c>
      <c r="CL167" s="52"/>
      <c r="CM167" s="52" t="s">
        <v>540</v>
      </c>
      <c r="CN167" s="52"/>
      <c r="CO167" s="52"/>
      <c r="CP167" s="52"/>
      <c r="CQ167" s="52" t="s">
        <v>540</v>
      </c>
      <c r="CR167" s="52"/>
      <c r="CS167" s="52"/>
      <c r="CT167" s="52"/>
      <c r="CU167" s="52"/>
      <c r="CV167" s="52"/>
      <c r="CW167" s="52"/>
      <c r="CX167" s="52"/>
      <c r="CY167" s="52"/>
      <c r="CZ167" s="52"/>
      <c r="DA167" s="52"/>
      <c r="DB167" s="52"/>
    </row>
    <row r="168" spans="82:106" ht="16.5" x14ac:dyDescent="0.2">
      <c r="CD168" s="52">
        <v>164</v>
      </c>
      <c r="CE168" s="52">
        <v>2</v>
      </c>
      <c r="CF168" s="54" t="s">
        <v>538</v>
      </c>
      <c r="CG168" s="52">
        <v>64</v>
      </c>
      <c r="CH168" s="52"/>
      <c r="CI168" s="52"/>
      <c r="CJ168" s="52"/>
      <c r="CK168" s="52" t="s">
        <v>539</v>
      </c>
      <c r="CL168" s="52"/>
      <c r="CM168" s="52" t="s">
        <v>540</v>
      </c>
      <c r="CN168" s="52"/>
      <c r="CO168" s="52"/>
      <c r="CP168" s="52"/>
      <c r="CQ168" s="52" t="s">
        <v>540</v>
      </c>
      <c r="CR168" s="52"/>
      <c r="CS168" s="52"/>
      <c r="CT168" s="52"/>
      <c r="CU168" s="52"/>
      <c r="CV168" s="52"/>
      <c r="CW168" s="52"/>
      <c r="CX168" s="52"/>
      <c r="CY168" s="52"/>
      <c r="CZ168" s="52"/>
      <c r="DA168" s="52"/>
      <c r="DB168" s="52"/>
    </row>
    <row r="169" spans="82:106" ht="16.5" x14ac:dyDescent="0.2">
      <c r="CD169" s="52">
        <v>165</v>
      </c>
      <c r="CE169" s="52">
        <v>2</v>
      </c>
      <c r="CF169" s="54" t="s">
        <v>538</v>
      </c>
      <c r="CG169" s="52">
        <v>65</v>
      </c>
      <c r="CH169" s="52"/>
      <c r="CI169" s="52"/>
      <c r="CJ169" s="52"/>
      <c r="CK169" s="52" t="s">
        <v>539</v>
      </c>
      <c r="CL169" s="52"/>
      <c r="CM169" s="52" t="s">
        <v>540</v>
      </c>
      <c r="CN169" s="52"/>
      <c r="CO169" s="52"/>
      <c r="CP169" s="52"/>
      <c r="CQ169" s="52" t="s">
        <v>540</v>
      </c>
      <c r="CR169" s="52"/>
      <c r="CS169" s="52"/>
      <c r="CT169" s="52"/>
      <c r="CU169" s="52"/>
      <c r="CV169" s="52"/>
      <c r="CW169" s="52"/>
      <c r="CX169" s="52"/>
      <c r="CY169" s="52"/>
      <c r="CZ169" s="52"/>
      <c r="DA169" s="52"/>
      <c r="DB169" s="52"/>
    </row>
    <row r="170" spans="82:106" ht="16.5" x14ac:dyDescent="0.2">
      <c r="CD170" s="52">
        <v>166</v>
      </c>
      <c r="CE170" s="52">
        <v>2</v>
      </c>
      <c r="CF170" s="54" t="s">
        <v>538</v>
      </c>
      <c r="CG170" s="52">
        <v>66</v>
      </c>
      <c r="CH170" s="52"/>
      <c r="CI170" s="52"/>
      <c r="CJ170" s="52"/>
      <c r="CK170" s="52" t="s">
        <v>539</v>
      </c>
      <c r="CL170" s="52"/>
      <c r="CM170" s="52" t="s">
        <v>540</v>
      </c>
      <c r="CN170" s="52"/>
      <c r="CO170" s="52"/>
      <c r="CP170" s="52"/>
      <c r="CQ170" s="52" t="s">
        <v>540</v>
      </c>
      <c r="CR170" s="52"/>
      <c r="CS170" s="52"/>
      <c r="CT170" s="52"/>
      <c r="CU170" s="52"/>
      <c r="CV170" s="52"/>
      <c r="CW170" s="52"/>
      <c r="CX170" s="52"/>
      <c r="CY170" s="52"/>
      <c r="CZ170" s="52"/>
      <c r="DA170" s="52"/>
      <c r="DB170" s="52"/>
    </row>
    <row r="171" spans="82:106" ht="16.5" x14ac:dyDescent="0.2">
      <c r="CD171" s="52">
        <v>167</v>
      </c>
      <c r="CE171" s="52">
        <v>2</v>
      </c>
      <c r="CF171" s="54" t="s">
        <v>538</v>
      </c>
      <c r="CG171" s="52">
        <v>67</v>
      </c>
      <c r="CH171" s="52"/>
      <c r="CI171" s="52"/>
      <c r="CJ171" s="52"/>
      <c r="CK171" s="52" t="s">
        <v>539</v>
      </c>
      <c r="CL171" s="52"/>
      <c r="CM171" s="52" t="s">
        <v>540</v>
      </c>
      <c r="CN171" s="52"/>
      <c r="CO171" s="52"/>
      <c r="CP171" s="52"/>
      <c r="CQ171" s="52" t="s">
        <v>540</v>
      </c>
      <c r="CR171" s="52"/>
      <c r="CS171" s="52"/>
      <c r="CT171" s="52"/>
      <c r="CU171" s="52"/>
      <c r="CV171" s="52"/>
      <c r="CW171" s="52"/>
      <c r="CX171" s="52"/>
      <c r="CY171" s="52"/>
      <c r="CZ171" s="52"/>
      <c r="DA171" s="52"/>
      <c r="DB171" s="52"/>
    </row>
    <row r="172" spans="82:106" ht="16.5" x14ac:dyDescent="0.2">
      <c r="CD172" s="52">
        <v>168</v>
      </c>
      <c r="CE172" s="52">
        <v>2</v>
      </c>
      <c r="CF172" s="54" t="s">
        <v>538</v>
      </c>
      <c r="CG172" s="52">
        <v>68</v>
      </c>
      <c r="CH172" s="52"/>
      <c r="CI172" s="52"/>
      <c r="CJ172" s="52"/>
      <c r="CK172" s="52" t="s">
        <v>539</v>
      </c>
      <c r="CL172" s="52"/>
      <c r="CM172" s="52" t="s">
        <v>540</v>
      </c>
      <c r="CN172" s="52"/>
      <c r="CO172" s="52"/>
      <c r="CP172" s="52"/>
      <c r="CQ172" s="52" t="s">
        <v>540</v>
      </c>
      <c r="CR172" s="52"/>
      <c r="CS172" s="52"/>
      <c r="CT172" s="52"/>
      <c r="CU172" s="52"/>
      <c r="CV172" s="52"/>
      <c r="CW172" s="52"/>
      <c r="CX172" s="52"/>
      <c r="CY172" s="52"/>
      <c r="CZ172" s="52"/>
      <c r="DA172" s="52"/>
      <c r="DB172" s="52"/>
    </row>
    <row r="173" spans="82:106" ht="16.5" x14ac:dyDescent="0.2">
      <c r="CD173" s="52">
        <v>169</v>
      </c>
      <c r="CE173" s="52">
        <v>2</v>
      </c>
      <c r="CF173" s="54" t="s">
        <v>538</v>
      </c>
      <c r="CG173" s="52">
        <v>69</v>
      </c>
      <c r="CH173" s="52"/>
      <c r="CI173" s="52"/>
      <c r="CJ173" s="52"/>
      <c r="CK173" s="52" t="s">
        <v>539</v>
      </c>
      <c r="CL173" s="52"/>
      <c r="CM173" s="52" t="s">
        <v>540</v>
      </c>
      <c r="CN173" s="52"/>
      <c r="CO173" s="52"/>
      <c r="CP173" s="52"/>
      <c r="CQ173" s="52" t="s">
        <v>540</v>
      </c>
      <c r="CR173" s="52"/>
      <c r="CS173" s="52"/>
      <c r="CT173" s="52"/>
      <c r="CU173" s="52"/>
      <c r="CV173" s="52"/>
      <c r="CW173" s="52"/>
      <c r="CX173" s="52"/>
      <c r="CY173" s="52"/>
      <c r="CZ173" s="52"/>
      <c r="DA173" s="52"/>
      <c r="DB173" s="52"/>
    </row>
    <row r="174" spans="82:106" ht="16.5" x14ac:dyDescent="0.2">
      <c r="CD174" s="52">
        <v>170</v>
      </c>
      <c r="CE174" s="52">
        <v>2</v>
      </c>
      <c r="CF174" s="54" t="s">
        <v>538</v>
      </c>
      <c r="CG174" s="52">
        <v>70</v>
      </c>
      <c r="CH174" s="52"/>
      <c r="CI174" s="52"/>
      <c r="CJ174" s="52"/>
      <c r="CK174" s="52" t="s">
        <v>539</v>
      </c>
      <c r="CL174" s="52"/>
      <c r="CM174" s="52" t="s">
        <v>540</v>
      </c>
      <c r="CN174" s="52"/>
      <c r="CO174" s="52"/>
      <c r="CP174" s="52"/>
      <c r="CQ174" s="52" t="s">
        <v>540</v>
      </c>
      <c r="CR174" s="52"/>
      <c r="CS174" s="52"/>
      <c r="CT174" s="52"/>
      <c r="CU174" s="52"/>
      <c r="CV174" s="52"/>
      <c r="CW174" s="52"/>
      <c r="CX174" s="52"/>
      <c r="CY174" s="52"/>
      <c r="CZ174" s="52"/>
      <c r="DA174" s="52"/>
      <c r="DB174" s="52"/>
    </row>
    <row r="175" spans="82:106" ht="16.5" x14ac:dyDescent="0.2">
      <c r="CD175" s="52">
        <v>171</v>
      </c>
      <c r="CE175" s="52">
        <v>2</v>
      </c>
      <c r="CF175" s="54" t="s">
        <v>538</v>
      </c>
      <c r="CG175" s="52">
        <v>71</v>
      </c>
      <c r="CH175" s="52"/>
      <c r="CI175" s="52"/>
      <c r="CJ175" s="52"/>
      <c r="CK175" s="52" t="s">
        <v>539</v>
      </c>
      <c r="CL175" s="52"/>
      <c r="CM175" s="52" t="s">
        <v>540</v>
      </c>
      <c r="CN175" s="52"/>
      <c r="CO175" s="52"/>
      <c r="CP175" s="52"/>
      <c r="CQ175" s="52" t="s">
        <v>540</v>
      </c>
      <c r="CR175" s="52"/>
      <c r="CS175" s="52"/>
      <c r="CT175" s="52"/>
      <c r="CU175" s="52"/>
      <c r="CV175" s="52"/>
      <c r="CW175" s="52"/>
      <c r="CX175" s="52"/>
      <c r="CY175" s="52"/>
      <c r="CZ175" s="52"/>
      <c r="DA175" s="52"/>
      <c r="DB175" s="52"/>
    </row>
    <row r="176" spans="82:106" ht="16.5" x14ac:dyDescent="0.2">
      <c r="CD176" s="52">
        <v>172</v>
      </c>
      <c r="CE176" s="52">
        <v>2</v>
      </c>
      <c r="CF176" s="54" t="s">
        <v>538</v>
      </c>
      <c r="CG176" s="52">
        <v>72</v>
      </c>
      <c r="CH176" s="52"/>
      <c r="CI176" s="52"/>
      <c r="CJ176" s="52"/>
      <c r="CK176" s="52" t="s">
        <v>539</v>
      </c>
      <c r="CL176" s="52"/>
      <c r="CM176" s="52" t="s">
        <v>540</v>
      </c>
      <c r="CN176" s="52"/>
      <c r="CO176" s="52"/>
      <c r="CP176" s="52"/>
      <c r="CQ176" s="52" t="s">
        <v>540</v>
      </c>
      <c r="CR176" s="52"/>
      <c r="CS176" s="52"/>
      <c r="CT176" s="52"/>
      <c r="CU176" s="52"/>
      <c r="CV176" s="52"/>
      <c r="CW176" s="52"/>
      <c r="CX176" s="52"/>
      <c r="CY176" s="52"/>
      <c r="CZ176" s="52"/>
      <c r="DA176" s="52"/>
      <c r="DB176" s="52"/>
    </row>
    <row r="177" spans="82:106" ht="16.5" x14ac:dyDescent="0.2">
      <c r="CD177" s="52">
        <v>173</v>
      </c>
      <c r="CE177" s="52">
        <v>2</v>
      </c>
      <c r="CF177" s="54" t="s">
        <v>538</v>
      </c>
      <c r="CG177" s="52">
        <v>73</v>
      </c>
      <c r="CH177" s="52"/>
      <c r="CI177" s="52"/>
      <c r="CJ177" s="52"/>
      <c r="CK177" s="52" t="s">
        <v>539</v>
      </c>
      <c r="CL177" s="52"/>
      <c r="CM177" s="52" t="s">
        <v>540</v>
      </c>
      <c r="CN177" s="52"/>
      <c r="CO177" s="52"/>
      <c r="CP177" s="52"/>
      <c r="CQ177" s="52" t="s">
        <v>540</v>
      </c>
      <c r="CR177" s="52"/>
      <c r="CS177" s="52"/>
      <c r="CT177" s="52"/>
      <c r="CU177" s="52"/>
      <c r="CV177" s="52"/>
      <c r="CW177" s="52"/>
      <c r="CX177" s="52"/>
      <c r="CY177" s="52"/>
      <c r="CZ177" s="52"/>
      <c r="DA177" s="52"/>
      <c r="DB177" s="52"/>
    </row>
    <row r="178" spans="82:106" ht="16.5" x14ac:dyDescent="0.2">
      <c r="CD178" s="52">
        <v>174</v>
      </c>
      <c r="CE178" s="52">
        <v>2</v>
      </c>
      <c r="CF178" s="54" t="s">
        <v>538</v>
      </c>
      <c r="CG178" s="52">
        <v>74</v>
      </c>
      <c r="CH178" s="52"/>
      <c r="CI178" s="52"/>
      <c r="CJ178" s="52"/>
      <c r="CK178" s="52" t="s">
        <v>539</v>
      </c>
      <c r="CL178" s="52"/>
      <c r="CM178" s="52" t="s">
        <v>540</v>
      </c>
      <c r="CN178" s="52"/>
      <c r="CO178" s="52"/>
      <c r="CP178" s="52"/>
      <c r="CQ178" s="52" t="s">
        <v>540</v>
      </c>
      <c r="CR178" s="52"/>
      <c r="CS178" s="52"/>
      <c r="CT178" s="52"/>
      <c r="CU178" s="52"/>
      <c r="CV178" s="52"/>
      <c r="CW178" s="52"/>
      <c r="CX178" s="52"/>
      <c r="CY178" s="52"/>
      <c r="CZ178" s="52"/>
      <c r="DA178" s="52"/>
      <c r="DB178" s="52"/>
    </row>
    <row r="179" spans="82:106" ht="16.5" x14ac:dyDescent="0.2">
      <c r="CD179" s="52">
        <v>175</v>
      </c>
      <c r="CE179" s="52">
        <v>2</v>
      </c>
      <c r="CF179" s="54" t="s">
        <v>538</v>
      </c>
      <c r="CG179" s="52">
        <v>75</v>
      </c>
      <c r="CH179" s="52"/>
      <c r="CI179" s="52"/>
      <c r="CJ179" s="52"/>
      <c r="CK179" s="52" t="s">
        <v>539</v>
      </c>
      <c r="CL179" s="52"/>
      <c r="CM179" s="52" t="s">
        <v>540</v>
      </c>
      <c r="CN179" s="52"/>
      <c r="CO179" s="52"/>
      <c r="CP179" s="52"/>
      <c r="CQ179" s="52" t="s">
        <v>540</v>
      </c>
      <c r="CR179" s="52"/>
      <c r="CS179" s="52"/>
      <c r="CT179" s="52"/>
      <c r="CU179" s="52"/>
      <c r="CV179" s="52"/>
      <c r="CW179" s="52"/>
      <c r="CX179" s="52"/>
      <c r="CY179" s="52"/>
      <c r="CZ179" s="52"/>
      <c r="DA179" s="52"/>
      <c r="DB179" s="52"/>
    </row>
    <row r="180" spans="82:106" ht="16.5" x14ac:dyDescent="0.2">
      <c r="CD180" s="52">
        <v>176</v>
      </c>
      <c r="CE180" s="52">
        <v>2</v>
      </c>
      <c r="CF180" s="54" t="s">
        <v>538</v>
      </c>
      <c r="CG180" s="52">
        <v>76</v>
      </c>
      <c r="CH180" s="52"/>
      <c r="CI180" s="52"/>
      <c r="CJ180" s="52"/>
      <c r="CK180" s="52" t="s">
        <v>539</v>
      </c>
      <c r="CL180" s="52"/>
      <c r="CM180" s="52" t="s">
        <v>540</v>
      </c>
      <c r="CN180" s="52"/>
      <c r="CO180" s="52"/>
      <c r="CP180" s="52"/>
      <c r="CQ180" s="52" t="s">
        <v>540</v>
      </c>
      <c r="CR180" s="52"/>
      <c r="CS180" s="52"/>
      <c r="CT180" s="52"/>
      <c r="CU180" s="52"/>
      <c r="CV180" s="52"/>
      <c r="CW180" s="52"/>
      <c r="CX180" s="52"/>
      <c r="CY180" s="52"/>
      <c r="CZ180" s="52"/>
      <c r="DA180" s="52"/>
      <c r="DB180" s="52"/>
    </row>
    <row r="181" spans="82:106" ht="16.5" x14ac:dyDescent="0.2">
      <c r="CD181" s="52">
        <v>177</v>
      </c>
      <c r="CE181" s="52">
        <v>2</v>
      </c>
      <c r="CF181" s="54" t="s">
        <v>538</v>
      </c>
      <c r="CG181" s="52">
        <v>77</v>
      </c>
      <c r="CH181" s="52"/>
      <c r="CI181" s="52"/>
      <c r="CJ181" s="52"/>
      <c r="CK181" s="52" t="s">
        <v>539</v>
      </c>
      <c r="CL181" s="52"/>
      <c r="CM181" s="52" t="s">
        <v>540</v>
      </c>
      <c r="CN181" s="52"/>
      <c r="CO181" s="52"/>
      <c r="CP181" s="52"/>
      <c r="CQ181" s="52" t="s">
        <v>540</v>
      </c>
      <c r="CR181" s="52"/>
      <c r="CS181" s="52"/>
      <c r="CT181" s="52"/>
      <c r="CU181" s="52"/>
      <c r="CV181" s="52"/>
      <c r="CW181" s="52"/>
      <c r="CX181" s="52"/>
      <c r="CY181" s="52"/>
      <c r="CZ181" s="52"/>
      <c r="DA181" s="52"/>
      <c r="DB181" s="52"/>
    </row>
    <row r="182" spans="82:106" ht="16.5" x14ac:dyDescent="0.2">
      <c r="CD182" s="52">
        <v>178</v>
      </c>
      <c r="CE182" s="52">
        <v>2</v>
      </c>
      <c r="CF182" s="54" t="s">
        <v>538</v>
      </c>
      <c r="CG182" s="52">
        <v>78</v>
      </c>
      <c r="CH182" s="52"/>
      <c r="CI182" s="52"/>
      <c r="CJ182" s="52"/>
      <c r="CK182" s="52" t="s">
        <v>539</v>
      </c>
      <c r="CL182" s="52"/>
      <c r="CM182" s="52" t="s">
        <v>540</v>
      </c>
      <c r="CN182" s="52"/>
      <c r="CO182" s="52"/>
      <c r="CP182" s="52"/>
      <c r="CQ182" s="52" t="s">
        <v>540</v>
      </c>
      <c r="CR182" s="52"/>
      <c r="CS182" s="52"/>
      <c r="CT182" s="52"/>
      <c r="CU182" s="52"/>
      <c r="CV182" s="52"/>
      <c r="CW182" s="52"/>
      <c r="CX182" s="52"/>
      <c r="CY182" s="52"/>
      <c r="CZ182" s="52"/>
      <c r="DA182" s="52"/>
      <c r="DB182" s="52"/>
    </row>
    <row r="183" spans="82:106" ht="16.5" x14ac:dyDescent="0.2">
      <c r="CD183" s="52">
        <v>179</v>
      </c>
      <c r="CE183" s="52">
        <v>2</v>
      </c>
      <c r="CF183" s="54" t="s">
        <v>538</v>
      </c>
      <c r="CG183" s="52">
        <v>79</v>
      </c>
      <c r="CH183" s="52"/>
      <c r="CI183" s="52"/>
      <c r="CJ183" s="52"/>
      <c r="CK183" s="52" t="s">
        <v>539</v>
      </c>
      <c r="CL183" s="52"/>
      <c r="CM183" s="52" t="s">
        <v>540</v>
      </c>
      <c r="CN183" s="52"/>
      <c r="CO183" s="52"/>
      <c r="CP183" s="52"/>
      <c r="CQ183" s="52" t="s">
        <v>540</v>
      </c>
      <c r="CR183" s="52"/>
      <c r="CS183" s="52"/>
      <c r="CT183" s="52"/>
      <c r="CU183" s="52"/>
      <c r="CV183" s="52"/>
      <c r="CW183" s="52"/>
      <c r="CX183" s="52"/>
      <c r="CY183" s="52"/>
      <c r="CZ183" s="52"/>
      <c r="DA183" s="52"/>
      <c r="DB183" s="52"/>
    </row>
    <row r="184" spans="82:106" ht="16.5" x14ac:dyDescent="0.2">
      <c r="CD184" s="52">
        <v>180</v>
      </c>
      <c r="CE184" s="52">
        <v>2</v>
      </c>
      <c r="CF184" s="54" t="s">
        <v>538</v>
      </c>
      <c r="CG184" s="52">
        <v>80</v>
      </c>
      <c r="CH184" s="52"/>
      <c r="CI184" s="52"/>
      <c r="CJ184" s="52"/>
      <c r="CK184" s="52" t="s">
        <v>539</v>
      </c>
      <c r="CL184" s="52"/>
      <c r="CM184" s="52" t="s">
        <v>540</v>
      </c>
      <c r="CN184" s="52"/>
      <c r="CO184" s="52"/>
      <c r="CP184" s="52"/>
      <c r="CQ184" s="52" t="s">
        <v>540</v>
      </c>
      <c r="CR184" s="52"/>
      <c r="CS184" s="52"/>
      <c r="CT184" s="52"/>
      <c r="CU184" s="52"/>
      <c r="CV184" s="52"/>
      <c r="CW184" s="52"/>
      <c r="CX184" s="52"/>
      <c r="CY184" s="52"/>
      <c r="CZ184" s="52"/>
      <c r="DA184" s="52"/>
      <c r="DB184" s="52"/>
    </row>
    <row r="185" spans="82:106" ht="16.5" x14ac:dyDescent="0.2">
      <c r="CD185" s="52">
        <v>181</v>
      </c>
      <c r="CE185" s="52">
        <v>2</v>
      </c>
      <c r="CF185" s="54" t="s">
        <v>538</v>
      </c>
      <c r="CG185" s="52">
        <v>81</v>
      </c>
      <c r="CH185" s="52"/>
      <c r="CI185" s="52"/>
      <c r="CJ185" s="52"/>
      <c r="CK185" s="52" t="s">
        <v>539</v>
      </c>
      <c r="CL185" s="52"/>
      <c r="CM185" s="52" t="s">
        <v>540</v>
      </c>
      <c r="CN185" s="52"/>
      <c r="CO185" s="52"/>
      <c r="CP185" s="52"/>
      <c r="CQ185" s="52" t="s">
        <v>540</v>
      </c>
      <c r="CR185" s="52"/>
      <c r="CS185" s="52"/>
      <c r="CT185" s="52"/>
      <c r="CU185" s="52"/>
      <c r="CV185" s="52"/>
      <c r="CW185" s="52"/>
      <c r="CX185" s="52"/>
      <c r="CY185" s="52"/>
      <c r="CZ185" s="52"/>
      <c r="DA185" s="52"/>
      <c r="DB185" s="52"/>
    </row>
    <row r="186" spans="82:106" ht="16.5" x14ac:dyDescent="0.2">
      <c r="CD186" s="52">
        <v>182</v>
      </c>
      <c r="CE186" s="52">
        <v>2</v>
      </c>
      <c r="CF186" s="54" t="s">
        <v>538</v>
      </c>
      <c r="CG186" s="52">
        <v>82</v>
      </c>
      <c r="CH186" s="52"/>
      <c r="CI186" s="52"/>
      <c r="CJ186" s="52"/>
      <c r="CK186" s="52" t="s">
        <v>539</v>
      </c>
      <c r="CL186" s="52"/>
      <c r="CM186" s="52" t="s">
        <v>540</v>
      </c>
      <c r="CN186" s="52"/>
      <c r="CO186" s="52"/>
      <c r="CP186" s="52"/>
      <c r="CQ186" s="52" t="s">
        <v>540</v>
      </c>
      <c r="CR186" s="52"/>
      <c r="CS186" s="52"/>
      <c r="CT186" s="52"/>
      <c r="CU186" s="52"/>
      <c r="CV186" s="52"/>
      <c r="CW186" s="52"/>
      <c r="CX186" s="52"/>
      <c r="CY186" s="52"/>
      <c r="CZ186" s="52"/>
      <c r="DA186" s="52"/>
      <c r="DB186" s="52"/>
    </row>
    <row r="187" spans="82:106" ht="16.5" x14ac:dyDescent="0.2">
      <c r="CD187" s="52">
        <v>183</v>
      </c>
      <c r="CE187" s="52">
        <v>2</v>
      </c>
      <c r="CF187" s="54" t="s">
        <v>538</v>
      </c>
      <c r="CG187" s="52">
        <v>83</v>
      </c>
      <c r="CH187" s="52"/>
      <c r="CI187" s="52"/>
      <c r="CJ187" s="52"/>
      <c r="CK187" s="52" t="s">
        <v>539</v>
      </c>
      <c r="CL187" s="52"/>
      <c r="CM187" s="52" t="s">
        <v>540</v>
      </c>
      <c r="CN187" s="52"/>
      <c r="CO187" s="52"/>
      <c r="CP187" s="52"/>
      <c r="CQ187" s="52" t="s">
        <v>540</v>
      </c>
      <c r="CR187" s="52"/>
      <c r="CS187" s="52"/>
      <c r="CT187" s="52"/>
      <c r="CU187" s="52"/>
      <c r="CV187" s="52"/>
      <c r="CW187" s="52"/>
      <c r="CX187" s="52"/>
      <c r="CY187" s="52"/>
      <c r="CZ187" s="52"/>
      <c r="DA187" s="52"/>
      <c r="DB187" s="52"/>
    </row>
    <row r="188" spans="82:106" ht="16.5" x14ac:dyDescent="0.2">
      <c r="CD188" s="52">
        <v>184</v>
      </c>
      <c r="CE188" s="52">
        <v>2</v>
      </c>
      <c r="CF188" s="54" t="s">
        <v>538</v>
      </c>
      <c r="CG188" s="52">
        <v>84</v>
      </c>
      <c r="CH188" s="52"/>
      <c r="CI188" s="52"/>
      <c r="CJ188" s="52"/>
      <c r="CK188" s="52" t="s">
        <v>539</v>
      </c>
      <c r="CL188" s="52"/>
      <c r="CM188" s="52" t="s">
        <v>540</v>
      </c>
      <c r="CN188" s="52"/>
      <c r="CO188" s="52"/>
      <c r="CP188" s="52"/>
      <c r="CQ188" s="52" t="s">
        <v>540</v>
      </c>
      <c r="CR188" s="52"/>
      <c r="CS188" s="52"/>
      <c r="CT188" s="52"/>
      <c r="CU188" s="52"/>
      <c r="CV188" s="52"/>
      <c r="CW188" s="52"/>
      <c r="CX188" s="52"/>
      <c r="CY188" s="52"/>
      <c r="CZ188" s="52"/>
      <c r="DA188" s="52"/>
      <c r="DB188" s="52"/>
    </row>
    <row r="189" spans="82:106" ht="16.5" x14ac:dyDescent="0.2">
      <c r="CD189" s="52">
        <v>185</v>
      </c>
      <c r="CE189" s="52">
        <v>2</v>
      </c>
      <c r="CF189" s="54" t="s">
        <v>538</v>
      </c>
      <c r="CG189" s="52">
        <v>85</v>
      </c>
      <c r="CH189" s="52"/>
      <c r="CI189" s="52"/>
      <c r="CJ189" s="52"/>
      <c r="CK189" s="52" t="s">
        <v>539</v>
      </c>
      <c r="CL189" s="52"/>
      <c r="CM189" s="52" t="s">
        <v>540</v>
      </c>
      <c r="CN189" s="52"/>
      <c r="CO189" s="52"/>
      <c r="CP189" s="52"/>
      <c r="CQ189" s="52" t="s">
        <v>540</v>
      </c>
      <c r="CR189" s="52"/>
      <c r="CS189" s="52"/>
      <c r="CT189" s="52"/>
      <c r="CU189" s="52"/>
      <c r="CV189" s="52"/>
      <c r="CW189" s="52"/>
      <c r="CX189" s="52"/>
      <c r="CY189" s="52"/>
      <c r="CZ189" s="52"/>
      <c r="DA189" s="52"/>
      <c r="DB189" s="52"/>
    </row>
    <row r="190" spans="82:106" ht="16.5" x14ac:dyDescent="0.2">
      <c r="CD190" s="52">
        <v>186</v>
      </c>
      <c r="CE190" s="52">
        <v>2</v>
      </c>
      <c r="CF190" s="54" t="s">
        <v>538</v>
      </c>
      <c r="CG190" s="52">
        <v>86</v>
      </c>
      <c r="CH190" s="52"/>
      <c r="CI190" s="52"/>
      <c r="CJ190" s="52"/>
      <c r="CK190" s="52" t="s">
        <v>539</v>
      </c>
      <c r="CL190" s="52"/>
      <c r="CM190" s="52" t="s">
        <v>540</v>
      </c>
      <c r="CN190" s="52"/>
      <c r="CO190" s="52"/>
      <c r="CP190" s="52"/>
      <c r="CQ190" s="52" t="s">
        <v>540</v>
      </c>
      <c r="CR190" s="52"/>
      <c r="CS190" s="52"/>
      <c r="CT190" s="52"/>
      <c r="CU190" s="52"/>
      <c r="CV190" s="52"/>
      <c r="CW190" s="52"/>
      <c r="CX190" s="52"/>
      <c r="CY190" s="52"/>
      <c r="CZ190" s="52"/>
      <c r="DA190" s="52"/>
      <c r="DB190" s="52"/>
    </row>
    <row r="191" spans="82:106" ht="16.5" x14ac:dyDescent="0.2">
      <c r="CD191" s="52">
        <v>187</v>
      </c>
      <c r="CE191" s="52">
        <v>2</v>
      </c>
      <c r="CF191" s="54" t="s">
        <v>538</v>
      </c>
      <c r="CG191" s="52">
        <v>87</v>
      </c>
      <c r="CH191" s="52"/>
      <c r="CI191" s="52"/>
      <c r="CJ191" s="52"/>
      <c r="CK191" s="52" t="s">
        <v>539</v>
      </c>
      <c r="CL191" s="52"/>
      <c r="CM191" s="52" t="s">
        <v>540</v>
      </c>
      <c r="CN191" s="52"/>
      <c r="CO191" s="52"/>
      <c r="CP191" s="52"/>
      <c r="CQ191" s="52" t="s">
        <v>540</v>
      </c>
      <c r="CR191" s="52"/>
      <c r="CS191" s="52"/>
      <c r="CT191" s="52"/>
      <c r="CU191" s="52"/>
      <c r="CV191" s="52"/>
      <c r="CW191" s="52"/>
      <c r="CX191" s="52"/>
      <c r="CY191" s="52"/>
      <c r="CZ191" s="52"/>
      <c r="DA191" s="52"/>
      <c r="DB191" s="52"/>
    </row>
    <row r="192" spans="82:106" ht="16.5" x14ac:dyDescent="0.2">
      <c r="CD192" s="52">
        <v>188</v>
      </c>
      <c r="CE192" s="52">
        <v>2</v>
      </c>
      <c r="CF192" s="54" t="s">
        <v>538</v>
      </c>
      <c r="CG192" s="52">
        <v>88</v>
      </c>
      <c r="CH192" s="52"/>
      <c r="CI192" s="52"/>
      <c r="CJ192" s="52"/>
      <c r="CK192" s="52" t="s">
        <v>539</v>
      </c>
      <c r="CL192" s="52"/>
      <c r="CM192" s="52" t="s">
        <v>540</v>
      </c>
      <c r="CN192" s="52"/>
      <c r="CO192" s="52"/>
      <c r="CP192" s="52"/>
      <c r="CQ192" s="52" t="s">
        <v>540</v>
      </c>
      <c r="CR192" s="52"/>
      <c r="CS192" s="52"/>
      <c r="CT192" s="52"/>
      <c r="CU192" s="52"/>
      <c r="CV192" s="52"/>
      <c r="CW192" s="52"/>
      <c r="CX192" s="52"/>
      <c r="CY192" s="52"/>
      <c r="CZ192" s="52"/>
      <c r="DA192" s="52"/>
      <c r="DB192" s="52"/>
    </row>
    <row r="193" spans="82:106" ht="16.5" x14ac:dyDescent="0.2">
      <c r="CD193" s="52">
        <v>189</v>
      </c>
      <c r="CE193" s="52">
        <v>2</v>
      </c>
      <c r="CF193" s="54" t="s">
        <v>538</v>
      </c>
      <c r="CG193" s="52">
        <v>89</v>
      </c>
      <c r="CH193" s="52"/>
      <c r="CI193" s="52"/>
      <c r="CJ193" s="52"/>
      <c r="CK193" s="52" t="s">
        <v>539</v>
      </c>
      <c r="CL193" s="52"/>
      <c r="CM193" s="52" t="s">
        <v>540</v>
      </c>
      <c r="CN193" s="52"/>
      <c r="CO193" s="52"/>
      <c r="CP193" s="52"/>
      <c r="CQ193" s="52" t="s">
        <v>540</v>
      </c>
      <c r="CR193" s="52"/>
      <c r="CS193" s="52"/>
      <c r="CT193" s="52"/>
      <c r="CU193" s="52"/>
      <c r="CV193" s="52"/>
      <c r="CW193" s="52"/>
      <c r="CX193" s="52"/>
      <c r="CY193" s="52"/>
      <c r="CZ193" s="52"/>
      <c r="DA193" s="52"/>
      <c r="DB193" s="52"/>
    </row>
    <row r="194" spans="82:106" ht="16.5" x14ac:dyDescent="0.2">
      <c r="CD194" s="52">
        <v>190</v>
      </c>
      <c r="CE194" s="52">
        <v>2</v>
      </c>
      <c r="CF194" s="54" t="s">
        <v>538</v>
      </c>
      <c r="CG194" s="52">
        <v>90</v>
      </c>
      <c r="CH194" s="52"/>
      <c r="CI194" s="52"/>
      <c r="CJ194" s="52"/>
      <c r="CK194" s="52" t="s">
        <v>539</v>
      </c>
      <c r="CL194" s="52"/>
      <c r="CM194" s="52" t="s">
        <v>540</v>
      </c>
      <c r="CN194" s="52"/>
      <c r="CO194" s="52"/>
      <c r="CP194" s="52"/>
      <c r="CQ194" s="52" t="s">
        <v>540</v>
      </c>
      <c r="CR194" s="52"/>
      <c r="CS194" s="52"/>
      <c r="CT194" s="52"/>
      <c r="CU194" s="52"/>
      <c r="CV194" s="52"/>
      <c r="CW194" s="52"/>
      <c r="CX194" s="52"/>
      <c r="CY194" s="52"/>
      <c r="CZ194" s="52"/>
      <c r="DA194" s="52"/>
      <c r="DB194" s="52"/>
    </row>
    <row r="195" spans="82:106" ht="16.5" x14ac:dyDescent="0.2">
      <c r="CD195" s="52">
        <v>191</v>
      </c>
      <c r="CE195" s="52">
        <v>2</v>
      </c>
      <c r="CF195" s="54" t="s">
        <v>538</v>
      </c>
      <c r="CG195" s="52">
        <v>91</v>
      </c>
      <c r="CH195" s="52"/>
      <c r="CI195" s="52"/>
      <c r="CJ195" s="52"/>
      <c r="CK195" s="52" t="s">
        <v>539</v>
      </c>
      <c r="CL195" s="52"/>
      <c r="CM195" s="52" t="s">
        <v>540</v>
      </c>
      <c r="CN195" s="52"/>
      <c r="CO195" s="52"/>
      <c r="CP195" s="52"/>
      <c r="CQ195" s="52" t="s">
        <v>540</v>
      </c>
      <c r="CR195" s="52"/>
      <c r="CS195" s="52"/>
      <c r="CT195" s="52"/>
      <c r="CU195" s="52"/>
      <c r="CV195" s="52"/>
      <c r="CW195" s="52"/>
      <c r="CX195" s="52"/>
      <c r="CY195" s="52"/>
      <c r="CZ195" s="52"/>
      <c r="DA195" s="52"/>
      <c r="DB195" s="52"/>
    </row>
    <row r="196" spans="82:106" ht="16.5" x14ac:dyDescent="0.2">
      <c r="CD196" s="52">
        <v>192</v>
      </c>
      <c r="CE196" s="52">
        <v>2</v>
      </c>
      <c r="CF196" s="54" t="s">
        <v>538</v>
      </c>
      <c r="CG196" s="52">
        <v>92</v>
      </c>
      <c r="CH196" s="52"/>
      <c r="CI196" s="52"/>
      <c r="CJ196" s="52"/>
      <c r="CK196" s="52" t="s">
        <v>539</v>
      </c>
      <c r="CL196" s="52"/>
      <c r="CM196" s="52" t="s">
        <v>540</v>
      </c>
      <c r="CN196" s="52"/>
      <c r="CO196" s="52"/>
      <c r="CP196" s="52"/>
      <c r="CQ196" s="52" t="s">
        <v>540</v>
      </c>
      <c r="CR196" s="52"/>
      <c r="CS196" s="52"/>
      <c r="CT196" s="52"/>
      <c r="CU196" s="52"/>
      <c r="CV196" s="52"/>
      <c r="CW196" s="52"/>
      <c r="CX196" s="52"/>
      <c r="CY196" s="52"/>
      <c r="CZ196" s="52"/>
      <c r="DA196" s="52"/>
      <c r="DB196" s="52"/>
    </row>
    <row r="197" spans="82:106" ht="16.5" x14ac:dyDescent="0.2">
      <c r="CD197" s="52">
        <v>193</v>
      </c>
      <c r="CE197" s="52">
        <v>2</v>
      </c>
      <c r="CF197" s="54" t="s">
        <v>538</v>
      </c>
      <c r="CG197" s="52">
        <v>93</v>
      </c>
      <c r="CH197" s="52"/>
      <c r="CI197" s="52"/>
      <c r="CJ197" s="52"/>
      <c r="CK197" s="52" t="s">
        <v>539</v>
      </c>
      <c r="CL197" s="52"/>
      <c r="CM197" s="52" t="s">
        <v>540</v>
      </c>
      <c r="CN197" s="52"/>
      <c r="CO197" s="52"/>
      <c r="CP197" s="52"/>
      <c r="CQ197" s="52" t="s">
        <v>540</v>
      </c>
      <c r="CR197" s="52"/>
      <c r="CS197" s="52"/>
      <c r="CT197" s="52"/>
      <c r="CU197" s="52"/>
      <c r="CV197" s="52"/>
      <c r="CW197" s="52"/>
      <c r="CX197" s="52"/>
      <c r="CY197" s="52"/>
      <c r="CZ197" s="52"/>
      <c r="DA197" s="52"/>
      <c r="DB197" s="52"/>
    </row>
    <row r="198" spans="82:106" ht="16.5" x14ac:dyDescent="0.2">
      <c r="CD198" s="52">
        <v>194</v>
      </c>
      <c r="CE198" s="52">
        <v>2</v>
      </c>
      <c r="CF198" s="54" t="s">
        <v>538</v>
      </c>
      <c r="CG198" s="52">
        <v>94</v>
      </c>
      <c r="CH198" s="52"/>
      <c r="CI198" s="52"/>
      <c r="CJ198" s="52"/>
      <c r="CK198" s="52" t="s">
        <v>539</v>
      </c>
      <c r="CL198" s="52"/>
      <c r="CM198" s="52" t="s">
        <v>540</v>
      </c>
      <c r="CN198" s="52"/>
      <c r="CO198" s="52"/>
      <c r="CP198" s="52"/>
      <c r="CQ198" s="52" t="s">
        <v>540</v>
      </c>
      <c r="CR198" s="52"/>
      <c r="CS198" s="52"/>
      <c r="CT198" s="52"/>
      <c r="CU198" s="52"/>
      <c r="CV198" s="52"/>
      <c r="CW198" s="52"/>
      <c r="CX198" s="52"/>
      <c r="CY198" s="52"/>
      <c r="CZ198" s="52"/>
      <c r="DA198" s="52"/>
      <c r="DB198" s="52"/>
    </row>
    <row r="199" spans="82:106" ht="16.5" x14ac:dyDescent="0.2">
      <c r="CD199" s="52">
        <v>195</v>
      </c>
      <c r="CE199" s="52">
        <v>2</v>
      </c>
      <c r="CF199" s="54" t="s">
        <v>538</v>
      </c>
      <c r="CG199" s="52">
        <v>95</v>
      </c>
      <c r="CH199" s="52"/>
      <c r="CI199" s="52"/>
      <c r="CJ199" s="52"/>
      <c r="CK199" s="52" t="s">
        <v>539</v>
      </c>
      <c r="CL199" s="52"/>
      <c r="CM199" s="52" t="s">
        <v>540</v>
      </c>
      <c r="CN199" s="52"/>
      <c r="CO199" s="52"/>
      <c r="CP199" s="52"/>
      <c r="CQ199" s="52" t="s">
        <v>540</v>
      </c>
      <c r="CR199" s="52"/>
      <c r="CS199" s="52"/>
      <c r="CT199" s="52"/>
      <c r="CU199" s="52"/>
      <c r="CV199" s="52"/>
      <c r="CW199" s="52"/>
      <c r="CX199" s="52"/>
      <c r="CY199" s="52"/>
      <c r="CZ199" s="52"/>
      <c r="DA199" s="52"/>
      <c r="DB199" s="52"/>
    </row>
    <row r="200" spans="82:106" ht="16.5" x14ac:dyDescent="0.2">
      <c r="CD200" s="52">
        <v>196</v>
      </c>
      <c r="CE200" s="52">
        <v>2</v>
      </c>
      <c r="CF200" s="54" t="s">
        <v>538</v>
      </c>
      <c r="CG200" s="52">
        <v>96</v>
      </c>
      <c r="CH200" s="52"/>
      <c r="CI200" s="52"/>
      <c r="CJ200" s="52"/>
      <c r="CK200" s="52" t="s">
        <v>539</v>
      </c>
      <c r="CL200" s="52"/>
      <c r="CM200" s="52" t="s">
        <v>540</v>
      </c>
      <c r="CN200" s="52"/>
      <c r="CO200" s="52"/>
      <c r="CP200" s="52"/>
      <c r="CQ200" s="52" t="s">
        <v>540</v>
      </c>
      <c r="CR200" s="52"/>
      <c r="CS200" s="52"/>
      <c r="CT200" s="52"/>
      <c r="CU200" s="52"/>
      <c r="CV200" s="52"/>
      <c r="CW200" s="52"/>
      <c r="CX200" s="52"/>
      <c r="CY200" s="52"/>
      <c r="CZ200" s="52"/>
      <c r="DA200" s="52"/>
      <c r="DB200" s="52"/>
    </row>
    <row r="201" spans="82:106" ht="16.5" x14ac:dyDescent="0.2">
      <c r="CD201" s="52">
        <v>197</v>
      </c>
      <c r="CE201" s="52">
        <v>2</v>
      </c>
      <c r="CF201" s="54" t="s">
        <v>538</v>
      </c>
      <c r="CG201" s="52">
        <v>97</v>
      </c>
      <c r="CH201" s="52"/>
      <c r="CI201" s="52"/>
      <c r="CJ201" s="52"/>
      <c r="CK201" s="52" t="s">
        <v>539</v>
      </c>
      <c r="CL201" s="52"/>
      <c r="CM201" s="52" t="s">
        <v>540</v>
      </c>
      <c r="CN201" s="52"/>
      <c r="CO201" s="52"/>
      <c r="CP201" s="52"/>
      <c r="CQ201" s="52" t="s">
        <v>540</v>
      </c>
      <c r="CR201" s="52"/>
      <c r="CS201" s="52"/>
      <c r="CT201" s="52"/>
      <c r="CU201" s="52"/>
      <c r="CV201" s="52"/>
      <c r="CW201" s="52"/>
      <c r="CX201" s="52"/>
      <c r="CY201" s="52"/>
      <c r="CZ201" s="52"/>
      <c r="DA201" s="52"/>
      <c r="DB201" s="52"/>
    </row>
    <row r="202" spans="82:106" ht="16.5" x14ac:dyDescent="0.2">
      <c r="CD202" s="52">
        <v>198</v>
      </c>
      <c r="CE202" s="52">
        <v>2</v>
      </c>
      <c r="CF202" s="54" t="s">
        <v>538</v>
      </c>
      <c r="CG202" s="52">
        <v>98</v>
      </c>
      <c r="CH202" s="52"/>
      <c r="CI202" s="52"/>
      <c r="CJ202" s="52"/>
      <c r="CK202" s="52" t="s">
        <v>539</v>
      </c>
      <c r="CL202" s="52"/>
      <c r="CM202" s="52" t="s">
        <v>540</v>
      </c>
      <c r="CN202" s="52"/>
      <c r="CO202" s="52"/>
      <c r="CP202" s="52"/>
      <c r="CQ202" s="52" t="s">
        <v>540</v>
      </c>
      <c r="CR202" s="52"/>
      <c r="CS202" s="52"/>
      <c r="CT202" s="52"/>
      <c r="CU202" s="52"/>
      <c r="CV202" s="52"/>
      <c r="CW202" s="52"/>
      <c r="CX202" s="52"/>
      <c r="CY202" s="52"/>
      <c r="CZ202" s="52"/>
      <c r="DA202" s="52"/>
      <c r="DB202" s="52"/>
    </row>
    <row r="203" spans="82:106" ht="16.5" x14ac:dyDescent="0.2">
      <c r="CD203" s="52">
        <v>199</v>
      </c>
      <c r="CE203" s="52">
        <v>2</v>
      </c>
      <c r="CF203" s="54" t="s">
        <v>538</v>
      </c>
      <c r="CG203" s="52">
        <v>99</v>
      </c>
      <c r="CH203" s="52"/>
      <c r="CI203" s="52"/>
      <c r="CJ203" s="52"/>
      <c r="CK203" s="52" t="s">
        <v>539</v>
      </c>
      <c r="CL203" s="52"/>
      <c r="CM203" s="52" t="s">
        <v>540</v>
      </c>
      <c r="CN203" s="52"/>
      <c r="CO203" s="52"/>
      <c r="CP203" s="52"/>
      <c r="CQ203" s="52" t="s">
        <v>540</v>
      </c>
      <c r="CR203" s="52"/>
      <c r="CS203" s="52"/>
      <c r="CT203" s="52"/>
      <c r="CU203" s="52"/>
      <c r="CV203" s="52"/>
      <c r="CW203" s="52"/>
      <c r="CX203" s="52"/>
      <c r="CY203" s="52"/>
      <c r="CZ203" s="52"/>
      <c r="DA203" s="52"/>
      <c r="DB203" s="52"/>
    </row>
    <row r="204" spans="82:106" ht="16.5" x14ac:dyDescent="0.2">
      <c r="CD204" s="52">
        <v>200</v>
      </c>
      <c r="CE204" s="52">
        <v>2</v>
      </c>
      <c r="CF204" s="54" t="s">
        <v>538</v>
      </c>
      <c r="CG204" s="52">
        <v>100</v>
      </c>
      <c r="CH204" s="52"/>
      <c r="CI204" s="52"/>
      <c r="CJ204" s="52"/>
      <c r="CK204" s="52" t="s">
        <v>539</v>
      </c>
      <c r="CL204" s="52"/>
      <c r="CM204" s="52" t="s">
        <v>540</v>
      </c>
      <c r="CN204" s="52"/>
      <c r="CO204" s="52"/>
      <c r="CP204" s="52"/>
      <c r="CQ204" s="52" t="s">
        <v>540</v>
      </c>
      <c r="CR204" s="52"/>
      <c r="CS204" s="52"/>
      <c r="CT204" s="52"/>
      <c r="CU204" s="52"/>
      <c r="CV204" s="52"/>
      <c r="CW204" s="52"/>
      <c r="CX204" s="52"/>
      <c r="CY204" s="52"/>
      <c r="CZ204" s="52"/>
      <c r="DA204" s="52"/>
      <c r="DB204" s="52"/>
    </row>
    <row r="205" spans="82:106" ht="16.5" x14ac:dyDescent="0.2">
      <c r="CD205" s="52">
        <v>201</v>
      </c>
      <c r="CE205" s="52">
        <v>3</v>
      </c>
      <c r="CF205" s="54" t="s">
        <v>538</v>
      </c>
      <c r="CG205" s="52">
        <v>1</v>
      </c>
      <c r="CH205" s="52"/>
      <c r="CI205" s="52"/>
      <c r="CJ205" s="52"/>
      <c r="CK205" s="52" t="s">
        <v>539</v>
      </c>
      <c r="CL205" s="52"/>
      <c r="CM205" s="52" t="s">
        <v>540</v>
      </c>
      <c r="CN205" s="52"/>
      <c r="CO205" s="52"/>
      <c r="CP205" s="52"/>
      <c r="CQ205" s="52" t="s">
        <v>540</v>
      </c>
      <c r="CR205" s="52"/>
      <c r="CS205" s="52"/>
      <c r="CT205" s="52"/>
      <c r="CU205" s="52"/>
      <c r="CV205" s="52"/>
      <c r="CW205" s="52"/>
      <c r="CX205" s="52"/>
      <c r="CY205" s="52"/>
      <c r="CZ205" s="52"/>
      <c r="DA205" s="52"/>
      <c r="DB205" s="52"/>
    </row>
    <row r="206" spans="82:106" ht="16.5" x14ac:dyDescent="0.2">
      <c r="CD206" s="52">
        <v>202</v>
      </c>
      <c r="CE206" s="52">
        <v>3</v>
      </c>
      <c r="CF206" s="54" t="s">
        <v>538</v>
      </c>
      <c r="CG206" s="52">
        <v>2</v>
      </c>
      <c r="CH206" s="52"/>
      <c r="CI206" s="52"/>
      <c r="CJ206" s="52"/>
      <c r="CK206" s="52" t="s">
        <v>539</v>
      </c>
      <c r="CL206" s="52"/>
      <c r="CM206" s="52" t="s">
        <v>540</v>
      </c>
      <c r="CN206" s="52"/>
      <c r="CO206" s="52"/>
      <c r="CP206" s="52"/>
      <c r="CQ206" s="52" t="s">
        <v>540</v>
      </c>
      <c r="CR206" s="52"/>
      <c r="CS206" s="52"/>
      <c r="CT206" s="52"/>
      <c r="CU206" s="52"/>
      <c r="CV206" s="52"/>
      <c r="CW206" s="52"/>
      <c r="CX206" s="52"/>
      <c r="CY206" s="52"/>
      <c r="CZ206" s="52"/>
      <c r="DA206" s="52"/>
      <c r="DB206" s="52"/>
    </row>
    <row r="207" spans="82:106" ht="16.5" x14ac:dyDescent="0.2">
      <c r="CD207" s="52">
        <v>203</v>
      </c>
      <c r="CE207" s="52">
        <v>3</v>
      </c>
      <c r="CF207" s="54" t="s">
        <v>538</v>
      </c>
      <c r="CG207" s="52">
        <v>3</v>
      </c>
      <c r="CH207" s="52"/>
      <c r="CI207" s="52"/>
      <c r="CJ207" s="52"/>
      <c r="CK207" s="52" t="s">
        <v>539</v>
      </c>
      <c r="CL207" s="52"/>
      <c r="CM207" s="52" t="s">
        <v>540</v>
      </c>
      <c r="CN207" s="52"/>
      <c r="CO207" s="52"/>
      <c r="CP207" s="52"/>
      <c r="CQ207" s="52" t="s">
        <v>540</v>
      </c>
      <c r="CR207" s="52"/>
      <c r="CS207" s="52"/>
      <c r="CT207" s="52"/>
      <c r="CU207" s="52"/>
      <c r="CV207" s="52"/>
      <c r="CW207" s="52"/>
      <c r="CX207" s="52"/>
      <c r="CY207" s="52"/>
      <c r="CZ207" s="52"/>
      <c r="DA207" s="52"/>
      <c r="DB207" s="52"/>
    </row>
    <row r="208" spans="82:106" ht="16.5" x14ac:dyDescent="0.2">
      <c r="CD208" s="52">
        <v>204</v>
      </c>
      <c r="CE208" s="52">
        <v>3</v>
      </c>
      <c r="CF208" s="54" t="s">
        <v>538</v>
      </c>
      <c r="CG208" s="52">
        <v>4</v>
      </c>
      <c r="CH208" s="52"/>
      <c r="CI208" s="52"/>
      <c r="CJ208" s="52"/>
      <c r="CK208" s="52" t="s">
        <v>539</v>
      </c>
      <c r="CL208" s="52"/>
      <c r="CM208" s="52" t="s">
        <v>540</v>
      </c>
      <c r="CN208" s="52"/>
      <c r="CO208" s="52"/>
      <c r="CP208" s="52"/>
      <c r="CQ208" s="52" t="s">
        <v>540</v>
      </c>
      <c r="CR208" s="52"/>
      <c r="CS208" s="52"/>
      <c r="CT208" s="52"/>
      <c r="CU208" s="52"/>
      <c r="CV208" s="52"/>
      <c r="CW208" s="52"/>
      <c r="CX208" s="52"/>
      <c r="CY208" s="52"/>
      <c r="CZ208" s="52"/>
      <c r="DA208" s="52"/>
      <c r="DB208" s="52"/>
    </row>
    <row r="209" spans="82:106" ht="16.5" x14ac:dyDescent="0.2">
      <c r="CD209" s="52">
        <v>205</v>
      </c>
      <c r="CE209" s="52">
        <v>3</v>
      </c>
      <c r="CF209" s="54" t="s">
        <v>538</v>
      </c>
      <c r="CG209" s="52">
        <v>5</v>
      </c>
      <c r="CH209" s="52"/>
      <c r="CI209" s="52"/>
      <c r="CJ209" s="52"/>
      <c r="CK209" s="52" t="s">
        <v>539</v>
      </c>
      <c r="CL209" s="52"/>
      <c r="CM209" s="52" t="s">
        <v>540</v>
      </c>
      <c r="CN209" s="52"/>
      <c r="CO209" s="52"/>
      <c r="CP209" s="52"/>
      <c r="CQ209" s="52" t="s">
        <v>540</v>
      </c>
      <c r="CR209" s="52"/>
      <c r="CS209" s="52"/>
      <c r="CT209" s="52"/>
      <c r="CU209" s="52"/>
      <c r="CV209" s="52"/>
      <c r="CW209" s="52"/>
      <c r="CX209" s="52"/>
      <c r="CY209" s="52"/>
      <c r="CZ209" s="52"/>
      <c r="DA209" s="52"/>
      <c r="DB209" s="52"/>
    </row>
    <row r="210" spans="82:106" ht="16.5" x14ac:dyDescent="0.2">
      <c r="CD210" s="52">
        <v>206</v>
      </c>
      <c r="CE210" s="52">
        <v>3</v>
      </c>
      <c r="CF210" s="54" t="s">
        <v>538</v>
      </c>
      <c r="CG210" s="52">
        <v>6</v>
      </c>
      <c r="CH210" s="52"/>
      <c r="CI210" s="52"/>
      <c r="CJ210" s="52"/>
      <c r="CK210" s="52" t="s">
        <v>539</v>
      </c>
      <c r="CL210" s="52"/>
      <c r="CM210" s="52" t="s">
        <v>540</v>
      </c>
      <c r="CN210" s="52"/>
      <c r="CO210" s="52"/>
      <c r="CP210" s="52"/>
      <c r="CQ210" s="52" t="s">
        <v>540</v>
      </c>
      <c r="CR210" s="52"/>
      <c r="CS210" s="52"/>
      <c r="CT210" s="52"/>
      <c r="CU210" s="52"/>
      <c r="CV210" s="52"/>
      <c r="CW210" s="52"/>
      <c r="CX210" s="52"/>
      <c r="CY210" s="52"/>
      <c r="CZ210" s="52"/>
      <c r="DA210" s="52"/>
      <c r="DB210" s="52"/>
    </row>
    <row r="211" spans="82:106" ht="16.5" x14ac:dyDescent="0.2">
      <c r="CD211" s="52">
        <v>207</v>
      </c>
      <c r="CE211" s="52">
        <v>3</v>
      </c>
      <c r="CF211" s="54" t="s">
        <v>538</v>
      </c>
      <c r="CG211" s="52">
        <v>7</v>
      </c>
      <c r="CH211" s="52"/>
      <c r="CI211" s="52"/>
      <c r="CJ211" s="52"/>
      <c r="CK211" s="52" t="s">
        <v>539</v>
      </c>
      <c r="CL211" s="52"/>
      <c r="CM211" s="52" t="s">
        <v>540</v>
      </c>
      <c r="CN211" s="52"/>
      <c r="CO211" s="52"/>
      <c r="CP211" s="52"/>
      <c r="CQ211" s="52" t="s">
        <v>540</v>
      </c>
      <c r="CR211" s="52"/>
      <c r="CS211" s="52"/>
      <c r="CT211" s="52"/>
      <c r="CU211" s="52"/>
      <c r="CV211" s="52"/>
      <c r="CW211" s="52"/>
      <c r="CX211" s="52"/>
      <c r="CY211" s="52"/>
      <c r="CZ211" s="52"/>
      <c r="DA211" s="52"/>
      <c r="DB211" s="52"/>
    </row>
    <row r="212" spans="82:106" ht="16.5" x14ac:dyDescent="0.2">
      <c r="CD212" s="52">
        <v>208</v>
      </c>
      <c r="CE212" s="52">
        <v>3</v>
      </c>
      <c r="CF212" s="54" t="s">
        <v>538</v>
      </c>
      <c r="CG212" s="52">
        <v>8</v>
      </c>
      <c r="CH212" s="52"/>
      <c r="CI212" s="52"/>
      <c r="CJ212" s="52"/>
      <c r="CK212" s="52" t="s">
        <v>539</v>
      </c>
      <c r="CL212" s="52"/>
      <c r="CM212" s="52" t="s">
        <v>540</v>
      </c>
      <c r="CN212" s="52"/>
      <c r="CO212" s="52"/>
      <c r="CP212" s="52"/>
      <c r="CQ212" s="52" t="s">
        <v>540</v>
      </c>
      <c r="CR212" s="52"/>
      <c r="CS212" s="52"/>
      <c r="CT212" s="52"/>
      <c r="CU212" s="52"/>
      <c r="CV212" s="52"/>
      <c r="CW212" s="52"/>
      <c r="CX212" s="52"/>
      <c r="CY212" s="52"/>
      <c r="CZ212" s="52"/>
      <c r="DA212" s="52"/>
      <c r="DB212" s="52"/>
    </row>
    <row r="213" spans="82:106" ht="16.5" x14ac:dyDescent="0.2">
      <c r="CD213" s="52">
        <v>209</v>
      </c>
      <c r="CE213" s="52">
        <v>3</v>
      </c>
      <c r="CF213" s="54" t="s">
        <v>538</v>
      </c>
      <c r="CG213" s="52">
        <v>9</v>
      </c>
      <c r="CH213" s="52"/>
      <c r="CI213" s="52"/>
      <c r="CJ213" s="52"/>
      <c r="CK213" s="52" t="s">
        <v>539</v>
      </c>
      <c r="CL213" s="52"/>
      <c r="CM213" s="52" t="s">
        <v>540</v>
      </c>
      <c r="CN213" s="52"/>
      <c r="CO213" s="52"/>
      <c r="CP213" s="52"/>
      <c r="CQ213" s="52" t="s">
        <v>540</v>
      </c>
      <c r="CR213" s="52"/>
      <c r="CS213" s="52"/>
      <c r="CT213" s="52"/>
      <c r="CU213" s="52"/>
      <c r="CV213" s="52"/>
      <c r="CW213" s="52"/>
      <c r="CX213" s="52"/>
      <c r="CY213" s="52"/>
      <c r="CZ213" s="52"/>
      <c r="DA213" s="52"/>
      <c r="DB213" s="52"/>
    </row>
    <row r="214" spans="82:106" ht="16.5" x14ac:dyDescent="0.2">
      <c r="CD214" s="52">
        <v>210</v>
      </c>
      <c r="CE214" s="52">
        <v>3</v>
      </c>
      <c r="CF214" s="54" t="s">
        <v>538</v>
      </c>
      <c r="CG214" s="52">
        <v>10</v>
      </c>
      <c r="CH214" s="52"/>
      <c r="CI214" s="52"/>
      <c r="CJ214" s="52"/>
      <c r="CK214" s="52" t="s">
        <v>539</v>
      </c>
      <c r="CL214" s="52"/>
      <c r="CM214" s="52" t="s">
        <v>540</v>
      </c>
      <c r="CN214" s="52"/>
      <c r="CO214" s="52"/>
      <c r="CP214" s="52"/>
      <c r="CQ214" s="52" t="s">
        <v>540</v>
      </c>
      <c r="CR214" s="52"/>
      <c r="CS214" s="52"/>
      <c r="CT214" s="52"/>
      <c r="CU214" s="52"/>
      <c r="CV214" s="52"/>
      <c r="CW214" s="52"/>
      <c r="CX214" s="52"/>
      <c r="CY214" s="52"/>
      <c r="CZ214" s="52"/>
      <c r="DA214" s="52"/>
      <c r="DB214" s="52"/>
    </row>
    <row r="215" spans="82:106" ht="16.5" x14ac:dyDescent="0.2">
      <c r="CD215" s="52">
        <v>211</v>
      </c>
      <c r="CE215" s="52">
        <v>3</v>
      </c>
      <c r="CF215" s="54" t="s">
        <v>538</v>
      </c>
      <c r="CG215" s="52">
        <v>11</v>
      </c>
      <c r="CH215" s="52"/>
      <c r="CI215" s="52"/>
      <c r="CJ215" s="52"/>
      <c r="CK215" s="52" t="s">
        <v>539</v>
      </c>
      <c r="CL215" s="52"/>
      <c r="CM215" s="52" t="s">
        <v>540</v>
      </c>
      <c r="CN215" s="52"/>
      <c r="CO215" s="52"/>
      <c r="CP215" s="52"/>
      <c r="CQ215" s="52" t="s">
        <v>540</v>
      </c>
      <c r="CR215" s="52"/>
      <c r="CS215" s="52"/>
      <c r="CT215" s="52"/>
      <c r="CU215" s="52"/>
      <c r="CV215" s="52"/>
      <c r="CW215" s="52"/>
      <c r="CX215" s="52"/>
      <c r="CY215" s="52"/>
      <c r="CZ215" s="52"/>
      <c r="DA215" s="52"/>
      <c r="DB215" s="52"/>
    </row>
    <row r="216" spans="82:106" ht="16.5" x14ac:dyDescent="0.2">
      <c r="CD216" s="52">
        <v>212</v>
      </c>
      <c r="CE216" s="52">
        <v>3</v>
      </c>
      <c r="CF216" s="54" t="s">
        <v>538</v>
      </c>
      <c r="CG216" s="52">
        <v>12</v>
      </c>
      <c r="CH216" s="52"/>
      <c r="CI216" s="52"/>
      <c r="CJ216" s="52"/>
      <c r="CK216" s="52" t="s">
        <v>539</v>
      </c>
      <c r="CL216" s="52"/>
      <c r="CM216" s="52" t="s">
        <v>540</v>
      </c>
      <c r="CN216" s="52"/>
      <c r="CO216" s="52"/>
      <c r="CP216" s="52"/>
      <c r="CQ216" s="52" t="s">
        <v>540</v>
      </c>
      <c r="CR216" s="52"/>
      <c r="CS216" s="52"/>
      <c r="CT216" s="52"/>
      <c r="CU216" s="52"/>
      <c r="CV216" s="52"/>
      <c r="CW216" s="52"/>
      <c r="CX216" s="52"/>
      <c r="CY216" s="52"/>
      <c r="CZ216" s="52"/>
      <c r="DA216" s="52"/>
      <c r="DB216" s="52"/>
    </row>
    <row r="217" spans="82:106" ht="16.5" x14ac:dyDescent="0.2">
      <c r="CD217" s="52">
        <v>213</v>
      </c>
      <c r="CE217" s="52">
        <v>3</v>
      </c>
      <c r="CF217" s="54" t="s">
        <v>538</v>
      </c>
      <c r="CG217" s="52">
        <v>13</v>
      </c>
      <c r="CH217" s="52"/>
      <c r="CI217" s="52"/>
      <c r="CJ217" s="52"/>
      <c r="CK217" s="52" t="s">
        <v>539</v>
      </c>
      <c r="CL217" s="52"/>
      <c r="CM217" s="52" t="s">
        <v>540</v>
      </c>
      <c r="CN217" s="52"/>
      <c r="CO217" s="52"/>
      <c r="CP217" s="52"/>
      <c r="CQ217" s="52" t="s">
        <v>540</v>
      </c>
      <c r="CR217" s="52"/>
      <c r="CS217" s="52"/>
      <c r="CT217" s="52"/>
      <c r="CU217" s="52"/>
      <c r="CV217" s="52"/>
      <c r="CW217" s="52"/>
      <c r="CX217" s="52"/>
      <c r="CY217" s="52"/>
      <c r="CZ217" s="52"/>
      <c r="DA217" s="52"/>
      <c r="DB217" s="52"/>
    </row>
    <row r="218" spans="82:106" ht="16.5" x14ac:dyDescent="0.2">
      <c r="CD218" s="52">
        <v>214</v>
      </c>
      <c r="CE218" s="52">
        <v>3</v>
      </c>
      <c r="CF218" s="54" t="s">
        <v>538</v>
      </c>
      <c r="CG218" s="52">
        <v>14</v>
      </c>
      <c r="CH218" s="52"/>
      <c r="CI218" s="52"/>
      <c r="CJ218" s="52"/>
      <c r="CK218" s="52" t="s">
        <v>539</v>
      </c>
      <c r="CL218" s="52"/>
      <c r="CM218" s="52" t="s">
        <v>540</v>
      </c>
      <c r="CN218" s="52"/>
      <c r="CO218" s="52"/>
      <c r="CP218" s="52"/>
      <c r="CQ218" s="52" t="s">
        <v>540</v>
      </c>
      <c r="CR218" s="52"/>
      <c r="CS218" s="52"/>
      <c r="CT218" s="52"/>
      <c r="CU218" s="52"/>
      <c r="CV218" s="52"/>
      <c r="CW218" s="52"/>
      <c r="CX218" s="52"/>
      <c r="CY218" s="52"/>
      <c r="CZ218" s="52"/>
      <c r="DA218" s="52"/>
      <c r="DB218" s="52"/>
    </row>
    <row r="219" spans="82:106" ht="16.5" x14ac:dyDescent="0.2">
      <c r="CD219" s="52">
        <v>215</v>
      </c>
      <c r="CE219" s="52">
        <v>3</v>
      </c>
      <c r="CF219" s="54" t="s">
        <v>538</v>
      </c>
      <c r="CG219" s="52">
        <v>15</v>
      </c>
      <c r="CH219" s="52"/>
      <c r="CI219" s="52"/>
      <c r="CJ219" s="52"/>
      <c r="CK219" s="52" t="s">
        <v>539</v>
      </c>
      <c r="CL219" s="52"/>
      <c r="CM219" s="52" t="s">
        <v>540</v>
      </c>
      <c r="CN219" s="52"/>
      <c r="CO219" s="52"/>
      <c r="CP219" s="52"/>
      <c r="CQ219" s="52" t="s">
        <v>540</v>
      </c>
      <c r="CR219" s="52"/>
      <c r="CS219" s="52"/>
      <c r="CT219" s="52"/>
      <c r="CU219" s="52"/>
      <c r="CV219" s="52"/>
      <c r="CW219" s="52"/>
      <c r="CX219" s="52"/>
      <c r="CY219" s="52"/>
      <c r="CZ219" s="52"/>
      <c r="DA219" s="52"/>
      <c r="DB219" s="52"/>
    </row>
    <row r="220" spans="82:106" ht="16.5" x14ac:dyDescent="0.2">
      <c r="CD220" s="52">
        <v>216</v>
      </c>
      <c r="CE220" s="52">
        <v>3</v>
      </c>
      <c r="CF220" s="54" t="s">
        <v>538</v>
      </c>
      <c r="CG220" s="52">
        <v>16</v>
      </c>
      <c r="CH220" s="52"/>
      <c r="CI220" s="52"/>
      <c r="CJ220" s="52"/>
      <c r="CK220" s="52" t="s">
        <v>539</v>
      </c>
      <c r="CL220" s="52"/>
      <c r="CM220" s="52" t="s">
        <v>540</v>
      </c>
      <c r="CN220" s="52"/>
      <c r="CO220" s="52"/>
      <c r="CP220" s="52"/>
      <c r="CQ220" s="52" t="s">
        <v>540</v>
      </c>
      <c r="CR220" s="52"/>
      <c r="CS220" s="52"/>
      <c r="CT220" s="52"/>
      <c r="CU220" s="52"/>
      <c r="CV220" s="52"/>
      <c r="CW220" s="52"/>
      <c r="CX220" s="52"/>
      <c r="CY220" s="52"/>
      <c r="CZ220" s="52"/>
      <c r="DA220" s="52"/>
      <c r="DB220" s="52"/>
    </row>
    <row r="221" spans="82:106" ht="16.5" x14ac:dyDescent="0.2">
      <c r="CD221" s="52">
        <v>217</v>
      </c>
      <c r="CE221" s="52">
        <v>3</v>
      </c>
      <c r="CF221" s="54" t="s">
        <v>538</v>
      </c>
      <c r="CG221" s="52">
        <v>17</v>
      </c>
      <c r="CH221" s="52"/>
      <c r="CI221" s="52"/>
      <c r="CJ221" s="52"/>
      <c r="CK221" s="52" t="s">
        <v>539</v>
      </c>
      <c r="CL221" s="52"/>
      <c r="CM221" s="52" t="s">
        <v>540</v>
      </c>
      <c r="CN221" s="52"/>
      <c r="CO221" s="52"/>
      <c r="CP221" s="52"/>
      <c r="CQ221" s="52" t="s">
        <v>540</v>
      </c>
      <c r="CR221" s="52"/>
      <c r="CS221" s="52"/>
      <c r="CT221" s="52"/>
      <c r="CU221" s="52"/>
      <c r="CV221" s="52"/>
      <c r="CW221" s="52"/>
      <c r="CX221" s="52"/>
      <c r="CY221" s="52"/>
      <c r="CZ221" s="52"/>
      <c r="DA221" s="52"/>
      <c r="DB221" s="52"/>
    </row>
    <row r="222" spans="82:106" ht="16.5" x14ac:dyDescent="0.2">
      <c r="CD222" s="52">
        <v>218</v>
      </c>
      <c r="CE222" s="52">
        <v>3</v>
      </c>
      <c r="CF222" s="54" t="s">
        <v>538</v>
      </c>
      <c r="CG222" s="52">
        <v>18</v>
      </c>
      <c r="CH222" s="52"/>
      <c r="CI222" s="52"/>
      <c r="CJ222" s="52"/>
      <c r="CK222" s="52" t="s">
        <v>539</v>
      </c>
      <c r="CL222" s="52"/>
      <c r="CM222" s="52" t="s">
        <v>540</v>
      </c>
      <c r="CN222" s="52"/>
      <c r="CO222" s="52"/>
      <c r="CP222" s="52"/>
      <c r="CQ222" s="52" t="s">
        <v>540</v>
      </c>
      <c r="CR222" s="52"/>
      <c r="CS222" s="52"/>
      <c r="CT222" s="52"/>
      <c r="CU222" s="52"/>
      <c r="CV222" s="52"/>
      <c r="CW222" s="52"/>
      <c r="CX222" s="52"/>
      <c r="CY222" s="52"/>
      <c r="CZ222" s="52"/>
      <c r="DA222" s="52"/>
      <c r="DB222" s="52"/>
    </row>
    <row r="223" spans="82:106" ht="16.5" x14ac:dyDescent="0.2">
      <c r="CD223" s="52">
        <v>219</v>
      </c>
      <c r="CE223" s="52">
        <v>3</v>
      </c>
      <c r="CF223" s="54" t="s">
        <v>538</v>
      </c>
      <c r="CG223" s="52">
        <v>19</v>
      </c>
      <c r="CH223" s="52"/>
      <c r="CI223" s="52"/>
      <c r="CJ223" s="52"/>
      <c r="CK223" s="52" t="s">
        <v>539</v>
      </c>
      <c r="CL223" s="52"/>
      <c r="CM223" s="52" t="s">
        <v>540</v>
      </c>
      <c r="CN223" s="52"/>
      <c r="CO223" s="52"/>
      <c r="CP223" s="52"/>
      <c r="CQ223" s="52" t="s">
        <v>540</v>
      </c>
      <c r="CR223" s="52"/>
      <c r="CS223" s="52"/>
      <c r="CT223" s="52"/>
      <c r="CU223" s="52"/>
      <c r="CV223" s="52"/>
      <c r="CW223" s="52"/>
      <c r="CX223" s="52"/>
      <c r="CY223" s="52"/>
      <c r="CZ223" s="52"/>
      <c r="DA223" s="52"/>
      <c r="DB223" s="52"/>
    </row>
    <row r="224" spans="82:106" ht="16.5" x14ac:dyDescent="0.2">
      <c r="CD224" s="52">
        <v>220</v>
      </c>
      <c r="CE224" s="52">
        <v>3</v>
      </c>
      <c r="CF224" s="54" t="s">
        <v>538</v>
      </c>
      <c r="CG224" s="52">
        <v>20</v>
      </c>
      <c r="CH224" s="52"/>
      <c r="CI224" s="52"/>
      <c r="CJ224" s="52"/>
      <c r="CK224" s="52" t="s">
        <v>539</v>
      </c>
      <c r="CL224" s="52"/>
      <c r="CM224" s="52" t="s">
        <v>540</v>
      </c>
      <c r="CN224" s="52"/>
      <c r="CO224" s="52"/>
      <c r="CP224" s="52"/>
      <c r="CQ224" s="52" t="s">
        <v>540</v>
      </c>
      <c r="CR224" s="52"/>
      <c r="CS224" s="52"/>
      <c r="CT224" s="52"/>
      <c r="CU224" s="52"/>
      <c r="CV224" s="52"/>
      <c r="CW224" s="52"/>
      <c r="CX224" s="52"/>
      <c r="CY224" s="52"/>
      <c r="CZ224" s="52"/>
      <c r="DA224" s="52"/>
      <c r="DB224" s="52"/>
    </row>
    <row r="225" spans="82:106" ht="16.5" x14ac:dyDescent="0.2">
      <c r="CD225" s="52">
        <v>221</v>
      </c>
      <c r="CE225" s="52">
        <v>3</v>
      </c>
      <c r="CF225" s="54" t="s">
        <v>538</v>
      </c>
      <c r="CG225" s="52">
        <v>21</v>
      </c>
      <c r="CH225" s="52"/>
      <c r="CI225" s="52"/>
      <c r="CJ225" s="52"/>
      <c r="CK225" s="52" t="s">
        <v>539</v>
      </c>
      <c r="CL225" s="52"/>
      <c r="CM225" s="52" t="s">
        <v>540</v>
      </c>
      <c r="CN225" s="52"/>
      <c r="CO225" s="52"/>
      <c r="CP225" s="52"/>
      <c r="CQ225" s="52" t="s">
        <v>540</v>
      </c>
      <c r="CR225" s="52"/>
      <c r="CS225" s="52"/>
      <c r="CT225" s="52"/>
      <c r="CU225" s="52"/>
      <c r="CV225" s="52"/>
      <c r="CW225" s="52"/>
      <c r="CX225" s="52"/>
      <c r="CY225" s="52"/>
      <c r="CZ225" s="52"/>
      <c r="DA225" s="52"/>
      <c r="DB225" s="52"/>
    </row>
    <row r="226" spans="82:106" ht="16.5" x14ac:dyDescent="0.2">
      <c r="CD226" s="52">
        <v>222</v>
      </c>
      <c r="CE226" s="52">
        <v>3</v>
      </c>
      <c r="CF226" s="54" t="s">
        <v>538</v>
      </c>
      <c r="CG226" s="52">
        <v>22</v>
      </c>
      <c r="CH226" s="52"/>
      <c r="CI226" s="52"/>
      <c r="CJ226" s="52"/>
      <c r="CK226" s="52" t="s">
        <v>539</v>
      </c>
      <c r="CL226" s="52"/>
      <c r="CM226" s="52" t="s">
        <v>540</v>
      </c>
      <c r="CN226" s="52"/>
      <c r="CO226" s="52"/>
      <c r="CP226" s="52"/>
      <c r="CQ226" s="52" t="s">
        <v>540</v>
      </c>
      <c r="CR226" s="52"/>
      <c r="CS226" s="52"/>
      <c r="CT226" s="52"/>
      <c r="CU226" s="52"/>
      <c r="CV226" s="52"/>
      <c r="CW226" s="52"/>
      <c r="CX226" s="52"/>
      <c r="CY226" s="52"/>
      <c r="CZ226" s="52"/>
      <c r="DA226" s="52"/>
      <c r="DB226" s="52"/>
    </row>
    <row r="227" spans="82:106" ht="16.5" x14ac:dyDescent="0.2">
      <c r="CD227" s="52">
        <v>223</v>
      </c>
      <c r="CE227" s="52">
        <v>3</v>
      </c>
      <c r="CF227" s="54" t="s">
        <v>538</v>
      </c>
      <c r="CG227" s="52">
        <v>23</v>
      </c>
      <c r="CH227" s="52"/>
      <c r="CI227" s="52"/>
      <c r="CJ227" s="52"/>
      <c r="CK227" s="52" t="s">
        <v>539</v>
      </c>
      <c r="CL227" s="52"/>
      <c r="CM227" s="52" t="s">
        <v>540</v>
      </c>
      <c r="CN227" s="52"/>
      <c r="CO227" s="52"/>
      <c r="CP227" s="52"/>
      <c r="CQ227" s="52" t="s">
        <v>540</v>
      </c>
      <c r="CR227" s="52"/>
      <c r="CS227" s="52"/>
      <c r="CT227" s="52"/>
      <c r="CU227" s="52"/>
      <c r="CV227" s="52"/>
      <c r="CW227" s="52"/>
      <c r="CX227" s="52"/>
      <c r="CY227" s="52"/>
      <c r="CZ227" s="52"/>
      <c r="DA227" s="52"/>
      <c r="DB227" s="52"/>
    </row>
    <row r="228" spans="82:106" ht="16.5" x14ac:dyDescent="0.2">
      <c r="CD228" s="52">
        <v>224</v>
      </c>
      <c r="CE228" s="52">
        <v>3</v>
      </c>
      <c r="CF228" s="54" t="s">
        <v>538</v>
      </c>
      <c r="CG228" s="52">
        <v>24</v>
      </c>
      <c r="CH228" s="52"/>
      <c r="CI228" s="52"/>
      <c r="CJ228" s="52"/>
      <c r="CK228" s="52" t="s">
        <v>539</v>
      </c>
      <c r="CL228" s="52"/>
      <c r="CM228" s="52" t="s">
        <v>540</v>
      </c>
      <c r="CN228" s="52"/>
      <c r="CO228" s="52"/>
      <c r="CP228" s="52"/>
      <c r="CQ228" s="52" t="s">
        <v>540</v>
      </c>
      <c r="CR228" s="52"/>
      <c r="CS228" s="52"/>
      <c r="CT228" s="52"/>
      <c r="CU228" s="52"/>
      <c r="CV228" s="52"/>
      <c r="CW228" s="52"/>
      <c r="CX228" s="52"/>
      <c r="CY228" s="52"/>
      <c r="CZ228" s="52"/>
      <c r="DA228" s="52"/>
      <c r="DB228" s="52"/>
    </row>
    <row r="229" spans="82:106" ht="16.5" x14ac:dyDescent="0.2">
      <c r="CD229" s="52">
        <v>225</v>
      </c>
      <c r="CE229" s="52">
        <v>3</v>
      </c>
      <c r="CF229" s="54" t="s">
        <v>538</v>
      </c>
      <c r="CG229" s="52">
        <v>25</v>
      </c>
      <c r="CH229" s="52"/>
      <c r="CI229" s="52"/>
      <c r="CJ229" s="52"/>
      <c r="CK229" s="52" t="s">
        <v>539</v>
      </c>
      <c r="CL229" s="52"/>
      <c r="CM229" s="52" t="s">
        <v>540</v>
      </c>
      <c r="CN229" s="52"/>
      <c r="CO229" s="52"/>
      <c r="CP229" s="52"/>
      <c r="CQ229" s="52" t="s">
        <v>540</v>
      </c>
      <c r="CR229" s="52"/>
      <c r="CS229" s="52"/>
      <c r="CT229" s="52"/>
      <c r="CU229" s="52"/>
      <c r="CV229" s="52"/>
      <c r="CW229" s="52"/>
      <c r="CX229" s="52"/>
      <c r="CY229" s="52"/>
      <c r="CZ229" s="52"/>
      <c r="DA229" s="52"/>
      <c r="DB229" s="52"/>
    </row>
    <row r="230" spans="82:106" ht="16.5" x14ac:dyDescent="0.2">
      <c r="CD230" s="52">
        <v>226</v>
      </c>
      <c r="CE230" s="52">
        <v>3</v>
      </c>
      <c r="CF230" s="54" t="s">
        <v>538</v>
      </c>
      <c r="CG230" s="52">
        <v>26</v>
      </c>
      <c r="CH230" s="52"/>
      <c r="CI230" s="52"/>
      <c r="CJ230" s="52"/>
      <c r="CK230" s="52" t="s">
        <v>539</v>
      </c>
      <c r="CL230" s="52"/>
      <c r="CM230" s="52" t="s">
        <v>540</v>
      </c>
      <c r="CN230" s="52"/>
      <c r="CO230" s="52"/>
      <c r="CP230" s="52"/>
      <c r="CQ230" s="52" t="s">
        <v>540</v>
      </c>
      <c r="CR230" s="52"/>
      <c r="CS230" s="52"/>
      <c r="CT230" s="52"/>
      <c r="CU230" s="52"/>
      <c r="CV230" s="52"/>
      <c r="CW230" s="52"/>
      <c r="CX230" s="52"/>
      <c r="CY230" s="52"/>
      <c r="CZ230" s="52"/>
      <c r="DA230" s="52"/>
      <c r="DB230" s="52"/>
    </row>
    <row r="231" spans="82:106" ht="16.5" x14ac:dyDescent="0.2">
      <c r="CD231" s="52">
        <v>227</v>
      </c>
      <c r="CE231" s="52">
        <v>3</v>
      </c>
      <c r="CF231" s="54" t="s">
        <v>538</v>
      </c>
      <c r="CG231" s="52">
        <v>27</v>
      </c>
      <c r="CH231" s="52"/>
      <c r="CI231" s="52"/>
      <c r="CJ231" s="52"/>
      <c r="CK231" s="52" t="s">
        <v>539</v>
      </c>
      <c r="CL231" s="52"/>
      <c r="CM231" s="52" t="s">
        <v>540</v>
      </c>
      <c r="CN231" s="52"/>
      <c r="CO231" s="52"/>
      <c r="CP231" s="52"/>
      <c r="CQ231" s="52" t="s">
        <v>540</v>
      </c>
      <c r="CR231" s="52"/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</row>
    <row r="232" spans="82:106" ht="16.5" x14ac:dyDescent="0.2">
      <c r="CD232" s="52">
        <v>228</v>
      </c>
      <c r="CE232" s="52">
        <v>3</v>
      </c>
      <c r="CF232" s="54" t="s">
        <v>538</v>
      </c>
      <c r="CG232" s="52">
        <v>28</v>
      </c>
      <c r="CH232" s="52"/>
      <c r="CI232" s="52"/>
      <c r="CJ232" s="52"/>
      <c r="CK232" s="52" t="s">
        <v>539</v>
      </c>
      <c r="CL232" s="52"/>
      <c r="CM232" s="52" t="s">
        <v>540</v>
      </c>
      <c r="CN232" s="52"/>
      <c r="CO232" s="52"/>
      <c r="CP232" s="52"/>
      <c r="CQ232" s="52" t="s">
        <v>540</v>
      </c>
      <c r="CR232" s="52"/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</row>
    <row r="233" spans="82:106" ht="16.5" x14ac:dyDescent="0.2">
      <c r="CD233" s="52">
        <v>229</v>
      </c>
      <c r="CE233" s="52">
        <v>3</v>
      </c>
      <c r="CF233" s="54" t="s">
        <v>538</v>
      </c>
      <c r="CG233" s="52">
        <v>29</v>
      </c>
      <c r="CH233" s="52"/>
      <c r="CI233" s="52"/>
      <c r="CJ233" s="52"/>
      <c r="CK233" s="52" t="s">
        <v>539</v>
      </c>
      <c r="CL233" s="52"/>
      <c r="CM233" s="52" t="s">
        <v>540</v>
      </c>
      <c r="CN233" s="52"/>
      <c r="CO233" s="52"/>
      <c r="CP233" s="52"/>
      <c r="CQ233" s="52" t="s">
        <v>540</v>
      </c>
      <c r="CR233" s="52"/>
      <c r="CS233" s="52"/>
      <c r="CT233" s="52"/>
      <c r="CU233" s="52"/>
      <c r="CV233" s="52"/>
      <c r="CW233" s="52"/>
      <c r="CX233" s="52"/>
      <c r="CY233" s="52"/>
      <c r="CZ233" s="52"/>
      <c r="DA233" s="52"/>
      <c r="DB233" s="52"/>
    </row>
    <row r="234" spans="82:106" ht="16.5" x14ac:dyDescent="0.2">
      <c r="CD234" s="52">
        <v>230</v>
      </c>
      <c r="CE234" s="52">
        <v>3</v>
      </c>
      <c r="CF234" s="54" t="s">
        <v>538</v>
      </c>
      <c r="CG234" s="52">
        <v>30</v>
      </c>
      <c r="CH234" s="52"/>
      <c r="CI234" s="52"/>
      <c r="CJ234" s="52"/>
      <c r="CK234" s="52" t="s">
        <v>539</v>
      </c>
      <c r="CL234" s="52"/>
      <c r="CM234" s="52" t="s">
        <v>540</v>
      </c>
      <c r="CN234" s="52"/>
      <c r="CO234" s="52"/>
      <c r="CP234" s="52"/>
      <c r="CQ234" s="52" t="s">
        <v>540</v>
      </c>
      <c r="CR234" s="52"/>
      <c r="CS234" s="52"/>
      <c r="CT234" s="52"/>
      <c r="CU234" s="52"/>
      <c r="CV234" s="52"/>
      <c r="CW234" s="52"/>
      <c r="CX234" s="52"/>
      <c r="CY234" s="52"/>
      <c r="CZ234" s="52"/>
      <c r="DA234" s="52"/>
      <c r="DB234" s="52"/>
    </row>
    <row r="235" spans="82:106" ht="16.5" x14ac:dyDescent="0.2">
      <c r="CD235" s="52">
        <v>231</v>
      </c>
      <c r="CE235" s="52">
        <v>3</v>
      </c>
      <c r="CF235" s="54" t="s">
        <v>538</v>
      </c>
      <c r="CG235" s="52">
        <v>31</v>
      </c>
      <c r="CH235" s="52"/>
      <c r="CI235" s="52"/>
      <c r="CJ235" s="52"/>
      <c r="CK235" s="52" t="s">
        <v>539</v>
      </c>
      <c r="CL235" s="52"/>
      <c r="CM235" s="52" t="s">
        <v>540</v>
      </c>
      <c r="CN235" s="52"/>
      <c r="CO235" s="52"/>
      <c r="CP235" s="52"/>
      <c r="CQ235" s="52" t="s">
        <v>540</v>
      </c>
      <c r="CR235" s="52"/>
      <c r="CS235" s="52"/>
      <c r="CT235" s="52"/>
      <c r="CU235" s="52"/>
      <c r="CV235" s="52"/>
      <c r="CW235" s="52"/>
      <c r="CX235" s="52"/>
      <c r="CY235" s="52"/>
      <c r="CZ235" s="52"/>
      <c r="DA235" s="52"/>
      <c r="DB235" s="52"/>
    </row>
    <row r="236" spans="82:106" ht="16.5" x14ac:dyDescent="0.2">
      <c r="CD236" s="52">
        <v>232</v>
      </c>
      <c r="CE236" s="52">
        <v>3</v>
      </c>
      <c r="CF236" s="54" t="s">
        <v>538</v>
      </c>
      <c r="CG236" s="52">
        <v>32</v>
      </c>
      <c r="CH236" s="52"/>
      <c r="CI236" s="52"/>
      <c r="CJ236" s="52"/>
      <c r="CK236" s="52" t="s">
        <v>539</v>
      </c>
      <c r="CL236" s="52"/>
      <c r="CM236" s="52" t="s">
        <v>540</v>
      </c>
      <c r="CN236" s="52"/>
      <c r="CO236" s="52"/>
      <c r="CP236" s="52"/>
      <c r="CQ236" s="52" t="s">
        <v>540</v>
      </c>
      <c r="CR236" s="52"/>
      <c r="CS236" s="52"/>
      <c r="CT236" s="52"/>
      <c r="CU236" s="52"/>
      <c r="CV236" s="52"/>
      <c r="CW236" s="52"/>
      <c r="CX236" s="52"/>
      <c r="CY236" s="52"/>
      <c r="CZ236" s="52"/>
      <c r="DA236" s="52"/>
      <c r="DB236" s="52"/>
    </row>
    <row r="237" spans="82:106" ht="16.5" x14ac:dyDescent="0.2">
      <c r="CD237" s="52">
        <v>233</v>
      </c>
      <c r="CE237" s="52">
        <v>3</v>
      </c>
      <c r="CF237" s="54" t="s">
        <v>538</v>
      </c>
      <c r="CG237" s="52">
        <v>33</v>
      </c>
      <c r="CH237" s="52"/>
      <c r="CI237" s="52"/>
      <c r="CJ237" s="52"/>
      <c r="CK237" s="52" t="s">
        <v>539</v>
      </c>
      <c r="CL237" s="52"/>
      <c r="CM237" s="52" t="s">
        <v>540</v>
      </c>
      <c r="CN237" s="52"/>
      <c r="CO237" s="52"/>
      <c r="CP237" s="52"/>
      <c r="CQ237" s="52" t="s">
        <v>540</v>
      </c>
      <c r="CR237" s="52"/>
      <c r="CS237" s="52"/>
      <c r="CT237" s="52"/>
      <c r="CU237" s="52"/>
      <c r="CV237" s="52"/>
      <c r="CW237" s="52"/>
      <c r="CX237" s="52"/>
      <c r="CY237" s="52"/>
      <c r="CZ237" s="52"/>
      <c r="DA237" s="52"/>
      <c r="DB237" s="52"/>
    </row>
    <row r="238" spans="82:106" ht="16.5" x14ac:dyDescent="0.2">
      <c r="CD238" s="52">
        <v>234</v>
      </c>
      <c r="CE238" s="52">
        <v>3</v>
      </c>
      <c r="CF238" s="54" t="s">
        <v>538</v>
      </c>
      <c r="CG238" s="52">
        <v>34</v>
      </c>
      <c r="CH238" s="52"/>
      <c r="CI238" s="52"/>
      <c r="CJ238" s="52"/>
      <c r="CK238" s="52" t="s">
        <v>539</v>
      </c>
      <c r="CL238" s="52"/>
      <c r="CM238" s="52" t="s">
        <v>540</v>
      </c>
      <c r="CN238" s="52"/>
      <c r="CO238" s="52"/>
      <c r="CP238" s="52"/>
      <c r="CQ238" s="52" t="s">
        <v>540</v>
      </c>
      <c r="CR238" s="52"/>
      <c r="CS238" s="52"/>
      <c r="CT238" s="52"/>
      <c r="CU238" s="52"/>
      <c r="CV238" s="52"/>
      <c r="CW238" s="52"/>
      <c r="CX238" s="52"/>
      <c r="CY238" s="52"/>
      <c r="CZ238" s="52"/>
      <c r="DA238" s="52"/>
      <c r="DB238" s="52"/>
    </row>
    <row r="239" spans="82:106" ht="16.5" x14ac:dyDescent="0.2">
      <c r="CD239" s="52">
        <v>235</v>
      </c>
      <c r="CE239" s="52">
        <v>3</v>
      </c>
      <c r="CF239" s="54" t="s">
        <v>538</v>
      </c>
      <c r="CG239" s="52">
        <v>35</v>
      </c>
      <c r="CH239" s="52"/>
      <c r="CI239" s="52"/>
      <c r="CJ239" s="52"/>
      <c r="CK239" s="52" t="s">
        <v>539</v>
      </c>
      <c r="CL239" s="52"/>
      <c r="CM239" s="52" t="s">
        <v>540</v>
      </c>
      <c r="CN239" s="52"/>
      <c r="CO239" s="52"/>
      <c r="CP239" s="52"/>
      <c r="CQ239" s="52" t="s">
        <v>540</v>
      </c>
      <c r="CR239" s="52"/>
      <c r="CS239" s="52"/>
      <c r="CT239" s="52"/>
      <c r="CU239" s="52"/>
      <c r="CV239" s="52"/>
      <c r="CW239" s="52"/>
      <c r="CX239" s="52"/>
      <c r="CY239" s="52"/>
      <c r="CZ239" s="52"/>
      <c r="DA239" s="52"/>
      <c r="DB239" s="52"/>
    </row>
    <row r="240" spans="82:106" ht="16.5" x14ac:dyDescent="0.2">
      <c r="CD240" s="52">
        <v>236</v>
      </c>
      <c r="CE240" s="52">
        <v>3</v>
      </c>
      <c r="CF240" s="54" t="s">
        <v>538</v>
      </c>
      <c r="CG240" s="52">
        <v>36</v>
      </c>
      <c r="CH240" s="52"/>
      <c r="CI240" s="52"/>
      <c r="CJ240" s="52"/>
      <c r="CK240" s="52" t="s">
        <v>539</v>
      </c>
      <c r="CL240" s="52"/>
      <c r="CM240" s="52" t="s">
        <v>540</v>
      </c>
      <c r="CN240" s="52"/>
      <c r="CO240" s="52"/>
      <c r="CP240" s="52"/>
      <c r="CQ240" s="52" t="s">
        <v>540</v>
      </c>
      <c r="CR240" s="52"/>
      <c r="CS240" s="52"/>
      <c r="CT240" s="52"/>
      <c r="CU240" s="52"/>
      <c r="CV240" s="52"/>
      <c r="CW240" s="52"/>
      <c r="CX240" s="52"/>
      <c r="CY240" s="52"/>
      <c r="CZ240" s="52"/>
      <c r="DA240" s="52"/>
      <c r="DB240" s="52"/>
    </row>
    <row r="241" spans="82:106" ht="16.5" x14ac:dyDescent="0.2">
      <c r="CD241" s="52">
        <v>237</v>
      </c>
      <c r="CE241" s="52">
        <v>3</v>
      </c>
      <c r="CF241" s="54" t="s">
        <v>538</v>
      </c>
      <c r="CG241" s="52">
        <v>37</v>
      </c>
      <c r="CH241" s="52"/>
      <c r="CI241" s="52"/>
      <c r="CJ241" s="52"/>
      <c r="CK241" s="52" t="s">
        <v>539</v>
      </c>
      <c r="CL241" s="52"/>
      <c r="CM241" s="52" t="s">
        <v>540</v>
      </c>
      <c r="CN241" s="52"/>
      <c r="CO241" s="52"/>
      <c r="CP241" s="52"/>
      <c r="CQ241" s="52" t="s">
        <v>540</v>
      </c>
      <c r="CR241" s="52"/>
      <c r="CS241" s="52"/>
      <c r="CT241" s="52"/>
      <c r="CU241" s="52"/>
      <c r="CV241" s="52"/>
      <c r="CW241" s="52"/>
      <c r="CX241" s="52"/>
      <c r="CY241" s="52"/>
      <c r="CZ241" s="52"/>
      <c r="DA241" s="52"/>
      <c r="DB241" s="52"/>
    </row>
    <row r="242" spans="82:106" ht="16.5" x14ac:dyDescent="0.2">
      <c r="CD242" s="52">
        <v>238</v>
      </c>
      <c r="CE242" s="52">
        <v>3</v>
      </c>
      <c r="CF242" s="54" t="s">
        <v>538</v>
      </c>
      <c r="CG242" s="52">
        <v>38</v>
      </c>
      <c r="CH242" s="52"/>
      <c r="CI242" s="52"/>
      <c r="CJ242" s="52"/>
      <c r="CK242" s="52" t="s">
        <v>539</v>
      </c>
      <c r="CL242" s="52"/>
      <c r="CM242" s="52" t="s">
        <v>540</v>
      </c>
      <c r="CN242" s="52"/>
      <c r="CO242" s="52"/>
      <c r="CP242" s="52"/>
      <c r="CQ242" s="52" t="s">
        <v>540</v>
      </c>
      <c r="CR242" s="52"/>
      <c r="CS242" s="52"/>
      <c r="CT242" s="52"/>
      <c r="CU242" s="52"/>
      <c r="CV242" s="52"/>
      <c r="CW242" s="52"/>
      <c r="CX242" s="52"/>
      <c r="CY242" s="52"/>
      <c r="CZ242" s="52"/>
      <c r="DA242" s="52"/>
      <c r="DB242" s="52"/>
    </row>
    <row r="243" spans="82:106" ht="16.5" x14ac:dyDescent="0.2">
      <c r="CD243" s="52">
        <v>239</v>
      </c>
      <c r="CE243" s="52">
        <v>3</v>
      </c>
      <c r="CF243" s="54" t="s">
        <v>538</v>
      </c>
      <c r="CG243" s="52">
        <v>39</v>
      </c>
      <c r="CH243" s="52"/>
      <c r="CI243" s="52"/>
      <c r="CJ243" s="52"/>
      <c r="CK243" s="52" t="s">
        <v>539</v>
      </c>
      <c r="CL243" s="52"/>
      <c r="CM243" s="52" t="s">
        <v>540</v>
      </c>
      <c r="CN243" s="52"/>
      <c r="CO243" s="52"/>
      <c r="CP243" s="52"/>
      <c r="CQ243" s="52" t="s">
        <v>540</v>
      </c>
      <c r="CR243" s="52"/>
      <c r="CS243" s="52"/>
      <c r="CT243" s="52"/>
      <c r="CU243" s="52"/>
      <c r="CV243" s="52"/>
      <c r="CW243" s="52"/>
      <c r="CX243" s="52"/>
      <c r="CY243" s="52"/>
      <c r="CZ243" s="52"/>
      <c r="DA243" s="52"/>
      <c r="DB243" s="52"/>
    </row>
    <row r="244" spans="82:106" ht="16.5" x14ac:dyDescent="0.2">
      <c r="CD244" s="52">
        <v>240</v>
      </c>
      <c r="CE244" s="52">
        <v>3</v>
      </c>
      <c r="CF244" s="54" t="s">
        <v>538</v>
      </c>
      <c r="CG244" s="52">
        <v>40</v>
      </c>
      <c r="CH244" s="52"/>
      <c r="CI244" s="52"/>
      <c r="CJ244" s="52"/>
      <c r="CK244" s="52" t="s">
        <v>539</v>
      </c>
      <c r="CL244" s="52"/>
      <c r="CM244" s="52" t="s">
        <v>540</v>
      </c>
      <c r="CN244" s="52"/>
      <c r="CO244" s="52"/>
      <c r="CP244" s="52"/>
      <c r="CQ244" s="52" t="s">
        <v>540</v>
      </c>
      <c r="CR244" s="52"/>
      <c r="CS244" s="52"/>
      <c r="CT244" s="52"/>
      <c r="CU244" s="52"/>
      <c r="CV244" s="52"/>
      <c r="CW244" s="52"/>
      <c r="CX244" s="52"/>
      <c r="CY244" s="52"/>
      <c r="CZ244" s="52"/>
      <c r="DA244" s="52"/>
      <c r="DB244" s="52"/>
    </row>
    <row r="245" spans="82:106" ht="16.5" x14ac:dyDescent="0.2">
      <c r="CD245" s="52">
        <v>241</v>
      </c>
      <c r="CE245" s="52">
        <v>3</v>
      </c>
      <c r="CF245" s="54" t="s">
        <v>538</v>
      </c>
      <c r="CG245" s="52">
        <v>41</v>
      </c>
      <c r="CH245" s="52"/>
      <c r="CI245" s="52"/>
      <c r="CJ245" s="52"/>
      <c r="CK245" s="52" t="s">
        <v>539</v>
      </c>
      <c r="CL245" s="52"/>
      <c r="CM245" s="52" t="s">
        <v>540</v>
      </c>
      <c r="CN245" s="52"/>
      <c r="CO245" s="52"/>
      <c r="CP245" s="52"/>
      <c r="CQ245" s="52" t="s">
        <v>540</v>
      </c>
      <c r="CR245" s="52"/>
      <c r="CS245" s="52"/>
      <c r="CT245" s="52"/>
      <c r="CU245" s="52"/>
      <c r="CV245" s="52"/>
      <c r="CW245" s="52"/>
      <c r="CX245" s="52"/>
      <c r="CY245" s="52"/>
      <c r="CZ245" s="52"/>
      <c r="DA245" s="52"/>
      <c r="DB245" s="52"/>
    </row>
    <row r="246" spans="82:106" ht="16.5" x14ac:dyDescent="0.2">
      <c r="CD246" s="52">
        <v>242</v>
      </c>
      <c r="CE246" s="52">
        <v>3</v>
      </c>
      <c r="CF246" s="54" t="s">
        <v>538</v>
      </c>
      <c r="CG246" s="52">
        <v>42</v>
      </c>
      <c r="CH246" s="52"/>
      <c r="CI246" s="52"/>
      <c r="CJ246" s="52"/>
      <c r="CK246" s="52" t="s">
        <v>539</v>
      </c>
      <c r="CL246" s="52"/>
      <c r="CM246" s="52" t="s">
        <v>540</v>
      </c>
      <c r="CN246" s="52"/>
      <c r="CO246" s="52"/>
      <c r="CP246" s="52"/>
      <c r="CQ246" s="52" t="s">
        <v>540</v>
      </c>
      <c r="CR246" s="52"/>
      <c r="CS246" s="52"/>
      <c r="CT246" s="52"/>
      <c r="CU246" s="52"/>
      <c r="CV246" s="52"/>
      <c r="CW246" s="52"/>
      <c r="CX246" s="52"/>
      <c r="CY246" s="52"/>
      <c r="CZ246" s="52"/>
      <c r="DA246" s="52"/>
      <c r="DB246" s="52"/>
    </row>
    <row r="247" spans="82:106" ht="16.5" x14ac:dyDescent="0.2">
      <c r="CD247" s="52">
        <v>243</v>
      </c>
      <c r="CE247" s="52">
        <v>3</v>
      </c>
      <c r="CF247" s="54" t="s">
        <v>538</v>
      </c>
      <c r="CG247" s="52">
        <v>43</v>
      </c>
      <c r="CH247" s="52"/>
      <c r="CI247" s="52"/>
      <c r="CJ247" s="52"/>
      <c r="CK247" s="52" t="s">
        <v>539</v>
      </c>
      <c r="CL247" s="52"/>
      <c r="CM247" s="52" t="s">
        <v>540</v>
      </c>
      <c r="CN247" s="52"/>
      <c r="CO247" s="52"/>
      <c r="CP247" s="52"/>
      <c r="CQ247" s="52" t="s">
        <v>540</v>
      </c>
      <c r="CR247" s="52"/>
      <c r="CS247" s="52"/>
      <c r="CT247" s="52"/>
      <c r="CU247" s="52"/>
      <c r="CV247" s="52"/>
      <c r="CW247" s="52"/>
      <c r="CX247" s="52"/>
      <c r="CY247" s="52"/>
      <c r="CZ247" s="52"/>
      <c r="DA247" s="52"/>
      <c r="DB247" s="52"/>
    </row>
    <row r="248" spans="82:106" ht="16.5" x14ac:dyDescent="0.2">
      <c r="CD248" s="52">
        <v>244</v>
      </c>
      <c r="CE248" s="52">
        <v>3</v>
      </c>
      <c r="CF248" s="54" t="s">
        <v>538</v>
      </c>
      <c r="CG248" s="52">
        <v>44</v>
      </c>
      <c r="CH248" s="52"/>
      <c r="CI248" s="52"/>
      <c r="CJ248" s="52"/>
      <c r="CK248" s="52" t="s">
        <v>539</v>
      </c>
      <c r="CL248" s="52"/>
      <c r="CM248" s="52" t="s">
        <v>540</v>
      </c>
      <c r="CN248" s="52"/>
      <c r="CO248" s="52"/>
      <c r="CP248" s="52"/>
      <c r="CQ248" s="52" t="s">
        <v>540</v>
      </c>
      <c r="CR248" s="52"/>
      <c r="CS248" s="52"/>
      <c r="CT248" s="52"/>
      <c r="CU248" s="52"/>
      <c r="CV248" s="52"/>
      <c r="CW248" s="52"/>
      <c r="CX248" s="52"/>
      <c r="CY248" s="52"/>
      <c r="CZ248" s="52"/>
      <c r="DA248" s="52"/>
      <c r="DB248" s="52"/>
    </row>
    <row r="249" spans="82:106" ht="16.5" x14ac:dyDescent="0.2">
      <c r="CD249" s="52">
        <v>245</v>
      </c>
      <c r="CE249" s="52">
        <v>3</v>
      </c>
      <c r="CF249" s="54" t="s">
        <v>538</v>
      </c>
      <c r="CG249" s="52">
        <v>45</v>
      </c>
      <c r="CH249" s="52"/>
      <c r="CI249" s="52"/>
      <c r="CJ249" s="52"/>
      <c r="CK249" s="52" t="s">
        <v>539</v>
      </c>
      <c r="CL249" s="52"/>
      <c r="CM249" s="52" t="s">
        <v>540</v>
      </c>
      <c r="CN249" s="52"/>
      <c r="CO249" s="52"/>
      <c r="CP249" s="52"/>
      <c r="CQ249" s="52" t="s">
        <v>540</v>
      </c>
      <c r="CR249" s="52"/>
      <c r="CS249" s="52"/>
      <c r="CT249" s="52"/>
      <c r="CU249" s="52"/>
      <c r="CV249" s="52"/>
      <c r="CW249" s="52"/>
      <c r="CX249" s="52"/>
      <c r="CY249" s="52"/>
      <c r="CZ249" s="52"/>
      <c r="DA249" s="52"/>
      <c r="DB249" s="52"/>
    </row>
    <row r="250" spans="82:106" ht="16.5" x14ac:dyDescent="0.2">
      <c r="CD250" s="52">
        <v>246</v>
      </c>
      <c r="CE250" s="52">
        <v>3</v>
      </c>
      <c r="CF250" s="54" t="s">
        <v>538</v>
      </c>
      <c r="CG250" s="52">
        <v>46</v>
      </c>
      <c r="CH250" s="52"/>
      <c r="CI250" s="52"/>
      <c r="CJ250" s="52"/>
      <c r="CK250" s="52" t="s">
        <v>539</v>
      </c>
      <c r="CL250" s="52"/>
      <c r="CM250" s="52" t="s">
        <v>540</v>
      </c>
      <c r="CN250" s="52"/>
      <c r="CO250" s="52"/>
      <c r="CP250" s="52"/>
      <c r="CQ250" s="52" t="s">
        <v>540</v>
      </c>
      <c r="CR250" s="52"/>
      <c r="CS250" s="52"/>
      <c r="CT250" s="52"/>
      <c r="CU250" s="52"/>
      <c r="CV250" s="52"/>
      <c r="CW250" s="52"/>
      <c r="CX250" s="52"/>
      <c r="CY250" s="52"/>
      <c r="CZ250" s="52"/>
      <c r="DA250" s="52"/>
      <c r="DB250" s="52"/>
    </row>
    <row r="251" spans="82:106" ht="16.5" x14ac:dyDescent="0.2">
      <c r="CD251" s="52">
        <v>247</v>
      </c>
      <c r="CE251" s="52">
        <v>3</v>
      </c>
      <c r="CF251" s="54" t="s">
        <v>538</v>
      </c>
      <c r="CG251" s="52">
        <v>47</v>
      </c>
      <c r="CH251" s="52"/>
      <c r="CI251" s="52"/>
      <c r="CJ251" s="52"/>
      <c r="CK251" s="52" t="s">
        <v>539</v>
      </c>
      <c r="CL251" s="52"/>
      <c r="CM251" s="52" t="s">
        <v>540</v>
      </c>
      <c r="CN251" s="52"/>
      <c r="CO251" s="52"/>
      <c r="CP251" s="52"/>
      <c r="CQ251" s="52" t="s">
        <v>540</v>
      </c>
      <c r="CR251" s="52"/>
      <c r="CS251" s="52"/>
      <c r="CT251" s="52"/>
      <c r="CU251" s="52"/>
      <c r="CV251" s="52"/>
      <c r="CW251" s="52"/>
      <c r="CX251" s="52"/>
      <c r="CY251" s="52"/>
      <c r="CZ251" s="52"/>
      <c r="DA251" s="52"/>
      <c r="DB251" s="52"/>
    </row>
    <row r="252" spans="82:106" ht="16.5" x14ac:dyDescent="0.2">
      <c r="CD252" s="52">
        <v>248</v>
      </c>
      <c r="CE252" s="52">
        <v>3</v>
      </c>
      <c r="CF252" s="54" t="s">
        <v>538</v>
      </c>
      <c r="CG252" s="52">
        <v>48</v>
      </c>
      <c r="CH252" s="52"/>
      <c r="CI252" s="52"/>
      <c r="CJ252" s="52"/>
      <c r="CK252" s="52" t="s">
        <v>539</v>
      </c>
      <c r="CL252" s="52"/>
      <c r="CM252" s="52" t="s">
        <v>540</v>
      </c>
      <c r="CN252" s="52"/>
      <c r="CO252" s="52"/>
      <c r="CP252" s="52"/>
      <c r="CQ252" s="52" t="s">
        <v>540</v>
      </c>
      <c r="CR252" s="52"/>
      <c r="CS252" s="52"/>
      <c r="CT252" s="52"/>
      <c r="CU252" s="52"/>
      <c r="CV252" s="52"/>
      <c r="CW252" s="52"/>
      <c r="CX252" s="52"/>
      <c r="CY252" s="52"/>
      <c r="CZ252" s="52"/>
      <c r="DA252" s="52"/>
      <c r="DB252" s="52"/>
    </row>
    <row r="253" spans="82:106" ht="16.5" x14ac:dyDescent="0.2">
      <c r="CD253" s="52">
        <v>249</v>
      </c>
      <c r="CE253" s="52">
        <v>3</v>
      </c>
      <c r="CF253" s="54" t="s">
        <v>538</v>
      </c>
      <c r="CG253" s="52">
        <v>49</v>
      </c>
      <c r="CH253" s="52"/>
      <c r="CI253" s="52"/>
      <c r="CJ253" s="52"/>
      <c r="CK253" s="52" t="s">
        <v>539</v>
      </c>
      <c r="CL253" s="52"/>
      <c r="CM253" s="52" t="s">
        <v>540</v>
      </c>
      <c r="CN253" s="52"/>
      <c r="CO253" s="52"/>
      <c r="CP253" s="52"/>
      <c r="CQ253" s="52" t="s">
        <v>540</v>
      </c>
      <c r="CR253" s="52"/>
      <c r="CS253" s="52"/>
      <c r="CT253" s="52"/>
      <c r="CU253" s="52"/>
      <c r="CV253" s="52"/>
      <c r="CW253" s="52"/>
      <c r="CX253" s="52"/>
      <c r="CY253" s="52"/>
      <c r="CZ253" s="52"/>
      <c r="DA253" s="52"/>
      <c r="DB253" s="52"/>
    </row>
    <row r="254" spans="82:106" ht="16.5" x14ac:dyDescent="0.2">
      <c r="CD254" s="52">
        <v>250</v>
      </c>
      <c r="CE254" s="52">
        <v>3</v>
      </c>
      <c r="CF254" s="54" t="s">
        <v>538</v>
      </c>
      <c r="CG254" s="52">
        <v>50</v>
      </c>
      <c r="CH254" s="52"/>
      <c r="CI254" s="52"/>
      <c r="CJ254" s="52"/>
      <c r="CK254" s="52" t="s">
        <v>539</v>
      </c>
      <c r="CL254" s="52"/>
      <c r="CM254" s="52" t="s">
        <v>540</v>
      </c>
      <c r="CN254" s="52"/>
      <c r="CO254" s="52"/>
      <c r="CP254" s="52"/>
      <c r="CQ254" s="52" t="s">
        <v>540</v>
      </c>
      <c r="CR254" s="52"/>
      <c r="CS254" s="52"/>
      <c r="CT254" s="52"/>
      <c r="CU254" s="52"/>
      <c r="CV254" s="52"/>
      <c r="CW254" s="52"/>
      <c r="CX254" s="52"/>
      <c r="CY254" s="52"/>
      <c r="CZ254" s="52"/>
      <c r="DA254" s="52"/>
      <c r="DB254" s="52"/>
    </row>
    <row r="255" spans="82:106" ht="16.5" x14ac:dyDescent="0.2">
      <c r="CD255" s="52">
        <v>251</v>
      </c>
      <c r="CE255" s="52">
        <v>3</v>
      </c>
      <c r="CF255" s="54" t="s">
        <v>538</v>
      </c>
      <c r="CG255" s="52">
        <v>51</v>
      </c>
      <c r="CH255" s="52"/>
      <c r="CI255" s="52"/>
      <c r="CJ255" s="52"/>
      <c r="CK255" s="52" t="s">
        <v>539</v>
      </c>
      <c r="CL255" s="52"/>
      <c r="CM255" s="52" t="s">
        <v>540</v>
      </c>
      <c r="CN255" s="52"/>
      <c r="CO255" s="52"/>
      <c r="CP255" s="52"/>
      <c r="CQ255" s="52" t="s">
        <v>540</v>
      </c>
      <c r="CR255" s="52"/>
      <c r="CS255" s="52"/>
      <c r="CT255" s="52"/>
      <c r="CU255" s="52"/>
      <c r="CV255" s="52"/>
      <c r="CW255" s="52"/>
      <c r="CX255" s="52"/>
      <c r="CY255" s="52"/>
      <c r="CZ255" s="52"/>
      <c r="DA255" s="52"/>
      <c r="DB255" s="52"/>
    </row>
    <row r="256" spans="82:106" ht="16.5" x14ac:dyDescent="0.2">
      <c r="CD256" s="52">
        <v>252</v>
      </c>
      <c r="CE256" s="52">
        <v>3</v>
      </c>
      <c r="CF256" s="54" t="s">
        <v>538</v>
      </c>
      <c r="CG256" s="52">
        <v>52</v>
      </c>
      <c r="CH256" s="52"/>
      <c r="CI256" s="52"/>
      <c r="CJ256" s="52"/>
      <c r="CK256" s="52" t="s">
        <v>539</v>
      </c>
      <c r="CL256" s="52"/>
      <c r="CM256" s="52" t="s">
        <v>540</v>
      </c>
      <c r="CN256" s="52"/>
      <c r="CO256" s="52"/>
      <c r="CP256" s="52"/>
      <c r="CQ256" s="52" t="s">
        <v>540</v>
      </c>
      <c r="CR256" s="52"/>
      <c r="CS256" s="52"/>
      <c r="CT256" s="52"/>
      <c r="CU256" s="52"/>
      <c r="CV256" s="52"/>
      <c r="CW256" s="52"/>
      <c r="CX256" s="52"/>
      <c r="CY256" s="52"/>
      <c r="CZ256" s="52"/>
      <c r="DA256" s="52"/>
      <c r="DB256" s="52"/>
    </row>
    <row r="257" spans="82:106" ht="16.5" x14ac:dyDescent="0.2">
      <c r="CD257" s="52">
        <v>253</v>
      </c>
      <c r="CE257" s="52">
        <v>3</v>
      </c>
      <c r="CF257" s="54" t="s">
        <v>538</v>
      </c>
      <c r="CG257" s="52">
        <v>53</v>
      </c>
      <c r="CH257" s="52"/>
      <c r="CI257" s="52"/>
      <c r="CJ257" s="52"/>
      <c r="CK257" s="52" t="s">
        <v>539</v>
      </c>
      <c r="CL257" s="52"/>
      <c r="CM257" s="52" t="s">
        <v>540</v>
      </c>
      <c r="CN257" s="52"/>
      <c r="CO257" s="52"/>
      <c r="CP257" s="52"/>
      <c r="CQ257" s="52" t="s">
        <v>540</v>
      </c>
      <c r="CR257" s="52"/>
      <c r="CS257" s="52"/>
      <c r="CT257" s="52"/>
      <c r="CU257" s="52"/>
      <c r="CV257" s="52"/>
      <c r="CW257" s="52"/>
      <c r="CX257" s="52"/>
      <c r="CY257" s="52"/>
      <c r="CZ257" s="52"/>
      <c r="DA257" s="52"/>
      <c r="DB257" s="52"/>
    </row>
    <row r="258" spans="82:106" ht="16.5" x14ac:dyDescent="0.2">
      <c r="CD258" s="52">
        <v>254</v>
      </c>
      <c r="CE258" s="52">
        <v>3</v>
      </c>
      <c r="CF258" s="54" t="s">
        <v>538</v>
      </c>
      <c r="CG258" s="52">
        <v>54</v>
      </c>
      <c r="CH258" s="52"/>
      <c r="CI258" s="52"/>
      <c r="CJ258" s="52"/>
      <c r="CK258" s="52" t="s">
        <v>539</v>
      </c>
      <c r="CL258" s="52"/>
      <c r="CM258" s="52" t="s">
        <v>540</v>
      </c>
      <c r="CN258" s="52"/>
      <c r="CO258" s="52"/>
      <c r="CP258" s="52"/>
      <c r="CQ258" s="52" t="s">
        <v>540</v>
      </c>
      <c r="CR258" s="52"/>
      <c r="CS258" s="52"/>
      <c r="CT258" s="52"/>
      <c r="CU258" s="52"/>
      <c r="CV258" s="52"/>
      <c r="CW258" s="52"/>
      <c r="CX258" s="52"/>
      <c r="CY258" s="52"/>
      <c r="CZ258" s="52"/>
      <c r="DA258" s="52"/>
      <c r="DB258" s="52"/>
    </row>
    <row r="259" spans="82:106" ht="16.5" x14ac:dyDescent="0.2">
      <c r="CD259" s="52">
        <v>255</v>
      </c>
      <c r="CE259" s="52">
        <v>3</v>
      </c>
      <c r="CF259" s="54" t="s">
        <v>538</v>
      </c>
      <c r="CG259" s="52">
        <v>55</v>
      </c>
      <c r="CH259" s="52"/>
      <c r="CI259" s="52"/>
      <c r="CJ259" s="52"/>
      <c r="CK259" s="52" t="s">
        <v>539</v>
      </c>
      <c r="CL259" s="52"/>
      <c r="CM259" s="52" t="s">
        <v>540</v>
      </c>
      <c r="CN259" s="52"/>
      <c r="CO259" s="52"/>
      <c r="CP259" s="52"/>
      <c r="CQ259" s="52" t="s">
        <v>540</v>
      </c>
      <c r="CR259" s="52"/>
      <c r="CS259" s="52"/>
      <c r="CT259" s="52"/>
      <c r="CU259" s="52"/>
      <c r="CV259" s="52"/>
      <c r="CW259" s="52"/>
      <c r="CX259" s="52"/>
      <c r="CY259" s="52"/>
      <c r="CZ259" s="52"/>
      <c r="DA259" s="52"/>
      <c r="DB259" s="52"/>
    </row>
    <row r="260" spans="82:106" ht="16.5" x14ac:dyDescent="0.2">
      <c r="CD260" s="52">
        <v>256</v>
      </c>
      <c r="CE260" s="52">
        <v>3</v>
      </c>
      <c r="CF260" s="54" t="s">
        <v>538</v>
      </c>
      <c r="CG260" s="52">
        <v>56</v>
      </c>
      <c r="CH260" s="52"/>
      <c r="CI260" s="52"/>
      <c r="CJ260" s="52"/>
      <c r="CK260" s="52" t="s">
        <v>539</v>
      </c>
      <c r="CL260" s="52"/>
      <c r="CM260" s="52" t="s">
        <v>540</v>
      </c>
      <c r="CN260" s="52"/>
      <c r="CO260" s="52"/>
      <c r="CP260" s="52"/>
      <c r="CQ260" s="52" t="s">
        <v>540</v>
      </c>
      <c r="CR260" s="52"/>
      <c r="CS260" s="52"/>
      <c r="CT260" s="52"/>
      <c r="CU260" s="52"/>
      <c r="CV260" s="52"/>
      <c r="CW260" s="52"/>
      <c r="CX260" s="52"/>
      <c r="CY260" s="52"/>
      <c r="CZ260" s="52"/>
      <c r="DA260" s="52"/>
      <c r="DB260" s="52"/>
    </row>
    <row r="261" spans="82:106" ht="16.5" x14ac:dyDescent="0.2">
      <c r="CD261" s="52">
        <v>257</v>
      </c>
      <c r="CE261" s="52">
        <v>3</v>
      </c>
      <c r="CF261" s="54" t="s">
        <v>538</v>
      </c>
      <c r="CG261" s="52">
        <v>57</v>
      </c>
      <c r="CH261" s="52"/>
      <c r="CI261" s="52"/>
      <c r="CJ261" s="52"/>
      <c r="CK261" s="52" t="s">
        <v>539</v>
      </c>
      <c r="CL261" s="52"/>
      <c r="CM261" s="52" t="s">
        <v>540</v>
      </c>
      <c r="CN261" s="52"/>
      <c r="CO261" s="52"/>
      <c r="CP261" s="52"/>
      <c r="CQ261" s="52" t="s">
        <v>540</v>
      </c>
      <c r="CR261" s="52"/>
      <c r="CS261" s="52"/>
      <c r="CT261" s="52"/>
      <c r="CU261" s="52"/>
      <c r="CV261" s="52"/>
      <c r="CW261" s="52"/>
      <c r="CX261" s="52"/>
      <c r="CY261" s="52"/>
      <c r="CZ261" s="52"/>
      <c r="DA261" s="52"/>
      <c r="DB261" s="52"/>
    </row>
    <row r="262" spans="82:106" ht="16.5" x14ac:dyDescent="0.2">
      <c r="CD262" s="52">
        <v>258</v>
      </c>
      <c r="CE262" s="52">
        <v>3</v>
      </c>
      <c r="CF262" s="54" t="s">
        <v>538</v>
      </c>
      <c r="CG262" s="52">
        <v>58</v>
      </c>
      <c r="CH262" s="52"/>
      <c r="CI262" s="52"/>
      <c r="CJ262" s="52"/>
      <c r="CK262" s="52" t="s">
        <v>539</v>
      </c>
      <c r="CL262" s="52"/>
      <c r="CM262" s="52" t="s">
        <v>540</v>
      </c>
      <c r="CN262" s="52"/>
      <c r="CO262" s="52"/>
      <c r="CP262" s="52"/>
      <c r="CQ262" s="52" t="s">
        <v>540</v>
      </c>
      <c r="CR262" s="52"/>
      <c r="CS262" s="52"/>
      <c r="CT262" s="52"/>
      <c r="CU262" s="52"/>
      <c r="CV262" s="52"/>
      <c r="CW262" s="52"/>
      <c r="CX262" s="52"/>
      <c r="CY262" s="52"/>
      <c r="CZ262" s="52"/>
      <c r="DA262" s="52"/>
      <c r="DB262" s="52"/>
    </row>
    <row r="263" spans="82:106" ht="16.5" x14ac:dyDescent="0.2">
      <c r="CD263" s="52">
        <v>259</v>
      </c>
      <c r="CE263" s="52">
        <v>3</v>
      </c>
      <c r="CF263" s="54" t="s">
        <v>538</v>
      </c>
      <c r="CG263" s="52">
        <v>59</v>
      </c>
      <c r="CH263" s="52"/>
      <c r="CI263" s="52"/>
      <c r="CJ263" s="52"/>
      <c r="CK263" s="52" t="s">
        <v>539</v>
      </c>
      <c r="CL263" s="52"/>
      <c r="CM263" s="52" t="s">
        <v>540</v>
      </c>
      <c r="CN263" s="52"/>
      <c r="CO263" s="52"/>
      <c r="CP263" s="52"/>
      <c r="CQ263" s="52" t="s">
        <v>540</v>
      </c>
      <c r="CR263" s="52"/>
      <c r="CS263" s="52"/>
      <c r="CT263" s="52"/>
      <c r="CU263" s="52"/>
      <c r="CV263" s="52"/>
      <c r="CW263" s="52"/>
      <c r="CX263" s="52"/>
      <c r="CY263" s="52"/>
      <c r="CZ263" s="52"/>
      <c r="DA263" s="52"/>
      <c r="DB263" s="52"/>
    </row>
    <row r="264" spans="82:106" ht="16.5" x14ac:dyDescent="0.2">
      <c r="CD264" s="52">
        <v>260</v>
      </c>
      <c r="CE264" s="52">
        <v>3</v>
      </c>
      <c r="CF264" s="54" t="s">
        <v>538</v>
      </c>
      <c r="CG264" s="52">
        <v>60</v>
      </c>
      <c r="CH264" s="52"/>
      <c r="CI264" s="52"/>
      <c r="CJ264" s="52"/>
      <c r="CK264" s="52" t="s">
        <v>539</v>
      </c>
      <c r="CL264" s="52"/>
      <c r="CM264" s="52" t="s">
        <v>540</v>
      </c>
      <c r="CN264" s="52"/>
      <c r="CO264" s="52"/>
      <c r="CP264" s="52"/>
      <c r="CQ264" s="52" t="s">
        <v>540</v>
      </c>
      <c r="CR264" s="52"/>
      <c r="CS264" s="52"/>
      <c r="CT264" s="52"/>
      <c r="CU264" s="52"/>
      <c r="CV264" s="52"/>
      <c r="CW264" s="52"/>
      <c r="CX264" s="52"/>
      <c r="CY264" s="52"/>
      <c r="CZ264" s="52"/>
      <c r="DA264" s="52"/>
      <c r="DB264" s="52"/>
    </row>
    <row r="265" spans="82:106" ht="16.5" x14ac:dyDescent="0.2">
      <c r="CD265" s="52">
        <v>261</v>
      </c>
      <c r="CE265" s="52">
        <v>3</v>
      </c>
      <c r="CF265" s="54" t="s">
        <v>538</v>
      </c>
      <c r="CG265" s="52">
        <v>61</v>
      </c>
      <c r="CH265" s="52"/>
      <c r="CI265" s="52"/>
      <c r="CJ265" s="52"/>
      <c r="CK265" s="52" t="s">
        <v>539</v>
      </c>
      <c r="CL265" s="52"/>
      <c r="CM265" s="52" t="s">
        <v>540</v>
      </c>
      <c r="CN265" s="52"/>
      <c r="CO265" s="52"/>
      <c r="CP265" s="52"/>
      <c r="CQ265" s="52" t="s">
        <v>540</v>
      </c>
      <c r="CR265" s="52"/>
      <c r="CS265" s="52"/>
      <c r="CT265" s="52"/>
      <c r="CU265" s="52"/>
      <c r="CV265" s="52"/>
      <c r="CW265" s="52"/>
      <c r="CX265" s="52"/>
      <c r="CY265" s="52"/>
      <c r="CZ265" s="52"/>
      <c r="DA265" s="52"/>
      <c r="DB265" s="52"/>
    </row>
    <row r="266" spans="82:106" ht="16.5" x14ac:dyDescent="0.2">
      <c r="CD266" s="52">
        <v>262</v>
      </c>
      <c r="CE266" s="52">
        <v>3</v>
      </c>
      <c r="CF266" s="54" t="s">
        <v>538</v>
      </c>
      <c r="CG266" s="52">
        <v>62</v>
      </c>
      <c r="CH266" s="52"/>
      <c r="CI266" s="52"/>
      <c r="CJ266" s="52"/>
      <c r="CK266" s="52" t="s">
        <v>539</v>
      </c>
      <c r="CL266" s="52"/>
      <c r="CM266" s="52" t="s">
        <v>540</v>
      </c>
      <c r="CN266" s="52"/>
      <c r="CO266" s="52"/>
      <c r="CP266" s="52"/>
      <c r="CQ266" s="52" t="s">
        <v>540</v>
      </c>
      <c r="CR266" s="52"/>
      <c r="CS266" s="52"/>
      <c r="CT266" s="52"/>
      <c r="CU266" s="52"/>
      <c r="CV266" s="52"/>
      <c r="CW266" s="52"/>
      <c r="CX266" s="52"/>
      <c r="CY266" s="52"/>
      <c r="CZ266" s="52"/>
      <c r="DA266" s="52"/>
      <c r="DB266" s="52"/>
    </row>
    <row r="267" spans="82:106" ht="16.5" x14ac:dyDescent="0.2">
      <c r="CD267" s="52">
        <v>263</v>
      </c>
      <c r="CE267" s="52">
        <v>3</v>
      </c>
      <c r="CF267" s="54" t="s">
        <v>538</v>
      </c>
      <c r="CG267" s="52">
        <v>63</v>
      </c>
      <c r="CH267" s="52"/>
      <c r="CI267" s="52"/>
      <c r="CJ267" s="52"/>
      <c r="CK267" s="52" t="s">
        <v>539</v>
      </c>
      <c r="CL267" s="52"/>
      <c r="CM267" s="52" t="s">
        <v>540</v>
      </c>
      <c r="CN267" s="52"/>
      <c r="CO267" s="52"/>
      <c r="CP267" s="52"/>
      <c r="CQ267" s="52" t="s">
        <v>540</v>
      </c>
      <c r="CR267" s="52"/>
      <c r="CS267" s="52"/>
      <c r="CT267" s="52"/>
      <c r="CU267" s="52"/>
      <c r="CV267" s="52"/>
      <c r="CW267" s="52"/>
      <c r="CX267" s="52"/>
      <c r="CY267" s="52"/>
      <c r="CZ267" s="52"/>
      <c r="DA267" s="52"/>
      <c r="DB267" s="52"/>
    </row>
    <row r="268" spans="82:106" ht="16.5" x14ac:dyDescent="0.2">
      <c r="CD268" s="52">
        <v>264</v>
      </c>
      <c r="CE268" s="52">
        <v>3</v>
      </c>
      <c r="CF268" s="54" t="s">
        <v>538</v>
      </c>
      <c r="CG268" s="52">
        <v>64</v>
      </c>
      <c r="CH268" s="52"/>
      <c r="CI268" s="52"/>
      <c r="CJ268" s="52"/>
      <c r="CK268" s="52" t="s">
        <v>539</v>
      </c>
      <c r="CL268" s="52"/>
      <c r="CM268" s="52" t="s">
        <v>540</v>
      </c>
      <c r="CN268" s="52"/>
      <c r="CO268" s="52"/>
      <c r="CP268" s="52"/>
      <c r="CQ268" s="52" t="s">
        <v>540</v>
      </c>
      <c r="CR268" s="52"/>
      <c r="CS268" s="52"/>
      <c r="CT268" s="52"/>
      <c r="CU268" s="52"/>
      <c r="CV268" s="52"/>
      <c r="CW268" s="52"/>
      <c r="CX268" s="52"/>
      <c r="CY268" s="52"/>
      <c r="CZ268" s="52"/>
      <c r="DA268" s="52"/>
      <c r="DB268" s="52"/>
    </row>
    <row r="269" spans="82:106" ht="16.5" x14ac:dyDescent="0.2">
      <c r="CD269" s="52">
        <v>265</v>
      </c>
      <c r="CE269" s="52">
        <v>3</v>
      </c>
      <c r="CF269" s="54" t="s">
        <v>538</v>
      </c>
      <c r="CG269" s="52">
        <v>65</v>
      </c>
      <c r="CH269" s="52"/>
      <c r="CI269" s="52"/>
      <c r="CJ269" s="52"/>
      <c r="CK269" s="52" t="s">
        <v>539</v>
      </c>
      <c r="CL269" s="52"/>
      <c r="CM269" s="52" t="s">
        <v>540</v>
      </c>
      <c r="CN269" s="52"/>
      <c r="CO269" s="52"/>
      <c r="CP269" s="52"/>
      <c r="CQ269" s="52" t="s">
        <v>540</v>
      </c>
      <c r="CR269" s="52"/>
      <c r="CS269" s="52"/>
      <c r="CT269" s="52"/>
      <c r="CU269" s="52"/>
      <c r="CV269" s="52"/>
      <c r="CW269" s="52"/>
      <c r="CX269" s="52"/>
      <c r="CY269" s="52"/>
      <c r="CZ269" s="52"/>
      <c r="DA269" s="52"/>
      <c r="DB269" s="52"/>
    </row>
    <row r="270" spans="82:106" ht="16.5" x14ac:dyDescent="0.2">
      <c r="CD270" s="52">
        <v>266</v>
      </c>
      <c r="CE270" s="52">
        <v>3</v>
      </c>
      <c r="CF270" s="54" t="s">
        <v>538</v>
      </c>
      <c r="CG270" s="52">
        <v>66</v>
      </c>
      <c r="CH270" s="52"/>
      <c r="CI270" s="52"/>
      <c r="CJ270" s="52"/>
      <c r="CK270" s="52" t="s">
        <v>539</v>
      </c>
      <c r="CL270" s="52"/>
      <c r="CM270" s="52" t="s">
        <v>540</v>
      </c>
      <c r="CN270" s="52"/>
      <c r="CO270" s="52"/>
      <c r="CP270" s="52"/>
      <c r="CQ270" s="52" t="s">
        <v>540</v>
      </c>
      <c r="CR270" s="52"/>
      <c r="CS270" s="52"/>
      <c r="CT270" s="52"/>
      <c r="CU270" s="52"/>
      <c r="CV270" s="52"/>
      <c r="CW270" s="52"/>
      <c r="CX270" s="52"/>
      <c r="CY270" s="52"/>
      <c r="CZ270" s="52"/>
      <c r="DA270" s="52"/>
      <c r="DB270" s="52"/>
    </row>
    <row r="271" spans="82:106" ht="16.5" x14ac:dyDescent="0.2">
      <c r="CD271" s="52">
        <v>267</v>
      </c>
      <c r="CE271" s="52">
        <v>3</v>
      </c>
      <c r="CF271" s="54" t="s">
        <v>538</v>
      </c>
      <c r="CG271" s="52">
        <v>67</v>
      </c>
      <c r="CH271" s="52"/>
      <c r="CI271" s="52"/>
      <c r="CJ271" s="52"/>
      <c r="CK271" s="52" t="s">
        <v>539</v>
      </c>
      <c r="CL271" s="52"/>
      <c r="CM271" s="52" t="s">
        <v>540</v>
      </c>
      <c r="CN271" s="52"/>
      <c r="CO271" s="52"/>
      <c r="CP271" s="52"/>
      <c r="CQ271" s="52" t="s">
        <v>540</v>
      </c>
      <c r="CR271" s="52"/>
      <c r="CS271" s="52"/>
      <c r="CT271" s="52"/>
      <c r="CU271" s="52"/>
      <c r="CV271" s="52"/>
      <c r="CW271" s="52"/>
      <c r="CX271" s="52"/>
      <c r="CY271" s="52"/>
      <c r="CZ271" s="52"/>
      <c r="DA271" s="52"/>
      <c r="DB271" s="52"/>
    </row>
    <row r="272" spans="82:106" ht="16.5" x14ac:dyDescent="0.2">
      <c r="CD272" s="52">
        <v>268</v>
      </c>
      <c r="CE272" s="52">
        <v>3</v>
      </c>
      <c r="CF272" s="54" t="s">
        <v>538</v>
      </c>
      <c r="CG272" s="52">
        <v>68</v>
      </c>
      <c r="CH272" s="52"/>
      <c r="CI272" s="52"/>
      <c r="CJ272" s="52"/>
      <c r="CK272" s="52" t="s">
        <v>539</v>
      </c>
      <c r="CL272" s="52"/>
      <c r="CM272" s="52" t="s">
        <v>540</v>
      </c>
      <c r="CN272" s="52"/>
      <c r="CO272" s="52"/>
      <c r="CP272" s="52"/>
      <c r="CQ272" s="52" t="s">
        <v>540</v>
      </c>
      <c r="CR272" s="52"/>
      <c r="CS272" s="52"/>
      <c r="CT272" s="52"/>
      <c r="CU272" s="52"/>
      <c r="CV272" s="52"/>
      <c r="CW272" s="52"/>
      <c r="CX272" s="52"/>
      <c r="CY272" s="52"/>
      <c r="CZ272" s="52"/>
      <c r="DA272" s="52"/>
      <c r="DB272" s="52"/>
    </row>
    <row r="273" spans="82:106" ht="16.5" x14ac:dyDescent="0.2">
      <c r="CD273" s="52">
        <v>269</v>
      </c>
      <c r="CE273" s="52">
        <v>3</v>
      </c>
      <c r="CF273" s="54" t="s">
        <v>538</v>
      </c>
      <c r="CG273" s="52">
        <v>69</v>
      </c>
      <c r="CH273" s="52"/>
      <c r="CI273" s="52"/>
      <c r="CJ273" s="52"/>
      <c r="CK273" s="52" t="s">
        <v>539</v>
      </c>
      <c r="CL273" s="52"/>
      <c r="CM273" s="52" t="s">
        <v>540</v>
      </c>
      <c r="CN273" s="52"/>
      <c r="CO273" s="52"/>
      <c r="CP273" s="52"/>
      <c r="CQ273" s="52" t="s">
        <v>540</v>
      </c>
      <c r="CR273" s="52"/>
      <c r="CS273" s="52"/>
      <c r="CT273" s="52"/>
      <c r="CU273" s="52"/>
      <c r="CV273" s="52"/>
      <c r="CW273" s="52"/>
      <c r="CX273" s="52"/>
      <c r="CY273" s="52"/>
      <c r="CZ273" s="52"/>
      <c r="DA273" s="52"/>
      <c r="DB273" s="52"/>
    </row>
    <row r="274" spans="82:106" ht="16.5" x14ac:dyDescent="0.2">
      <c r="CD274" s="52">
        <v>270</v>
      </c>
      <c r="CE274" s="52">
        <v>3</v>
      </c>
      <c r="CF274" s="54" t="s">
        <v>538</v>
      </c>
      <c r="CG274" s="52">
        <v>70</v>
      </c>
      <c r="CH274" s="52"/>
      <c r="CI274" s="52"/>
      <c r="CJ274" s="52"/>
      <c r="CK274" s="52" t="s">
        <v>539</v>
      </c>
      <c r="CL274" s="52"/>
      <c r="CM274" s="52" t="s">
        <v>540</v>
      </c>
      <c r="CN274" s="52"/>
      <c r="CO274" s="52"/>
      <c r="CP274" s="52"/>
      <c r="CQ274" s="52" t="s">
        <v>540</v>
      </c>
      <c r="CR274" s="52"/>
      <c r="CS274" s="52"/>
      <c r="CT274" s="52"/>
      <c r="CU274" s="52"/>
      <c r="CV274" s="52"/>
      <c r="CW274" s="52"/>
      <c r="CX274" s="52"/>
      <c r="CY274" s="52"/>
      <c r="CZ274" s="52"/>
      <c r="DA274" s="52"/>
      <c r="DB274" s="52"/>
    </row>
    <row r="275" spans="82:106" ht="16.5" x14ac:dyDescent="0.2">
      <c r="CD275" s="52">
        <v>271</v>
      </c>
      <c r="CE275" s="52">
        <v>3</v>
      </c>
      <c r="CF275" s="54" t="s">
        <v>538</v>
      </c>
      <c r="CG275" s="52">
        <v>71</v>
      </c>
      <c r="CH275" s="52"/>
      <c r="CI275" s="52"/>
      <c r="CJ275" s="52"/>
      <c r="CK275" s="52" t="s">
        <v>539</v>
      </c>
      <c r="CL275" s="52"/>
      <c r="CM275" s="52" t="s">
        <v>540</v>
      </c>
      <c r="CN275" s="52"/>
      <c r="CO275" s="52"/>
      <c r="CP275" s="52"/>
      <c r="CQ275" s="52" t="s">
        <v>540</v>
      </c>
      <c r="CR275" s="52"/>
      <c r="CS275" s="52"/>
      <c r="CT275" s="52"/>
      <c r="CU275" s="52"/>
      <c r="CV275" s="52"/>
      <c r="CW275" s="52"/>
      <c r="CX275" s="52"/>
      <c r="CY275" s="52"/>
      <c r="CZ275" s="52"/>
      <c r="DA275" s="52"/>
      <c r="DB275" s="52"/>
    </row>
    <row r="276" spans="82:106" ht="16.5" x14ac:dyDescent="0.2">
      <c r="CD276" s="52">
        <v>272</v>
      </c>
      <c r="CE276" s="52">
        <v>3</v>
      </c>
      <c r="CF276" s="54" t="s">
        <v>538</v>
      </c>
      <c r="CG276" s="52">
        <v>72</v>
      </c>
      <c r="CH276" s="52"/>
      <c r="CI276" s="52"/>
      <c r="CJ276" s="52"/>
      <c r="CK276" s="52" t="s">
        <v>539</v>
      </c>
      <c r="CL276" s="52"/>
      <c r="CM276" s="52" t="s">
        <v>540</v>
      </c>
      <c r="CN276" s="52"/>
      <c r="CO276" s="52"/>
      <c r="CP276" s="52"/>
      <c r="CQ276" s="52" t="s">
        <v>540</v>
      </c>
      <c r="CR276" s="52"/>
      <c r="CS276" s="52"/>
      <c r="CT276" s="52"/>
      <c r="CU276" s="52"/>
      <c r="CV276" s="52"/>
      <c r="CW276" s="52"/>
      <c r="CX276" s="52"/>
      <c r="CY276" s="52"/>
      <c r="CZ276" s="52"/>
      <c r="DA276" s="52"/>
      <c r="DB276" s="52"/>
    </row>
    <row r="277" spans="82:106" ht="16.5" x14ac:dyDescent="0.2">
      <c r="CD277" s="52">
        <v>273</v>
      </c>
      <c r="CE277" s="52">
        <v>3</v>
      </c>
      <c r="CF277" s="54" t="s">
        <v>538</v>
      </c>
      <c r="CG277" s="52">
        <v>73</v>
      </c>
      <c r="CH277" s="52"/>
      <c r="CI277" s="52"/>
      <c r="CJ277" s="52"/>
      <c r="CK277" s="52" t="s">
        <v>539</v>
      </c>
      <c r="CL277" s="52"/>
      <c r="CM277" s="52" t="s">
        <v>540</v>
      </c>
      <c r="CN277" s="52"/>
      <c r="CO277" s="52"/>
      <c r="CP277" s="52"/>
      <c r="CQ277" s="52" t="s">
        <v>540</v>
      </c>
      <c r="CR277" s="52"/>
      <c r="CS277" s="52"/>
      <c r="CT277" s="52"/>
      <c r="CU277" s="52"/>
      <c r="CV277" s="52"/>
      <c r="CW277" s="52"/>
      <c r="CX277" s="52"/>
      <c r="CY277" s="52"/>
      <c r="CZ277" s="52"/>
      <c r="DA277" s="52"/>
      <c r="DB277" s="52"/>
    </row>
    <row r="278" spans="82:106" ht="16.5" x14ac:dyDescent="0.2">
      <c r="CD278" s="52">
        <v>274</v>
      </c>
      <c r="CE278" s="52">
        <v>3</v>
      </c>
      <c r="CF278" s="54" t="s">
        <v>538</v>
      </c>
      <c r="CG278" s="52">
        <v>74</v>
      </c>
      <c r="CH278" s="52"/>
      <c r="CI278" s="52"/>
      <c r="CJ278" s="52"/>
      <c r="CK278" s="52" t="s">
        <v>539</v>
      </c>
      <c r="CL278" s="52"/>
      <c r="CM278" s="52" t="s">
        <v>540</v>
      </c>
      <c r="CN278" s="52"/>
      <c r="CO278" s="52"/>
      <c r="CP278" s="52"/>
      <c r="CQ278" s="52" t="s">
        <v>540</v>
      </c>
      <c r="CR278" s="52"/>
      <c r="CS278" s="52"/>
      <c r="CT278" s="52"/>
      <c r="CU278" s="52"/>
      <c r="CV278" s="52"/>
      <c r="CW278" s="52"/>
      <c r="CX278" s="52"/>
      <c r="CY278" s="52"/>
      <c r="CZ278" s="52"/>
      <c r="DA278" s="52"/>
      <c r="DB278" s="52"/>
    </row>
    <row r="279" spans="82:106" ht="16.5" x14ac:dyDescent="0.2">
      <c r="CD279" s="52">
        <v>275</v>
      </c>
      <c r="CE279" s="52">
        <v>3</v>
      </c>
      <c r="CF279" s="54" t="s">
        <v>538</v>
      </c>
      <c r="CG279" s="52">
        <v>75</v>
      </c>
      <c r="CH279" s="52"/>
      <c r="CI279" s="52"/>
      <c r="CJ279" s="52"/>
      <c r="CK279" s="52" t="s">
        <v>539</v>
      </c>
      <c r="CL279" s="52"/>
      <c r="CM279" s="52" t="s">
        <v>540</v>
      </c>
      <c r="CN279" s="52"/>
      <c r="CO279" s="52"/>
      <c r="CP279" s="52"/>
      <c r="CQ279" s="52" t="s">
        <v>540</v>
      </c>
      <c r="CR279" s="52"/>
      <c r="CS279" s="52"/>
      <c r="CT279" s="52"/>
      <c r="CU279" s="52"/>
      <c r="CV279" s="52"/>
      <c r="CW279" s="52"/>
      <c r="CX279" s="52"/>
      <c r="CY279" s="52"/>
      <c r="CZ279" s="52"/>
      <c r="DA279" s="52"/>
      <c r="DB279" s="52"/>
    </row>
    <row r="280" spans="82:106" ht="16.5" x14ac:dyDescent="0.2">
      <c r="CD280" s="52">
        <v>276</v>
      </c>
      <c r="CE280" s="52">
        <v>3</v>
      </c>
      <c r="CF280" s="54" t="s">
        <v>538</v>
      </c>
      <c r="CG280" s="52">
        <v>76</v>
      </c>
      <c r="CH280" s="52"/>
      <c r="CI280" s="52"/>
      <c r="CJ280" s="52"/>
      <c r="CK280" s="52" t="s">
        <v>539</v>
      </c>
      <c r="CL280" s="52"/>
      <c r="CM280" s="52" t="s">
        <v>540</v>
      </c>
      <c r="CN280" s="52"/>
      <c r="CO280" s="52"/>
      <c r="CP280" s="52"/>
      <c r="CQ280" s="52" t="s">
        <v>540</v>
      </c>
      <c r="CR280" s="52"/>
      <c r="CS280" s="52"/>
      <c r="CT280" s="52"/>
      <c r="CU280" s="52"/>
      <c r="CV280" s="52"/>
      <c r="CW280" s="52"/>
      <c r="CX280" s="52"/>
      <c r="CY280" s="52"/>
      <c r="CZ280" s="52"/>
      <c r="DA280" s="52"/>
      <c r="DB280" s="52"/>
    </row>
    <row r="281" spans="82:106" ht="16.5" x14ac:dyDescent="0.2">
      <c r="CD281" s="52">
        <v>277</v>
      </c>
      <c r="CE281" s="52">
        <v>3</v>
      </c>
      <c r="CF281" s="54" t="s">
        <v>538</v>
      </c>
      <c r="CG281" s="52">
        <v>77</v>
      </c>
      <c r="CH281" s="52"/>
      <c r="CI281" s="52"/>
      <c r="CJ281" s="52"/>
      <c r="CK281" s="52" t="s">
        <v>539</v>
      </c>
      <c r="CL281" s="52"/>
      <c r="CM281" s="52" t="s">
        <v>540</v>
      </c>
      <c r="CN281" s="52"/>
      <c r="CO281" s="52"/>
      <c r="CP281" s="52"/>
      <c r="CQ281" s="52" t="s">
        <v>540</v>
      </c>
      <c r="CR281" s="52"/>
      <c r="CS281" s="52"/>
      <c r="CT281" s="52"/>
      <c r="CU281" s="52"/>
      <c r="CV281" s="52"/>
      <c r="CW281" s="52"/>
      <c r="CX281" s="52"/>
      <c r="CY281" s="52"/>
      <c r="CZ281" s="52"/>
      <c r="DA281" s="52"/>
      <c r="DB281" s="52"/>
    </row>
    <row r="282" spans="82:106" ht="16.5" x14ac:dyDescent="0.2">
      <c r="CD282" s="52">
        <v>278</v>
      </c>
      <c r="CE282" s="52">
        <v>3</v>
      </c>
      <c r="CF282" s="54" t="s">
        <v>538</v>
      </c>
      <c r="CG282" s="52">
        <v>78</v>
      </c>
      <c r="CH282" s="52"/>
      <c r="CI282" s="52"/>
      <c r="CJ282" s="52"/>
      <c r="CK282" s="52" t="s">
        <v>539</v>
      </c>
      <c r="CL282" s="52"/>
      <c r="CM282" s="52" t="s">
        <v>540</v>
      </c>
      <c r="CN282" s="52"/>
      <c r="CO282" s="52"/>
      <c r="CP282" s="52"/>
      <c r="CQ282" s="52" t="s">
        <v>540</v>
      </c>
      <c r="CR282" s="52"/>
      <c r="CS282" s="52"/>
      <c r="CT282" s="52"/>
      <c r="CU282" s="52"/>
      <c r="CV282" s="52"/>
      <c r="CW282" s="52"/>
      <c r="CX282" s="52"/>
      <c r="CY282" s="52"/>
      <c r="CZ282" s="52"/>
      <c r="DA282" s="52"/>
      <c r="DB282" s="52"/>
    </row>
    <row r="283" spans="82:106" ht="16.5" x14ac:dyDescent="0.2">
      <c r="CD283" s="52">
        <v>279</v>
      </c>
      <c r="CE283" s="52">
        <v>3</v>
      </c>
      <c r="CF283" s="54" t="s">
        <v>538</v>
      </c>
      <c r="CG283" s="52">
        <v>79</v>
      </c>
      <c r="CH283" s="52"/>
      <c r="CI283" s="52"/>
      <c r="CJ283" s="52"/>
      <c r="CK283" s="52" t="s">
        <v>539</v>
      </c>
      <c r="CL283" s="52"/>
      <c r="CM283" s="52" t="s">
        <v>540</v>
      </c>
      <c r="CN283" s="52"/>
      <c r="CO283" s="52"/>
      <c r="CP283" s="52"/>
      <c r="CQ283" s="52" t="s">
        <v>540</v>
      </c>
      <c r="CR283" s="52"/>
      <c r="CS283" s="52"/>
      <c r="CT283" s="52"/>
      <c r="CU283" s="52"/>
      <c r="CV283" s="52"/>
      <c r="CW283" s="52"/>
      <c r="CX283" s="52"/>
      <c r="CY283" s="52"/>
      <c r="CZ283" s="52"/>
      <c r="DA283" s="52"/>
      <c r="DB283" s="52"/>
    </row>
    <row r="284" spans="82:106" ht="16.5" x14ac:dyDescent="0.2">
      <c r="CD284" s="52">
        <v>280</v>
      </c>
      <c r="CE284" s="52">
        <v>3</v>
      </c>
      <c r="CF284" s="54" t="s">
        <v>538</v>
      </c>
      <c r="CG284" s="52">
        <v>80</v>
      </c>
      <c r="CH284" s="52"/>
      <c r="CI284" s="52"/>
      <c r="CJ284" s="52"/>
      <c r="CK284" s="52" t="s">
        <v>539</v>
      </c>
      <c r="CL284" s="52"/>
      <c r="CM284" s="52" t="s">
        <v>540</v>
      </c>
      <c r="CN284" s="52"/>
      <c r="CO284" s="52"/>
      <c r="CP284" s="52"/>
      <c r="CQ284" s="52" t="s">
        <v>540</v>
      </c>
      <c r="CR284" s="52"/>
      <c r="CS284" s="52"/>
      <c r="CT284" s="52"/>
      <c r="CU284" s="52"/>
      <c r="CV284" s="52"/>
      <c r="CW284" s="52"/>
      <c r="CX284" s="52"/>
      <c r="CY284" s="52"/>
      <c r="CZ284" s="52"/>
      <c r="DA284" s="52"/>
      <c r="DB284" s="52"/>
    </row>
    <row r="285" spans="82:106" ht="16.5" x14ac:dyDescent="0.2">
      <c r="CD285" s="52">
        <v>281</v>
      </c>
      <c r="CE285" s="52">
        <v>3</v>
      </c>
      <c r="CF285" s="54" t="s">
        <v>538</v>
      </c>
      <c r="CG285" s="52">
        <v>81</v>
      </c>
      <c r="CH285" s="52"/>
      <c r="CI285" s="52"/>
      <c r="CJ285" s="52"/>
      <c r="CK285" s="52" t="s">
        <v>539</v>
      </c>
      <c r="CL285" s="52"/>
      <c r="CM285" s="52" t="s">
        <v>540</v>
      </c>
      <c r="CN285" s="52"/>
      <c r="CO285" s="52"/>
      <c r="CP285" s="52"/>
      <c r="CQ285" s="52" t="s">
        <v>540</v>
      </c>
      <c r="CR285" s="52"/>
      <c r="CS285" s="52"/>
      <c r="CT285" s="52"/>
      <c r="CU285" s="52"/>
      <c r="CV285" s="52"/>
      <c r="CW285" s="52"/>
      <c r="CX285" s="52"/>
      <c r="CY285" s="52"/>
      <c r="CZ285" s="52"/>
      <c r="DA285" s="52"/>
      <c r="DB285" s="52"/>
    </row>
    <row r="286" spans="82:106" ht="16.5" x14ac:dyDescent="0.2">
      <c r="CD286" s="52">
        <v>282</v>
      </c>
      <c r="CE286" s="52">
        <v>3</v>
      </c>
      <c r="CF286" s="54" t="s">
        <v>538</v>
      </c>
      <c r="CG286" s="52">
        <v>82</v>
      </c>
      <c r="CH286" s="52"/>
      <c r="CI286" s="52"/>
      <c r="CJ286" s="52"/>
      <c r="CK286" s="52" t="s">
        <v>539</v>
      </c>
      <c r="CL286" s="52"/>
      <c r="CM286" s="52" t="s">
        <v>540</v>
      </c>
      <c r="CN286" s="52"/>
      <c r="CO286" s="52"/>
      <c r="CP286" s="52"/>
      <c r="CQ286" s="52" t="s">
        <v>540</v>
      </c>
      <c r="CR286" s="52"/>
      <c r="CS286" s="52"/>
      <c r="CT286" s="52"/>
      <c r="CU286" s="52"/>
      <c r="CV286" s="52"/>
      <c r="CW286" s="52"/>
      <c r="CX286" s="52"/>
      <c r="CY286" s="52"/>
      <c r="CZ286" s="52"/>
      <c r="DA286" s="52"/>
      <c r="DB286" s="52"/>
    </row>
    <row r="287" spans="82:106" ht="16.5" x14ac:dyDescent="0.2">
      <c r="CD287" s="52">
        <v>283</v>
      </c>
      <c r="CE287" s="52">
        <v>3</v>
      </c>
      <c r="CF287" s="54" t="s">
        <v>538</v>
      </c>
      <c r="CG287" s="52">
        <v>83</v>
      </c>
      <c r="CH287" s="52"/>
      <c r="CI287" s="52"/>
      <c r="CJ287" s="52"/>
      <c r="CK287" s="52" t="s">
        <v>539</v>
      </c>
      <c r="CL287" s="52"/>
      <c r="CM287" s="52" t="s">
        <v>540</v>
      </c>
      <c r="CN287" s="52"/>
      <c r="CO287" s="52"/>
      <c r="CP287" s="52"/>
      <c r="CQ287" s="52" t="s">
        <v>540</v>
      </c>
      <c r="CR287" s="52"/>
      <c r="CS287" s="52"/>
      <c r="CT287" s="52"/>
      <c r="CU287" s="52"/>
      <c r="CV287" s="52"/>
      <c r="CW287" s="52"/>
      <c r="CX287" s="52"/>
      <c r="CY287" s="52"/>
      <c r="CZ287" s="52"/>
      <c r="DA287" s="52"/>
      <c r="DB287" s="52"/>
    </row>
    <row r="288" spans="82:106" ht="16.5" x14ac:dyDescent="0.2">
      <c r="CD288" s="52">
        <v>284</v>
      </c>
      <c r="CE288" s="52">
        <v>3</v>
      </c>
      <c r="CF288" s="54" t="s">
        <v>538</v>
      </c>
      <c r="CG288" s="52">
        <v>84</v>
      </c>
      <c r="CH288" s="52"/>
      <c r="CI288" s="52"/>
      <c r="CJ288" s="52"/>
      <c r="CK288" s="52" t="s">
        <v>539</v>
      </c>
      <c r="CL288" s="52"/>
      <c r="CM288" s="52" t="s">
        <v>540</v>
      </c>
      <c r="CN288" s="52"/>
      <c r="CO288" s="52"/>
      <c r="CP288" s="52"/>
      <c r="CQ288" s="52" t="s">
        <v>540</v>
      </c>
      <c r="CR288" s="52"/>
      <c r="CS288" s="52"/>
      <c r="CT288" s="52"/>
      <c r="CU288" s="52"/>
      <c r="CV288" s="52"/>
      <c r="CW288" s="52"/>
      <c r="CX288" s="52"/>
      <c r="CY288" s="52"/>
      <c r="CZ288" s="52"/>
      <c r="DA288" s="52"/>
      <c r="DB288" s="52"/>
    </row>
    <row r="289" spans="82:106" ht="16.5" x14ac:dyDescent="0.2">
      <c r="CD289" s="52">
        <v>285</v>
      </c>
      <c r="CE289" s="52">
        <v>3</v>
      </c>
      <c r="CF289" s="54" t="s">
        <v>538</v>
      </c>
      <c r="CG289" s="52">
        <v>85</v>
      </c>
      <c r="CH289" s="52"/>
      <c r="CI289" s="52"/>
      <c r="CJ289" s="52"/>
      <c r="CK289" s="52" t="s">
        <v>539</v>
      </c>
      <c r="CL289" s="52"/>
      <c r="CM289" s="52" t="s">
        <v>540</v>
      </c>
      <c r="CN289" s="52"/>
      <c r="CO289" s="52"/>
      <c r="CP289" s="52"/>
      <c r="CQ289" s="52" t="s">
        <v>540</v>
      </c>
      <c r="CR289" s="52"/>
      <c r="CS289" s="52"/>
      <c r="CT289" s="52"/>
      <c r="CU289" s="52"/>
      <c r="CV289" s="52"/>
      <c r="CW289" s="52"/>
      <c r="CX289" s="52"/>
      <c r="CY289" s="52"/>
      <c r="CZ289" s="52"/>
      <c r="DA289" s="52"/>
      <c r="DB289" s="52"/>
    </row>
    <row r="290" spans="82:106" ht="16.5" x14ac:dyDescent="0.2">
      <c r="CD290" s="52">
        <v>286</v>
      </c>
      <c r="CE290" s="52">
        <v>3</v>
      </c>
      <c r="CF290" s="54" t="s">
        <v>538</v>
      </c>
      <c r="CG290" s="52">
        <v>86</v>
      </c>
      <c r="CH290" s="52"/>
      <c r="CI290" s="52"/>
      <c r="CJ290" s="52"/>
      <c r="CK290" s="52" t="s">
        <v>539</v>
      </c>
      <c r="CL290" s="52"/>
      <c r="CM290" s="52" t="s">
        <v>540</v>
      </c>
      <c r="CN290" s="52"/>
      <c r="CO290" s="52"/>
      <c r="CP290" s="52"/>
      <c r="CQ290" s="52" t="s">
        <v>540</v>
      </c>
      <c r="CR290" s="52"/>
      <c r="CS290" s="52"/>
      <c r="CT290" s="52"/>
      <c r="CU290" s="52"/>
      <c r="CV290" s="52"/>
      <c r="CW290" s="52"/>
      <c r="CX290" s="52"/>
      <c r="CY290" s="52"/>
      <c r="CZ290" s="52"/>
      <c r="DA290" s="52"/>
      <c r="DB290" s="52"/>
    </row>
    <row r="291" spans="82:106" ht="16.5" x14ac:dyDescent="0.2">
      <c r="CD291" s="52">
        <v>287</v>
      </c>
      <c r="CE291" s="52">
        <v>3</v>
      </c>
      <c r="CF291" s="54" t="s">
        <v>538</v>
      </c>
      <c r="CG291" s="52">
        <v>87</v>
      </c>
      <c r="CH291" s="52"/>
      <c r="CI291" s="52"/>
      <c r="CJ291" s="52"/>
      <c r="CK291" s="52" t="s">
        <v>539</v>
      </c>
      <c r="CL291" s="52"/>
      <c r="CM291" s="52" t="s">
        <v>540</v>
      </c>
      <c r="CN291" s="52"/>
      <c r="CO291" s="52"/>
      <c r="CP291" s="52"/>
      <c r="CQ291" s="52" t="s">
        <v>540</v>
      </c>
      <c r="CR291" s="52"/>
      <c r="CS291" s="52"/>
      <c r="CT291" s="52"/>
      <c r="CU291" s="52"/>
      <c r="CV291" s="52"/>
      <c r="CW291" s="52"/>
      <c r="CX291" s="52"/>
      <c r="CY291" s="52"/>
      <c r="CZ291" s="52"/>
      <c r="DA291" s="52"/>
      <c r="DB291" s="52"/>
    </row>
    <row r="292" spans="82:106" ht="16.5" x14ac:dyDescent="0.2">
      <c r="CD292" s="52">
        <v>288</v>
      </c>
      <c r="CE292" s="52">
        <v>3</v>
      </c>
      <c r="CF292" s="54" t="s">
        <v>538</v>
      </c>
      <c r="CG292" s="52">
        <v>88</v>
      </c>
      <c r="CH292" s="52"/>
      <c r="CI292" s="52"/>
      <c r="CJ292" s="52"/>
      <c r="CK292" s="52" t="s">
        <v>539</v>
      </c>
      <c r="CL292" s="52"/>
      <c r="CM292" s="52" t="s">
        <v>540</v>
      </c>
      <c r="CN292" s="52"/>
      <c r="CO292" s="52"/>
      <c r="CP292" s="52"/>
      <c r="CQ292" s="52" t="s">
        <v>540</v>
      </c>
      <c r="CR292" s="52"/>
      <c r="CS292" s="52"/>
      <c r="CT292" s="52"/>
      <c r="CU292" s="52"/>
      <c r="CV292" s="52"/>
      <c r="CW292" s="52"/>
      <c r="CX292" s="52"/>
      <c r="CY292" s="52"/>
      <c r="CZ292" s="52"/>
      <c r="DA292" s="52"/>
      <c r="DB292" s="52"/>
    </row>
    <row r="293" spans="82:106" ht="16.5" x14ac:dyDescent="0.2">
      <c r="CD293" s="52">
        <v>289</v>
      </c>
      <c r="CE293" s="52">
        <v>3</v>
      </c>
      <c r="CF293" s="54" t="s">
        <v>538</v>
      </c>
      <c r="CG293" s="52">
        <v>89</v>
      </c>
      <c r="CH293" s="52"/>
      <c r="CI293" s="52"/>
      <c r="CJ293" s="52"/>
      <c r="CK293" s="52" t="s">
        <v>539</v>
      </c>
      <c r="CL293" s="52"/>
      <c r="CM293" s="52" t="s">
        <v>540</v>
      </c>
      <c r="CN293" s="52"/>
      <c r="CO293" s="52"/>
      <c r="CP293" s="52"/>
      <c r="CQ293" s="52" t="s">
        <v>540</v>
      </c>
      <c r="CR293" s="52"/>
      <c r="CS293" s="52"/>
      <c r="CT293" s="52"/>
      <c r="CU293" s="52"/>
      <c r="CV293" s="52"/>
      <c r="CW293" s="52"/>
      <c r="CX293" s="52"/>
      <c r="CY293" s="52"/>
      <c r="CZ293" s="52"/>
      <c r="DA293" s="52"/>
      <c r="DB293" s="52"/>
    </row>
    <row r="294" spans="82:106" ht="16.5" x14ac:dyDescent="0.2">
      <c r="CD294" s="52">
        <v>290</v>
      </c>
      <c r="CE294" s="52">
        <v>3</v>
      </c>
      <c r="CF294" s="54" t="s">
        <v>538</v>
      </c>
      <c r="CG294" s="52">
        <v>90</v>
      </c>
      <c r="CH294" s="52"/>
      <c r="CI294" s="52"/>
      <c r="CJ294" s="52"/>
      <c r="CK294" s="52" t="s">
        <v>539</v>
      </c>
      <c r="CL294" s="52"/>
      <c r="CM294" s="52" t="s">
        <v>540</v>
      </c>
      <c r="CN294" s="52"/>
      <c r="CO294" s="52"/>
      <c r="CP294" s="52"/>
      <c r="CQ294" s="52" t="s">
        <v>540</v>
      </c>
      <c r="CR294" s="52"/>
      <c r="CS294" s="52"/>
      <c r="CT294" s="52"/>
      <c r="CU294" s="52"/>
      <c r="CV294" s="52"/>
      <c r="CW294" s="52"/>
      <c r="CX294" s="52"/>
      <c r="CY294" s="52"/>
      <c r="CZ294" s="52"/>
      <c r="DA294" s="52"/>
      <c r="DB294" s="52"/>
    </row>
    <row r="295" spans="82:106" ht="16.5" x14ac:dyDescent="0.2">
      <c r="CD295" s="52">
        <v>291</v>
      </c>
      <c r="CE295" s="52">
        <v>3</v>
      </c>
      <c r="CF295" s="54" t="s">
        <v>538</v>
      </c>
      <c r="CG295" s="52">
        <v>91</v>
      </c>
      <c r="CH295" s="52"/>
      <c r="CI295" s="52"/>
      <c r="CJ295" s="52"/>
      <c r="CK295" s="52" t="s">
        <v>539</v>
      </c>
      <c r="CL295" s="52"/>
      <c r="CM295" s="52" t="s">
        <v>540</v>
      </c>
      <c r="CN295" s="52"/>
      <c r="CO295" s="52"/>
      <c r="CP295" s="52"/>
      <c r="CQ295" s="52" t="s">
        <v>540</v>
      </c>
      <c r="CR295" s="52"/>
      <c r="CS295" s="52"/>
      <c r="CT295" s="52"/>
      <c r="CU295" s="52"/>
      <c r="CV295" s="52"/>
      <c r="CW295" s="52"/>
      <c r="CX295" s="52"/>
      <c r="CY295" s="52"/>
      <c r="CZ295" s="52"/>
      <c r="DA295" s="52"/>
      <c r="DB295" s="52"/>
    </row>
    <row r="296" spans="82:106" ht="16.5" x14ac:dyDescent="0.2">
      <c r="CD296" s="52">
        <v>292</v>
      </c>
      <c r="CE296" s="52">
        <v>3</v>
      </c>
      <c r="CF296" s="54" t="s">
        <v>538</v>
      </c>
      <c r="CG296" s="52">
        <v>92</v>
      </c>
      <c r="CH296" s="52"/>
      <c r="CI296" s="52"/>
      <c r="CJ296" s="52"/>
      <c r="CK296" s="52" t="s">
        <v>539</v>
      </c>
      <c r="CL296" s="52"/>
      <c r="CM296" s="52" t="s">
        <v>540</v>
      </c>
      <c r="CN296" s="52"/>
      <c r="CO296" s="52"/>
      <c r="CP296" s="52"/>
      <c r="CQ296" s="52" t="s">
        <v>540</v>
      </c>
      <c r="CR296" s="52"/>
      <c r="CS296" s="52"/>
      <c r="CT296" s="52"/>
      <c r="CU296" s="52"/>
      <c r="CV296" s="52"/>
      <c r="CW296" s="52"/>
      <c r="CX296" s="52"/>
      <c r="CY296" s="52"/>
      <c r="CZ296" s="52"/>
      <c r="DA296" s="52"/>
      <c r="DB296" s="52"/>
    </row>
    <row r="297" spans="82:106" ht="16.5" x14ac:dyDescent="0.2">
      <c r="CD297" s="52">
        <v>293</v>
      </c>
      <c r="CE297" s="52">
        <v>3</v>
      </c>
      <c r="CF297" s="54" t="s">
        <v>538</v>
      </c>
      <c r="CG297" s="52">
        <v>93</v>
      </c>
      <c r="CH297" s="52"/>
      <c r="CI297" s="52"/>
      <c r="CJ297" s="52"/>
      <c r="CK297" s="52" t="s">
        <v>539</v>
      </c>
      <c r="CL297" s="52"/>
      <c r="CM297" s="52" t="s">
        <v>540</v>
      </c>
      <c r="CN297" s="52"/>
      <c r="CO297" s="52"/>
      <c r="CP297" s="52"/>
      <c r="CQ297" s="52" t="s">
        <v>540</v>
      </c>
      <c r="CR297" s="52"/>
      <c r="CS297" s="52"/>
      <c r="CT297" s="52"/>
      <c r="CU297" s="52"/>
      <c r="CV297" s="52"/>
      <c r="CW297" s="52"/>
      <c r="CX297" s="52"/>
      <c r="CY297" s="52"/>
      <c r="CZ297" s="52"/>
      <c r="DA297" s="52"/>
      <c r="DB297" s="52"/>
    </row>
    <row r="298" spans="82:106" ht="16.5" x14ac:dyDescent="0.2">
      <c r="CD298" s="52">
        <v>294</v>
      </c>
      <c r="CE298" s="52">
        <v>3</v>
      </c>
      <c r="CF298" s="54" t="s">
        <v>538</v>
      </c>
      <c r="CG298" s="52">
        <v>94</v>
      </c>
      <c r="CH298" s="52"/>
      <c r="CI298" s="52"/>
      <c r="CJ298" s="52"/>
      <c r="CK298" s="52" t="s">
        <v>539</v>
      </c>
      <c r="CL298" s="52"/>
      <c r="CM298" s="52" t="s">
        <v>540</v>
      </c>
      <c r="CN298" s="52"/>
      <c r="CO298" s="52"/>
      <c r="CP298" s="52"/>
      <c r="CQ298" s="52" t="s">
        <v>540</v>
      </c>
      <c r="CR298" s="52"/>
      <c r="CS298" s="52"/>
      <c r="CT298" s="52"/>
      <c r="CU298" s="52"/>
      <c r="CV298" s="52"/>
      <c r="CW298" s="52"/>
      <c r="CX298" s="52"/>
      <c r="CY298" s="52"/>
      <c r="CZ298" s="52"/>
      <c r="DA298" s="52"/>
      <c r="DB298" s="52"/>
    </row>
    <row r="299" spans="82:106" ht="16.5" x14ac:dyDescent="0.2">
      <c r="CD299" s="52">
        <v>295</v>
      </c>
      <c r="CE299" s="52">
        <v>3</v>
      </c>
      <c r="CF299" s="54" t="s">
        <v>538</v>
      </c>
      <c r="CG299" s="52">
        <v>95</v>
      </c>
      <c r="CH299" s="52"/>
      <c r="CI299" s="52"/>
      <c r="CJ299" s="52"/>
      <c r="CK299" s="52" t="s">
        <v>539</v>
      </c>
      <c r="CL299" s="52"/>
      <c r="CM299" s="52" t="s">
        <v>540</v>
      </c>
      <c r="CN299" s="52"/>
      <c r="CO299" s="52"/>
      <c r="CP299" s="52"/>
      <c r="CQ299" s="52" t="s">
        <v>540</v>
      </c>
      <c r="CR299" s="52"/>
      <c r="CS299" s="52"/>
      <c r="CT299" s="52"/>
      <c r="CU299" s="52"/>
      <c r="CV299" s="52"/>
      <c r="CW299" s="52"/>
      <c r="CX299" s="52"/>
      <c r="CY299" s="52"/>
      <c r="CZ299" s="52"/>
      <c r="DA299" s="52"/>
      <c r="DB299" s="52"/>
    </row>
    <row r="300" spans="82:106" ht="16.5" x14ac:dyDescent="0.2">
      <c r="CD300" s="52">
        <v>296</v>
      </c>
      <c r="CE300" s="52">
        <v>3</v>
      </c>
      <c r="CF300" s="54" t="s">
        <v>538</v>
      </c>
      <c r="CG300" s="52">
        <v>96</v>
      </c>
      <c r="CH300" s="52"/>
      <c r="CI300" s="52"/>
      <c r="CJ300" s="52"/>
      <c r="CK300" s="52" t="s">
        <v>539</v>
      </c>
      <c r="CL300" s="52"/>
      <c r="CM300" s="52" t="s">
        <v>540</v>
      </c>
      <c r="CN300" s="52"/>
      <c r="CO300" s="52"/>
      <c r="CP300" s="52"/>
      <c r="CQ300" s="52" t="s">
        <v>540</v>
      </c>
      <c r="CR300" s="52"/>
      <c r="CS300" s="52"/>
      <c r="CT300" s="52"/>
      <c r="CU300" s="52"/>
      <c r="CV300" s="52"/>
      <c r="CW300" s="52"/>
      <c r="CX300" s="52"/>
      <c r="CY300" s="52"/>
      <c r="CZ300" s="52"/>
      <c r="DA300" s="52"/>
      <c r="DB300" s="52"/>
    </row>
    <row r="301" spans="82:106" ht="16.5" x14ac:dyDescent="0.2">
      <c r="CD301" s="52">
        <v>297</v>
      </c>
      <c r="CE301" s="52">
        <v>3</v>
      </c>
      <c r="CF301" s="54" t="s">
        <v>538</v>
      </c>
      <c r="CG301" s="52">
        <v>97</v>
      </c>
      <c r="CH301" s="52"/>
      <c r="CI301" s="52"/>
      <c r="CJ301" s="52"/>
      <c r="CK301" s="52" t="s">
        <v>539</v>
      </c>
      <c r="CL301" s="52"/>
      <c r="CM301" s="52" t="s">
        <v>540</v>
      </c>
      <c r="CN301" s="52"/>
      <c r="CO301" s="52"/>
      <c r="CP301" s="52"/>
      <c r="CQ301" s="52" t="s">
        <v>540</v>
      </c>
      <c r="CR301" s="52"/>
      <c r="CS301" s="52"/>
      <c r="CT301" s="52"/>
      <c r="CU301" s="52"/>
      <c r="CV301" s="52"/>
      <c r="CW301" s="52"/>
      <c r="CX301" s="52"/>
      <c r="CY301" s="52"/>
      <c r="CZ301" s="52"/>
      <c r="DA301" s="52"/>
      <c r="DB301" s="52"/>
    </row>
    <row r="302" spans="82:106" ht="16.5" x14ac:dyDescent="0.2">
      <c r="CD302" s="52">
        <v>298</v>
      </c>
      <c r="CE302" s="52">
        <v>3</v>
      </c>
      <c r="CF302" s="54" t="s">
        <v>538</v>
      </c>
      <c r="CG302" s="52">
        <v>98</v>
      </c>
      <c r="CH302" s="52"/>
      <c r="CI302" s="52"/>
      <c r="CJ302" s="52"/>
      <c r="CK302" s="52" t="s">
        <v>539</v>
      </c>
      <c r="CL302" s="52"/>
      <c r="CM302" s="52" t="s">
        <v>540</v>
      </c>
      <c r="CN302" s="52"/>
      <c r="CO302" s="52"/>
      <c r="CP302" s="52"/>
      <c r="CQ302" s="52" t="s">
        <v>540</v>
      </c>
      <c r="CR302" s="52"/>
      <c r="CS302" s="52"/>
      <c r="CT302" s="52"/>
      <c r="CU302" s="52"/>
      <c r="CV302" s="52"/>
      <c r="CW302" s="52"/>
      <c r="CX302" s="52"/>
      <c r="CY302" s="52"/>
      <c r="CZ302" s="52"/>
      <c r="DA302" s="52"/>
      <c r="DB302" s="52"/>
    </row>
    <row r="303" spans="82:106" ht="16.5" x14ac:dyDescent="0.2">
      <c r="CD303" s="52">
        <v>299</v>
      </c>
      <c r="CE303" s="52">
        <v>3</v>
      </c>
      <c r="CF303" s="54" t="s">
        <v>538</v>
      </c>
      <c r="CG303" s="52">
        <v>99</v>
      </c>
      <c r="CH303" s="52"/>
      <c r="CI303" s="52"/>
      <c r="CJ303" s="52"/>
      <c r="CK303" s="52" t="s">
        <v>539</v>
      </c>
      <c r="CL303" s="52"/>
      <c r="CM303" s="52" t="s">
        <v>540</v>
      </c>
      <c r="CN303" s="52"/>
      <c r="CO303" s="52"/>
      <c r="CP303" s="52"/>
      <c r="CQ303" s="52" t="s">
        <v>540</v>
      </c>
      <c r="CR303" s="52"/>
      <c r="CS303" s="52"/>
      <c r="CT303" s="52"/>
      <c r="CU303" s="52"/>
      <c r="CV303" s="52"/>
      <c r="CW303" s="52"/>
      <c r="CX303" s="52"/>
      <c r="CY303" s="52"/>
      <c r="CZ303" s="52"/>
      <c r="DA303" s="52"/>
      <c r="DB303" s="52"/>
    </row>
    <row r="304" spans="82:106" ht="16.5" x14ac:dyDescent="0.2">
      <c r="CD304" s="52">
        <v>300</v>
      </c>
      <c r="CE304" s="52">
        <v>3</v>
      </c>
      <c r="CF304" s="54" t="s">
        <v>538</v>
      </c>
      <c r="CG304" s="52">
        <v>100</v>
      </c>
      <c r="CH304" s="52"/>
      <c r="CI304" s="52"/>
      <c r="CJ304" s="52"/>
      <c r="CK304" s="52" t="s">
        <v>539</v>
      </c>
      <c r="CL304" s="52"/>
      <c r="CM304" s="52" t="s">
        <v>540</v>
      </c>
      <c r="CN304" s="52"/>
      <c r="CO304" s="52"/>
      <c r="CP304" s="52"/>
      <c r="CQ304" s="52" t="s">
        <v>540</v>
      </c>
      <c r="CR304" s="52"/>
      <c r="CS304" s="52"/>
      <c r="CT304" s="52"/>
      <c r="CU304" s="52"/>
      <c r="CV304" s="52"/>
      <c r="CW304" s="52"/>
      <c r="CX304" s="52"/>
      <c r="CY304" s="52"/>
      <c r="CZ304" s="52"/>
      <c r="DA304" s="52"/>
      <c r="DB304" s="52"/>
    </row>
    <row r="305" spans="82:106" ht="16.5" x14ac:dyDescent="0.2">
      <c r="CD305" s="52">
        <v>301</v>
      </c>
      <c r="CE305" s="52">
        <v>4</v>
      </c>
      <c r="CF305" s="54" t="s">
        <v>538</v>
      </c>
      <c r="CG305" s="52">
        <v>1</v>
      </c>
      <c r="CH305" s="52"/>
      <c r="CI305" s="52"/>
      <c r="CJ305" s="52"/>
      <c r="CK305" s="52" t="s">
        <v>539</v>
      </c>
      <c r="CL305" s="52"/>
      <c r="CM305" s="52" t="s">
        <v>540</v>
      </c>
      <c r="CN305" s="52"/>
      <c r="CO305" s="52"/>
      <c r="CP305" s="52"/>
      <c r="CQ305" s="52" t="s">
        <v>540</v>
      </c>
      <c r="CR305" s="52"/>
      <c r="CS305" s="52"/>
      <c r="CT305" s="52"/>
      <c r="CU305" s="52"/>
      <c r="CV305" s="52"/>
      <c r="CW305" s="52"/>
      <c r="CX305" s="52"/>
      <c r="CY305" s="52"/>
      <c r="CZ305" s="52"/>
      <c r="DA305" s="52"/>
      <c r="DB305" s="52"/>
    </row>
    <row r="306" spans="82:106" ht="16.5" x14ac:dyDescent="0.2">
      <c r="CD306" s="52">
        <v>302</v>
      </c>
      <c r="CE306" s="52">
        <v>4</v>
      </c>
      <c r="CF306" s="54" t="s">
        <v>538</v>
      </c>
      <c r="CG306" s="52">
        <v>2</v>
      </c>
      <c r="CH306" s="52"/>
      <c r="CI306" s="52"/>
      <c r="CJ306" s="52"/>
      <c r="CK306" s="52" t="s">
        <v>539</v>
      </c>
      <c r="CL306" s="52"/>
      <c r="CM306" s="52" t="s">
        <v>540</v>
      </c>
      <c r="CN306" s="52"/>
      <c r="CO306" s="52"/>
      <c r="CP306" s="52"/>
      <c r="CQ306" s="52" t="s">
        <v>540</v>
      </c>
      <c r="CR306" s="52"/>
      <c r="CS306" s="52"/>
      <c r="CT306" s="52"/>
      <c r="CU306" s="52"/>
      <c r="CV306" s="52"/>
      <c r="CW306" s="52"/>
      <c r="CX306" s="52"/>
      <c r="CY306" s="52"/>
      <c r="CZ306" s="52"/>
      <c r="DA306" s="52"/>
      <c r="DB306" s="52"/>
    </row>
    <row r="307" spans="82:106" ht="16.5" x14ac:dyDescent="0.2">
      <c r="CD307" s="52">
        <v>303</v>
      </c>
      <c r="CE307" s="52">
        <v>4</v>
      </c>
      <c r="CF307" s="54" t="s">
        <v>538</v>
      </c>
      <c r="CG307" s="52">
        <v>3</v>
      </c>
      <c r="CH307" s="52"/>
      <c r="CI307" s="52"/>
      <c r="CJ307" s="52"/>
      <c r="CK307" s="52" t="s">
        <v>539</v>
      </c>
      <c r="CL307" s="52"/>
      <c r="CM307" s="52" t="s">
        <v>540</v>
      </c>
      <c r="CN307" s="52"/>
      <c r="CO307" s="52"/>
      <c r="CP307" s="52"/>
      <c r="CQ307" s="52" t="s">
        <v>540</v>
      </c>
      <c r="CR307" s="52"/>
      <c r="CS307" s="52"/>
      <c r="CT307" s="52"/>
      <c r="CU307" s="52"/>
      <c r="CV307" s="52"/>
      <c r="CW307" s="52"/>
      <c r="CX307" s="52"/>
      <c r="CY307" s="52"/>
      <c r="CZ307" s="52"/>
      <c r="DA307" s="52"/>
      <c r="DB307" s="52"/>
    </row>
    <row r="308" spans="82:106" ht="16.5" x14ac:dyDescent="0.2">
      <c r="CD308" s="52">
        <v>304</v>
      </c>
      <c r="CE308" s="52">
        <v>4</v>
      </c>
      <c r="CF308" s="54" t="s">
        <v>538</v>
      </c>
      <c r="CG308" s="52">
        <v>4</v>
      </c>
      <c r="CH308" s="52"/>
      <c r="CI308" s="52"/>
      <c r="CJ308" s="52"/>
      <c r="CK308" s="52" t="s">
        <v>539</v>
      </c>
      <c r="CL308" s="52"/>
      <c r="CM308" s="52" t="s">
        <v>540</v>
      </c>
      <c r="CN308" s="52"/>
      <c r="CO308" s="52"/>
      <c r="CP308" s="52"/>
      <c r="CQ308" s="52" t="s">
        <v>540</v>
      </c>
      <c r="CR308" s="52"/>
      <c r="CS308" s="52"/>
      <c r="CT308" s="52"/>
      <c r="CU308" s="52"/>
      <c r="CV308" s="52"/>
      <c r="CW308" s="52"/>
      <c r="CX308" s="52"/>
      <c r="CY308" s="52"/>
      <c r="CZ308" s="52"/>
      <c r="DA308" s="52"/>
      <c r="DB308" s="52"/>
    </row>
    <row r="309" spans="82:106" ht="16.5" x14ac:dyDescent="0.2">
      <c r="CD309" s="52">
        <v>305</v>
      </c>
      <c r="CE309" s="52">
        <v>4</v>
      </c>
      <c r="CF309" s="54" t="s">
        <v>538</v>
      </c>
      <c r="CG309" s="52">
        <v>5</v>
      </c>
      <c r="CH309" s="52"/>
      <c r="CI309" s="52"/>
      <c r="CJ309" s="52"/>
      <c r="CK309" s="52" t="s">
        <v>539</v>
      </c>
      <c r="CL309" s="52"/>
      <c r="CM309" s="52" t="s">
        <v>540</v>
      </c>
      <c r="CN309" s="52"/>
      <c r="CO309" s="52"/>
      <c r="CP309" s="52"/>
      <c r="CQ309" s="52" t="s">
        <v>540</v>
      </c>
      <c r="CR309" s="52"/>
      <c r="CS309" s="52"/>
      <c r="CT309" s="52"/>
      <c r="CU309" s="52"/>
      <c r="CV309" s="52"/>
      <c r="CW309" s="52"/>
      <c r="CX309" s="52"/>
      <c r="CY309" s="52"/>
      <c r="CZ309" s="52"/>
      <c r="DA309" s="52"/>
      <c r="DB309" s="52"/>
    </row>
    <row r="310" spans="82:106" ht="16.5" x14ac:dyDescent="0.2">
      <c r="CD310" s="52">
        <v>306</v>
      </c>
      <c r="CE310" s="52">
        <v>4</v>
      </c>
      <c r="CF310" s="54" t="s">
        <v>538</v>
      </c>
      <c r="CG310" s="52">
        <v>6</v>
      </c>
      <c r="CH310" s="52"/>
      <c r="CI310" s="52"/>
      <c r="CJ310" s="52"/>
      <c r="CK310" s="52" t="s">
        <v>539</v>
      </c>
      <c r="CL310" s="52"/>
      <c r="CM310" s="52" t="s">
        <v>540</v>
      </c>
      <c r="CN310" s="52"/>
      <c r="CO310" s="52"/>
      <c r="CP310" s="52"/>
      <c r="CQ310" s="52" t="s">
        <v>540</v>
      </c>
      <c r="CR310" s="52"/>
      <c r="CS310" s="52"/>
      <c r="CT310" s="52"/>
      <c r="CU310" s="52"/>
      <c r="CV310" s="52"/>
      <c r="CW310" s="52"/>
      <c r="CX310" s="52"/>
      <c r="CY310" s="52"/>
      <c r="CZ310" s="52"/>
      <c r="DA310" s="52"/>
      <c r="DB310" s="52"/>
    </row>
    <row r="311" spans="82:106" ht="16.5" x14ac:dyDescent="0.2">
      <c r="CD311" s="52">
        <v>307</v>
      </c>
      <c r="CE311" s="52">
        <v>4</v>
      </c>
      <c r="CF311" s="54" t="s">
        <v>538</v>
      </c>
      <c r="CG311" s="52">
        <v>7</v>
      </c>
      <c r="CH311" s="52"/>
      <c r="CI311" s="52"/>
      <c r="CJ311" s="52"/>
      <c r="CK311" s="52" t="s">
        <v>539</v>
      </c>
      <c r="CL311" s="52"/>
      <c r="CM311" s="52" t="s">
        <v>540</v>
      </c>
      <c r="CN311" s="52"/>
      <c r="CO311" s="52"/>
      <c r="CP311" s="52"/>
      <c r="CQ311" s="52" t="s">
        <v>540</v>
      </c>
      <c r="CR311" s="52"/>
      <c r="CS311" s="52"/>
      <c r="CT311" s="52"/>
      <c r="CU311" s="52"/>
      <c r="CV311" s="52"/>
      <c r="CW311" s="52"/>
      <c r="CX311" s="52"/>
      <c r="CY311" s="52"/>
      <c r="CZ311" s="52"/>
      <c r="DA311" s="52"/>
      <c r="DB311" s="52"/>
    </row>
    <row r="312" spans="82:106" ht="16.5" x14ac:dyDescent="0.2">
      <c r="CD312" s="52">
        <v>308</v>
      </c>
      <c r="CE312" s="52">
        <v>4</v>
      </c>
      <c r="CF312" s="54" t="s">
        <v>538</v>
      </c>
      <c r="CG312" s="52">
        <v>8</v>
      </c>
      <c r="CH312" s="52"/>
      <c r="CI312" s="52"/>
      <c r="CJ312" s="52"/>
      <c r="CK312" s="52" t="s">
        <v>539</v>
      </c>
      <c r="CL312" s="52"/>
      <c r="CM312" s="52" t="s">
        <v>540</v>
      </c>
      <c r="CN312" s="52"/>
      <c r="CO312" s="52"/>
      <c r="CP312" s="52"/>
      <c r="CQ312" s="52" t="s">
        <v>540</v>
      </c>
      <c r="CR312" s="52"/>
      <c r="CS312" s="52"/>
      <c r="CT312" s="52"/>
      <c r="CU312" s="52"/>
      <c r="CV312" s="52"/>
      <c r="CW312" s="52"/>
      <c r="CX312" s="52"/>
      <c r="CY312" s="52"/>
      <c r="CZ312" s="52"/>
      <c r="DA312" s="52"/>
      <c r="DB312" s="52"/>
    </row>
    <row r="313" spans="82:106" ht="16.5" x14ac:dyDescent="0.2">
      <c r="CD313" s="52">
        <v>309</v>
      </c>
      <c r="CE313" s="52">
        <v>4</v>
      </c>
      <c r="CF313" s="54" t="s">
        <v>538</v>
      </c>
      <c r="CG313" s="52">
        <v>9</v>
      </c>
      <c r="CH313" s="52"/>
      <c r="CI313" s="52"/>
      <c r="CJ313" s="52"/>
      <c r="CK313" s="52" t="s">
        <v>539</v>
      </c>
      <c r="CL313" s="52"/>
      <c r="CM313" s="52" t="s">
        <v>540</v>
      </c>
      <c r="CN313" s="52"/>
      <c r="CO313" s="52"/>
      <c r="CP313" s="52"/>
      <c r="CQ313" s="52" t="s">
        <v>540</v>
      </c>
      <c r="CR313" s="52"/>
      <c r="CS313" s="52"/>
      <c r="CT313" s="52"/>
      <c r="CU313" s="52"/>
      <c r="CV313" s="52"/>
      <c r="CW313" s="52"/>
      <c r="CX313" s="52"/>
      <c r="CY313" s="52"/>
      <c r="CZ313" s="52"/>
      <c r="DA313" s="52"/>
      <c r="DB313" s="52"/>
    </row>
    <row r="314" spans="82:106" ht="16.5" x14ac:dyDescent="0.2">
      <c r="CD314" s="52">
        <v>310</v>
      </c>
      <c r="CE314" s="52">
        <v>4</v>
      </c>
      <c r="CF314" s="54" t="s">
        <v>538</v>
      </c>
      <c r="CG314" s="52">
        <v>10</v>
      </c>
      <c r="CH314" s="52"/>
      <c r="CI314" s="52"/>
      <c r="CJ314" s="52"/>
      <c r="CK314" s="52" t="s">
        <v>539</v>
      </c>
      <c r="CL314" s="52"/>
      <c r="CM314" s="52" t="s">
        <v>540</v>
      </c>
      <c r="CN314" s="52"/>
      <c r="CO314" s="52"/>
      <c r="CP314" s="52"/>
      <c r="CQ314" s="52" t="s">
        <v>540</v>
      </c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</row>
    <row r="315" spans="82:106" ht="16.5" x14ac:dyDescent="0.2">
      <c r="CD315" s="52">
        <v>311</v>
      </c>
      <c r="CE315" s="52">
        <v>4</v>
      </c>
      <c r="CF315" s="54" t="s">
        <v>538</v>
      </c>
      <c r="CG315" s="52">
        <v>11</v>
      </c>
      <c r="CH315" s="52"/>
      <c r="CI315" s="52"/>
      <c r="CJ315" s="52"/>
      <c r="CK315" s="52" t="s">
        <v>539</v>
      </c>
      <c r="CL315" s="52"/>
      <c r="CM315" s="52" t="s">
        <v>540</v>
      </c>
      <c r="CN315" s="52"/>
      <c r="CO315" s="52"/>
      <c r="CP315" s="52"/>
      <c r="CQ315" s="52" t="s">
        <v>540</v>
      </c>
      <c r="CR315" s="52"/>
      <c r="CS315" s="52"/>
      <c r="CT315" s="52"/>
      <c r="CU315" s="52"/>
      <c r="CV315" s="52"/>
      <c r="CW315" s="52"/>
      <c r="CX315" s="52"/>
      <c r="CY315" s="52"/>
      <c r="CZ315" s="52"/>
      <c r="DA315" s="52"/>
      <c r="DB315" s="52"/>
    </row>
    <row r="316" spans="82:106" ht="16.5" x14ac:dyDescent="0.2">
      <c r="CD316" s="52">
        <v>312</v>
      </c>
      <c r="CE316" s="52">
        <v>4</v>
      </c>
      <c r="CF316" s="54" t="s">
        <v>538</v>
      </c>
      <c r="CG316" s="52">
        <v>12</v>
      </c>
      <c r="CH316" s="52"/>
      <c r="CI316" s="52"/>
      <c r="CJ316" s="52"/>
      <c r="CK316" s="52" t="s">
        <v>539</v>
      </c>
      <c r="CL316" s="52"/>
      <c r="CM316" s="52" t="s">
        <v>540</v>
      </c>
      <c r="CN316" s="52"/>
      <c r="CO316" s="52"/>
      <c r="CP316" s="52"/>
      <c r="CQ316" s="52" t="s">
        <v>540</v>
      </c>
      <c r="CR316" s="52"/>
      <c r="CS316" s="52"/>
      <c r="CT316" s="52"/>
      <c r="CU316" s="52"/>
      <c r="CV316" s="52"/>
      <c r="CW316" s="52"/>
      <c r="CX316" s="52"/>
      <c r="CY316" s="52"/>
      <c r="CZ316" s="52"/>
      <c r="DA316" s="52"/>
      <c r="DB316" s="52"/>
    </row>
    <row r="317" spans="82:106" ht="16.5" x14ac:dyDescent="0.2">
      <c r="CD317" s="52">
        <v>313</v>
      </c>
      <c r="CE317" s="52">
        <v>4</v>
      </c>
      <c r="CF317" s="54" t="s">
        <v>538</v>
      </c>
      <c r="CG317" s="52">
        <v>13</v>
      </c>
      <c r="CH317" s="52"/>
      <c r="CI317" s="52"/>
      <c r="CJ317" s="52"/>
      <c r="CK317" s="52" t="s">
        <v>539</v>
      </c>
      <c r="CL317" s="52"/>
      <c r="CM317" s="52" t="s">
        <v>540</v>
      </c>
      <c r="CN317" s="52"/>
      <c r="CO317" s="52"/>
      <c r="CP317" s="52"/>
      <c r="CQ317" s="52" t="s">
        <v>540</v>
      </c>
      <c r="CR317" s="52"/>
      <c r="CS317" s="52"/>
      <c r="CT317" s="52"/>
      <c r="CU317" s="52"/>
      <c r="CV317" s="52"/>
      <c r="CW317" s="52"/>
      <c r="CX317" s="52"/>
      <c r="CY317" s="52"/>
      <c r="CZ317" s="52"/>
      <c r="DA317" s="52"/>
      <c r="DB317" s="52"/>
    </row>
    <row r="318" spans="82:106" ht="16.5" x14ac:dyDescent="0.2">
      <c r="CD318" s="52">
        <v>314</v>
      </c>
      <c r="CE318" s="52">
        <v>4</v>
      </c>
      <c r="CF318" s="54" t="s">
        <v>538</v>
      </c>
      <c r="CG318" s="52">
        <v>14</v>
      </c>
      <c r="CH318" s="52"/>
      <c r="CI318" s="52"/>
      <c r="CJ318" s="52"/>
      <c r="CK318" s="52" t="s">
        <v>539</v>
      </c>
      <c r="CL318" s="52"/>
      <c r="CM318" s="52" t="s">
        <v>540</v>
      </c>
      <c r="CN318" s="52"/>
      <c r="CO318" s="52"/>
      <c r="CP318" s="52"/>
      <c r="CQ318" s="52" t="s">
        <v>540</v>
      </c>
      <c r="CR318" s="52"/>
      <c r="CS318" s="52"/>
      <c r="CT318" s="52"/>
      <c r="CU318" s="52"/>
      <c r="CV318" s="52"/>
      <c r="CW318" s="52"/>
      <c r="CX318" s="52"/>
      <c r="CY318" s="52"/>
      <c r="CZ318" s="52"/>
      <c r="DA318" s="52"/>
      <c r="DB318" s="52"/>
    </row>
    <row r="319" spans="82:106" ht="16.5" x14ac:dyDescent="0.2">
      <c r="CD319" s="52">
        <v>315</v>
      </c>
      <c r="CE319" s="52">
        <v>4</v>
      </c>
      <c r="CF319" s="54" t="s">
        <v>538</v>
      </c>
      <c r="CG319" s="52">
        <v>15</v>
      </c>
      <c r="CH319" s="52"/>
      <c r="CI319" s="52"/>
      <c r="CJ319" s="52"/>
      <c r="CK319" s="52" t="s">
        <v>539</v>
      </c>
      <c r="CL319" s="52"/>
      <c r="CM319" s="52" t="s">
        <v>540</v>
      </c>
      <c r="CN319" s="52"/>
      <c r="CO319" s="52"/>
      <c r="CP319" s="52"/>
      <c r="CQ319" s="52" t="s">
        <v>540</v>
      </c>
      <c r="CR319" s="52"/>
      <c r="CS319" s="52"/>
      <c r="CT319" s="52"/>
      <c r="CU319" s="52"/>
      <c r="CV319" s="52"/>
      <c r="CW319" s="52"/>
      <c r="CX319" s="52"/>
      <c r="CY319" s="52"/>
      <c r="CZ319" s="52"/>
      <c r="DA319" s="52"/>
      <c r="DB319" s="52"/>
    </row>
    <row r="320" spans="82:106" ht="16.5" x14ac:dyDescent="0.2">
      <c r="CD320" s="52">
        <v>316</v>
      </c>
      <c r="CE320" s="52">
        <v>4</v>
      </c>
      <c r="CF320" s="54" t="s">
        <v>538</v>
      </c>
      <c r="CG320" s="52">
        <v>16</v>
      </c>
      <c r="CH320" s="52"/>
      <c r="CI320" s="52"/>
      <c r="CJ320" s="52"/>
      <c r="CK320" s="52" t="s">
        <v>539</v>
      </c>
      <c r="CL320" s="52"/>
      <c r="CM320" s="52" t="s">
        <v>540</v>
      </c>
      <c r="CN320" s="52"/>
      <c r="CO320" s="52"/>
      <c r="CP320" s="52"/>
      <c r="CQ320" s="52" t="s">
        <v>540</v>
      </c>
      <c r="CR320" s="52"/>
      <c r="CS320" s="52"/>
      <c r="CT320" s="52"/>
      <c r="CU320" s="52"/>
      <c r="CV320" s="52"/>
      <c r="CW320" s="52"/>
      <c r="CX320" s="52"/>
      <c r="CY320" s="52"/>
      <c r="CZ320" s="52"/>
      <c r="DA320" s="52"/>
      <c r="DB320" s="52"/>
    </row>
    <row r="321" spans="82:106" ht="16.5" x14ac:dyDescent="0.2">
      <c r="CD321" s="52">
        <v>317</v>
      </c>
      <c r="CE321" s="52">
        <v>4</v>
      </c>
      <c r="CF321" s="54" t="s">
        <v>538</v>
      </c>
      <c r="CG321" s="52">
        <v>17</v>
      </c>
      <c r="CH321" s="52"/>
      <c r="CI321" s="52"/>
      <c r="CJ321" s="52"/>
      <c r="CK321" s="52" t="s">
        <v>539</v>
      </c>
      <c r="CL321" s="52"/>
      <c r="CM321" s="52" t="s">
        <v>540</v>
      </c>
      <c r="CN321" s="52"/>
      <c r="CO321" s="52"/>
      <c r="CP321" s="52"/>
      <c r="CQ321" s="52" t="s">
        <v>540</v>
      </c>
      <c r="CR321" s="52"/>
      <c r="CS321" s="52"/>
      <c r="CT321" s="52"/>
      <c r="CU321" s="52"/>
      <c r="CV321" s="52"/>
      <c r="CW321" s="52"/>
      <c r="CX321" s="52"/>
      <c r="CY321" s="52"/>
      <c r="CZ321" s="52"/>
      <c r="DA321" s="52"/>
      <c r="DB321" s="52"/>
    </row>
    <row r="322" spans="82:106" ht="16.5" x14ac:dyDescent="0.2">
      <c r="CD322" s="52">
        <v>318</v>
      </c>
      <c r="CE322" s="52">
        <v>4</v>
      </c>
      <c r="CF322" s="54" t="s">
        <v>538</v>
      </c>
      <c r="CG322" s="52">
        <v>18</v>
      </c>
      <c r="CH322" s="52"/>
      <c r="CI322" s="52"/>
      <c r="CJ322" s="52"/>
      <c r="CK322" s="52" t="s">
        <v>539</v>
      </c>
      <c r="CL322" s="52"/>
      <c r="CM322" s="52" t="s">
        <v>540</v>
      </c>
      <c r="CN322" s="52"/>
      <c r="CO322" s="52"/>
      <c r="CP322" s="52"/>
      <c r="CQ322" s="52" t="s">
        <v>540</v>
      </c>
      <c r="CR322" s="52"/>
      <c r="CS322" s="52"/>
      <c r="CT322" s="52"/>
      <c r="CU322" s="52"/>
      <c r="CV322" s="52"/>
      <c r="CW322" s="52"/>
      <c r="CX322" s="52"/>
      <c r="CY322" s="52"/>
      <c r="CZ322" s="52"/>
      <c r="DA322" s="52"/>
      <c r="DB322" s="52"/>
    </row>
    <row r="323" spans="82:106" ht="16.5" x14ac:dyDescent="0.2">
      <c r="CD323" s="52">
        <v>319</v>
      </c>
      <c r="CE323" s="52">
        <v>4</v>
      </c>
      <c r="CF323" s="54" t="s">
        <v>538</v>
      </c>
      <c r="CG323" s="52">
        <v>19</v>
      </c>
      <c r="CH323" s="52"/>
      <c r="CI323" s="52"/>
      <c r="CJ323" s="52"/>
      <c r="CK323" s="52" t="s">
        <v>539</v>
      </c>
      <c r="CL323" s="52"/>
      <c r="CM323" s="52" t="s">
        <v>540</v>
      </c>
      <c r="CN323" s="52"/>
      <c r="CO323" s="52"/>
      <c r="CP323" s="52"/>
      <c r="CQ323" s="52" t="s">
        <v>540</v>
      </c>
      <c r="CR323" s="52"/>
      <c r="CS323" s="52"/>
      <c r="CT323" s="52"/>
      <c r="CU323" s="52"/>
      <c r="CV323" s="52"/>
      <c r="CW323" s="52"/>
      <c r="CX323" s="52"/>
      <c r="CY323" s="52"/>
      <c r="CZ323" s="52"/>
      <c r="DA323" s="52"/>
      <c r="DB323" s="52"/>
    </row>
    <row r="324" spans="82:106" ht="16.5" x14ac:dyDescent="0.2">
      <c r="CD324" s="52">
        <v>320</v>
      </c>
      <c r="CE324" s="52">
        <v>4</v>
      </c>
      <c r="CF324" s="54" t="s">
        <v>538</v>
      </c>
      <c r="CG324" s="52">
        <v>20</v>
      </c>
      <c r="CH324" s="52"/>
      <c r="CI324" s="52"/>
      <c r="CJ324" s="52"/>
      <c r="CK324" s="52" t="s">
        <v>539</v>
      </c>
      <c r="CL324" s="52"/>
      <c r="CM324" s="52" t="s">
        <v>540</v>
      </c>
      <c r="CN324" s="52"/>
      <c r="CO324" s="52"/>
      <c r="CP324" s="52"/>
      <c r="CQ324" s="52" t="s">
        <v>540</v>
      </c>
      <c r="CR324" s="52"/>
      <c r="CS324" s="52"/>
      <c r="CT324" s="52"/>
      <c r="CU324" s="52"/>
      <c r="CV324" s="52"/>
      <c r="CW324" s="52"/>
      <c r="CX324" s="52"/>
      <c r="CY324" s="52"/>
      <c r="CZ324" s="52"/>
      <c r="DA324" s="52"/>
      <c r="DB324" s="52"/>
    </row>
    <row r="325" spans="82:106" ht="16.5" x14ac:dyDescent="0.2">
      <c r="CD325" s="52">
        <v>321</v>
      </c>
      <c r="CE325" s="52">
        <v>4</v>
      </c>
      <c r="CF325" s="54" t="s">
        <v>538</v>
      </c>
      <c r="CG325" s="52">
        <v>21</v>
      </c>
      <c r="CH325" s="52"/>
      <c r="CI325" s="52"/>
      <c r="CJ325" s="52"/>
      <c r="CK325" s="52" t="s">
        <v>539</v>
      </c>
      <c r="CL325" s="52"/>
      <c r="CM325" s="52" t="s">
        <v>540</v>
      </c>
      <c r="CN325" s="52"/>
      <c r="CO325" s="52"/>
      <c r="CP325" s="52"/>
      <c r="CQ325" s="52" t="s">
        <v>540</v>
      </c>
      <c r="CR325" s="52"/>
      <c r="CS325" s="52"/>
      <c r="CT325" s="52"/>
      <c r="CU325" s="52"/>
      <c r="CV325" s="52"/>
      <c r="CW325" s="52"/>
      <c r="CX325" s="52"/>
      <c r="CY325" s="52"/>
      <c r="CZ325" s="52"/>
      <c r="DA325" s="52"/>
      <c r="DB325" s="52"/>
    </row>
    <row r="326" spans="82:106" ht="16.5" x14ac:dyDescent="0.2">
      <c r="CD326" s="52">
        <v>322</v>
      </c>
      <c r="CE326" s="52">
        <v>4</v>
      </c>
      <c r="CF326" s="54" t="s">
        <v>538</v>
      </c>
      <c r="CG326" s="52">
        <v>22</v>
      </c>
      <c r="CH326" s="52"/>
      <c r="CI326" s="52"/>
      <c r="CJ326" s="52"/>
      <c r="CK326" s="52" t="s">
        <v>539</v>
      </c>
      <c r="CL326" s="52"/>
      <c r="CM326" s="52" t="s">
        <v>540</v>
      </c>
      <c r="CN326" s="52"/>
      <c r="CO326" s="52"/>
      <c r="CP326" s="52"/>
      <c r="CQ326" s="52" t="s">
        <v>540</v>
      </c>
      <c r="CR326" s="52"/>
      <c r="CS326" s="52"/>
      <c r="CT326" s="52"/>
      <c r="CU326" s="52"/>
      <c r="CV326" s="52"/>
      <c r="CW326" s="52"/>
      <c r="CX326" s="52"/>
      <c r="CY326" s="52"/>
      <c r="CZ326" s="52"/>
      <c r="DA326" s="52"/>
      <c r="DB326" s="52"/>
    </row>
    <row r="327" spans="82:106" ht="16.5" x14ac:dyDescent="0.2">
      <c r="CD327" s="52">
        <v>323</v>
      </c>
      <c r="CE327" s="52">
        <v>4</v>
      </c>
      <c r="CF327" s="54" t="s">
        <v>538</v>
      </c>
      <c r="CG327" s="52">
        <v>23</v>
      </c>
      <c r="CH327" s="52"/>
      <c r="CI327" s="52"/>
      <c r="CJ327" s="52"/>
      <c r="CK327" s="52" t="s">
        <v>539</v>
      </c>
      <c r="CL327" s="52"/>
      <c r="CM327" s="52" t="s">
        <v>540</v>
      </c>
      <c r="CN327" s="52"/>
      <c r="CO327" s="52"/>
      <c r="CP327" s="52"/>
      <c r="CQ327" s="52" t="s">
        <v>540</v>
      </c>
      <c r="CR327" s="52"/>
      <c r="CS327" s="52"/>
      <c r="CT327" s="52"/>
      <c r="CU327" s="52"/>
      <c r="CV327" s="52"/>
      <c r="CW327" s="52"/>
      <c r="CX327" s="52"/>
      <c r="CY327" s="52"/>
      <c r="CZ327" s="52"/>
      <c r="DA327" s="52"/>
      <c r="DB327" s="52"/>
    </row>
    <row r="328" spans="82:106" ht="16.5" x14ac:dyDescent="0.2">
      <c r="CD328" s="52">
        <v>324</v>
      </c>
      <c r="CE328" s="52">
        <v>4</v>
      </c>
      <c r="CF328" s="54" t="s">
        <v>538</v>
      </c>
      <c r="CG328" s="52">
        <v>24</v>
      </c>
      <c r="CH328" s="52"/>
      <c r="CI328" s="52"/>
      <c r="CJ328" s="52"/>
      <c r="CK328" s="52" t="s">
        <v>539</v>
      </c>
      <c r="CL328" s="52"/>
      <c r="CM328" s="52" t="s">
        <v>540</v>
      </c>
      <c r="CN328" s="52"/>
      <c r="CO328" s="52"/>
      <c r="CP328" s="52"/>
      <c r="CQ328" s="52" t="s">
        <v>540</v>
      </c>
      <c r="CR328" s="52"/>
      <c r="CS328" s="52"/>
      <c r="CT328" s="52"/>
      <c r="CU328" s="52"/>
      <c r="CV328" s="52"/>
      <c r="CW328" s="52"/>
      <c r="CX328" s="52"/>
      <c r="CY328" s="52"/>
      <c r="CZ328" s="52"/>
      <c r="DA328" s="52"/>
      <c r="DB328" s="52"/>
    </row>
    <row r="329" spans="82:106" ht="16.5" x14ac:dyDescent="0.2">
      <c r="CD329" s="52">
        <v>325</v>
      </c>
      <c r="CE329" s="52">
        <v>4</v>
      </c>
      <c r="CF329" s="54" t="s">
        <v>538</v>
      </c>
      <c r="CG329" s="52">
        <v>25</v>
      </c>
      <c r="CH329" s="52"/>
      <c r="CI329" s="52"/>
      <c r="CJ329" s="52"/>
      <c r="CK329" s="52" t="s">
        <v>539</v>
      </c>
      <c r="CL329" s="52"/>
      <c r="CM329" s="52" t="s">
        <v>540</v>
      </c>
      <c r="CN329" s="52"/>
      <c r="CO329" s="52"/>
      <c r="CP329" s="52"/>
      <c r="CQ329" s="52" t="s">
        <v>540</v>
      </c>
      <c r="CR329" s="52"/>
      <c r="CS329" s="52"/>
      <c r="CT329" s="52"/>
      <c r="CU329" s="52"/>
      <c r="CV329" s="52"/>
      <c r="CW329" s="52"/>
      <c r="CX329" s="52"/>
      <c r="CY329" s="52"/>
      <c r="CZ329" s="52"/>
      <c r="DA329" s="52"/>
      <c r="DB329" s="52"/>
    </row>
    <row r="330" spans="82:106" ht="16.5" x14ac:dyDescent="0.2">
      <c r="CD330" s="52">
        <v>326</v>
      </c>
      <c r="CE330" s="52">
        <v>4</v>
      </c>
      <c r="CF330" s="54" t="s">
        <v>538</v>
      </c>
      <c r="CG330" s="52">
        <v>26</v>
      </c>
      <c r="CH330" s="52"/>
      <c r="CI330" s="52"/>
      <c r="CJ330" s="52"/>
      <c r="CK330" s="52" t="s">
        <v>539</v>
      </c>
      <c r="CL330" s="52"/>
      <c r="CM330" s="52" t="s">
        <v>540</v>
      </c>
      <c r="CN330" s="52"/>
      <c r="CO330" s="52"/>
      <c r="CP330" s="52"/>
      <c r="CQ330" s="52" t="s">
        <v>540</v>
      </c>
      <c r="CR330" s="52"/>
      <c r="CS330" s="52"/>
      <c r="CT330" s="52"/>
      <c r="CU330" s="52"/>
      <c r="CV330" s="52"/>
      <c r="CW330" s="52"/>
      <c r="CX330" s="52"/>
      <c r="CY330" s="52"/>
      <c r="CZ330" s="52"/>
      <c r="DA330" s="52"/>
      <c r="DB330" s="52"/>
    </row>
    <row r="331" spans="82:106" ht="16.5" x14ac:dyDescent="0.2">
      <c r="CD331" s="52">
        <v>327</v>
      </c>
      <c r="CE331" s="52">
        <v>4</v>
      </c>
      <c r="CF331" s="54" t="s">
        <v>538</v>
      </c>
      <c r="CG331" s="52">
        <v>27</v>
      </c>
      <c r="CH331" s="52"/>
      <c r="CI331" s="52"/>
      <c r="CJ331" s="52"/>
      <c r="CK331" s="52" t="s">
        <v>539</v>
      </c>
      <c r="CL331" s="52"/>
      <c r="CM331" s="52" t="s">
        <v>540</v>
      </c>
      <c r="CN331" s="52"/>
      <c r="CO331" s="52"/>
      <c r="CP331" s="52"/>
      <c r="CQ331" s="52" t="s">
        <v>540</v>
      </c>
      <c r="CR331" s="52"/>
      <c r="CS331" s="52"/>
      <c r="CT331" s="52"/>
      <c r="CU331" s="52"/>
      <c r="CV331" s="52"/>
      <c r="CW331" s="52"/>
      <c r="CX331" s="52"/>
      <c r="CY331" s="52"/>
      <c r="CZ331" s="52"/>
      <c r="DA331" s="52"/>
      <c r="DB331" s="52"/>
    </row>
    <row r="332" spans="82:106" ht="16.5" x14ac:dyDescent="0.2">
      <c r="CD332" s="52">
        <v>328</v>
      </c>
      <c r="CE332" s="52">
        <v>4</v>
      </c>
      <c r="CF332" s="54" t="s">
        <v>538</v>
      </c>
      <c r="CG332" s="52">
        <v>28</v>
      </c>
      <c r="CH332" s="52"/>
      <c r="CI332" s="52"/>
      <c r="CJ332" s="52"/>
      <c r="CK332" s="52" t="s">
        <v>539</v>
      </c>
      <c r="CL332" s="52"/>
      <c r="CM332" s="52" t="s">
        <v>540</v>
      </c>
      <c r="CN332" s="52"/>
      <c r="CO332" s="52"/>
      <c r="CP332" s="52"/>
      <c r="CQ332" s="52" t="s">
        <v>540</v>
      </c>
      <c r="CR332" s="52"/>
      <c r="CS332" s="52"/>
      <c r="CT332" s="52"/>
      <c r="CU332" s="52"/>
      <c r="CV332" s="52"/>
      <c r="CW332" s="52"/>
      <c r="CX332" s="52"/>
      <c r="CY332" s="52"/>
      <c r="CZ332" s="52"/>
      <c r="DA332" s="52"/>
      <c r="DB332" s="52"/>
    </row>
    <row r="333" spans="82:106" ht="16.5" x14ac:dyDescent="0.2">
      <c r="CD333" s="52">
        <v>329</v>
      </c>
      <c r="CE333" s="52">
        <v>4</v>
      </c>
      <c r="CF333" s="54" t="s">
        <v>538</v>
      </c>
      <c r="CG333" s="52">
        <v>29</v>
      </c>
      <c r="CH333" s="52"/>
      <c r="CI333" s="52"/>
      <c r="CJ333" s="52"/>
      <c r="CK333" s="52" t="s">
        <v>539</v>
      </c>
      <c r="CL333" s="52"/>
      <c r="CM333" s="52" t="s">
        <v>540</v>
      </c>
      <c r="CN333" s="52"/>
      <c r="CO333" s="52"/>
      <c r="CP333" s="52"/>
      <c r="CQ333" s="52" t="s">
        <v>540</v>
      </c>
      <c r="CR333" s="52"/>
      <c r="CS333" s="52"/>
      <c r="CT333" s="52"/>
      <c r="CU333" s="52"/>
      <c r="CV333" s="52"/>
      <c r="CW333" s="52"/>
      <c r="CX333" s="52"/>
      <c r="CY333" s="52"/>
      <c r="CZ333" s="52"/>
      <c r="DA333" s="52"/>
      <c r="DB333" s="52"/>
    </row>
    <row r="334" spans="82:106" ht="16.5" x14ac:dyDescent="0.2">
      <c r="CD334" s="52">
        <v>330</v>
      </c>
      <c r="CE334" s="52">
        <v>4</v>
      </c>
      <c r="CF334" s="54" t="s">
        <v>538</v>
      </c>
      <c r="CG334" s="52">
        <v>30</v>
      </c>
      <c r="CH334" s="52"/>
      <c r="CI334" s="52"/>
      <c r="CJ334" s="52"/>
      <c r="CK334" s="52" t="s">
        <v>539</v>
      </c>
      <c r="CL334" s="52"/>
      <c r="CM334" s="52" t="s">
        <v>540</v>
      </c>
      <c r="CN334" s="52"/>
      <c r="CO334" s="52"/>
      <c r="CP334" s="52"/>
      <c r="CQ334" s="52" t="s">
        <v>540</v>
      </c>
      <c r="CR334" s="52"/>
      <c r="CS334" s="52"/>
      <c r="CT334" s="52"/>
      <c r="CU334" s="52"/>
      <c r="CV334" s="52"/>
      <c r="CW334" s="52"/>
      <c r="CX334" s="52"/>
      <c r="CY334" s="52"/>
      <c r="CZ334" s="52"/>
      <c r="DA334" s="52"/>
      <c r="DB334" s="52"/>
    </row>
    <row r="335" spans="82:106" ht="16.5" x14ac:dyDescent="0.2">
      <c r="CD335" s="52">
        <v>331</v>
      </c>
      <c r="CE335" s="52">
        <v>4</v>
      </c>
      <c r="CF335" s="54" t="s">
        <v>538</v>
      </c>
      <c r="CG335" s="52">
        <v>31</v>
      </c>
      <c r="CH335" s="52"/>
      <c r="CI335" s="52"/>
      <c r="CJ335" s="52"/>
      <c r="CK335" s="52" t="s">
        <v>539</v>
      </c>
      <c r="CL335" s="52"/>
      <c r="CM335" s="52" t="s">
        <v>540</v>
      </c>
      <c r="CN335" s="52"/>
      <c r="CO335" s="52"/>
      <c r="CP335" s="52"/>
      <c r="CQ335" s="52" t="s">
        <v>540</v>
      </c>
      <c r="CR335" s="52"/>
      <c r="CS335" s="52"/>
      <c r="CT335" s="52"/>
      <c r="CU335" s="52"/>
      <c r="CV335" s="52"/>
      <c r="CW335" s="52"/>
      <c r="CX335" s="52"/>
      <c r="CY335" s="52"/>
      <c r="CZ335" s="52"/>
      <c r="DA335" s="52"/>
      <c r="DB335" s="52"/>
    </row>
    <row r="336" spans="82:106" ht="16.5" x14ac:dyDescent="0.2">
      <c r="CD336" s="52">
        <v>332</v>
      </c>
      <c r="CE336" s="52">
        <v>4</v>
      </c>
      <c r="CF336" s="54" t="s">
        <v>538</v>
      </c>
      <c r="CG336" s="52">
        <v>32</v>
      </c>
      <c r="CH336" s="52"/>
      <c r="CI336" s="52"/>
      <c r="CJ336" s="52"/>
      <c r="CK336" s="52" t="s">
        <v>539</v>
      </c>
      <c r="CL336" s="52"/>
      <c r="CM336" s="52" t="s">
        <v>540</v>
      </c>
      <c r="CN336" s="52"/>
      <c r="CO336" s="52"/>
      <c r="CP336" s="52"/>
      <c r="CQ336" s="52" t="s">
        <v>540</v>
      </c>
      <c r="CR336" s="52"/>
      <c r="CS336" s="52"/>
      <c r="CT336" s="52"/>
      <c r="CU336" s="52"/>
      <c r="CV336" s="52"/>
      <c r="CW336" s="52"/>
      <c r="CX336" s="52"/>
      <c r="CY336" s="52"/>
      <c r="CZ336" s="52"/>
      <c r="DA336" s="52"/>
      <c r="DB336" s="52"/>
    </row>
    <row r="337" spans="82:106" ht="16.5" x14ac:dyDescent="0.2">
      <c r="CD337" s="52">
        <v>333</v>
      </c>
      <c r="CE337" s="52">
        <v>4</v>
      </c>
      <c r="CF337" s="54" t="s">
        <v>538</v>
      </c>
      <c r="CG337" s="52">
        <v>33</v>
      </c>
      <c r="CH337" s="52"/>
      <c r="CI337" s="52"/>
      <c r="CJ337" s="52"/>
      <c r="CK337" s="52" t="s">
        <v>539</v>
      </c>
      <c r="CL337" s="52"/>
      <c r="CM337" s="52" t="s">
        <v>540</v>
      </c>
      <c r="CN337" s="52"/>
      <c r="CO337" s="52"/>
      <c r="CP337" s="52"/>
      <c r="CQ337" s="52" t="s">
        <v>540</v>
      </c>
      <c r="CR337" s="52"/>
      <c r="CS337" s="52"/>
      <c r="CT337" s="52"/>
      <c r="CU337" s="52"/>
      <c r="CV337" s="52"/>
      <c r="CW337" s="52"/>
      <c r="CX337" s="52"/>
      <c r="CY337" s="52"/>
      <c r="CZ337" s="52"/>
      <c r="DA337" s="52"/>
      <c r="DB337" s="52"/>
    </row>
    <row r="338" spans="82:106" ht="16.5" x14ac:dyDescent="0.2">
      <c r="CD338" s="52">
        <v>334</v>
      </c>
      <c r="CE338" s="52">
        <v>4</v>
      </c>
      <c r="CF338" s="54" t="s">
        <v>538</v>
      </c>
      <c r="CG338" s="52">
        <v>34</v>
      </c>
      <c r="CH338" s="52"/>
      <c r="CI338" s="52"/>
      <c r="CJ338" s="52"/>
      <c r="CK338" s="52" t="s">
        <v>539</v>
      </c>
      <c r="CL338" s="52"/>
      <c r="CM338" s="52" t="s">
        <v>540</v>
      </c>
      <c r="CN338" s="52"/>
      <c r="CO338" s="52"/>
      <c r="CP338" s="52"/>
      <c r="CQ338" s="52" t="s">
        <v>540</v>
      </c>
      <c r="CR338" s="52"/>
      <c r="CS338" s="52"/>
      <c r="CT338" s="52"/>
      <c r="CU338" s="52"/>
      <c r="CV338" s="52"/>
      <c r="CW338" s="52"/>
      <c r="CX338" s="52"/>
      <c r="CY338" s="52"/>
      <c r="CZ338" s="52"/>
      <c r="DA338" s="52"/>
      <c r="DB338" s="52"/>
    </row>
    <row r="339" spans="82:106" ht="16.5" x14ac:dyDescent="0.2">
      <c r="CD339" s="52">
        <v>335</v>
      </c>
      <c r="CE339" s="52">
        <v>4</v>
      </c>
      <c r="CF339" s="54" t="s">
        <v>538</v>
      </c>
      <c r="CG339" s="52">
        <v>35</v>
      </c>
      <c r="CH339" s="52"/>
      <c r="CI339" s="52"/>
      <c r="CJ339" s="52"/>
      <c r="CK339" s="52" t="s">
        <v>539</v>
      </c>
      <c r="CL339" s="52"/>
      <c r="CM339" s="52" t="s">
        <v>540</v>
      </c>
      <c r="CN339" s="52"/>
      <c r="CO339" s="52"/>
      <c r="CP339" s="52"/>
      <c r="CQ339" s="52" t="s">
        <v>540</v>
      </c>
      <c r="CR339" s="52"/>
      <c r="CS339" s="52"/>
      <c r="CT339" s="52"/>
      <c r="CU339" s="52"/>
      <c r="CV339" s="52"/>
      <c r="CW339" s="52"/>
      <c r="CX339" s="52"/>
      <c r="CY339" s="52"/>
      <c r="CZ339" s="52"/>
      <c r="DA339" s="52"/>
      <c r="DB339" s="52"/>
    </row>
    <row r="340" spans="82:106" ht="16.5" x14ac:dyDescent="0.2">
      <c r="CD340" s="52">
        <v>336</v>
      </c>
      <c r="CE340" s="52">
        <v>4</v>
      </c>
      <c r="CF340" s="54" t="s">
        <v>538</v>
      </c>
      <c r="CG340" s="52">
        <v>36</v>
      </c>
      <c r="CH340" s="52"/>
      <c r="CI340" s="52"/>
      <c r="CJ340" s="52"/>
      <c r="CK340" s="52" t="s">
        <v>539</v>
      </c>
      <c r="CL340" s="52"/>
      <c r="CM340" s="52" t="s">
        <v>540</v>
      </c>
      <c r="CN340" s="52"/>
      <c r="CO340" s="52"/>
      <c r="CP340" s="52"/>
      <c r="CQ340" s="52" t="s">
        <v>540</v>
      </c>
      <c r="CR340" s="52"/>
      <c r="CS340" s="52"/>
      <c r="CT340" s="52"/>
      <c r="CU340" s="52"/>
      <c r="CV340" s="52"/>
      <c r="CW340" s="52"/>
      <c r="CX340" s="52"/>
      <c r="CY340" s="52"/>
      <c r="CZ340" s="52"/>
      <c r="DA340" s="52"/>
      <c r="DB340" s="52"/>
    </row>
    <row r="341" spans="82:106" ht="16.5" x14ac:dyDescent="0.2">
      <c r="CD341" s="52">
        <v>337</v>
      </c>
      <c r="CE341" s="52">
        <v>4</v>
      </c>
      <c r="CF341" s="54" t="s">
        <v>538</v>
      </c>
      <c r="CG341" s="52">
        <v>37</v>
      </c>
      <c r="CH341" s="52"/>
      <c r="CI341" s="52"/>
      <c r="CJ341" s="52"/>
      <c r="CK341" s="52" t="s">
        <v>539</v>
      </c>
      <c r="CL341" s="52"/>
      <c r="CM341" s="52" t="s">
        <v>540</v>
      </c>
      <c r="CN341" s="52"/>
      <c r="CO341" s="52"/>
      <c r="CP341" s="52"/>
      <c r="CQ341" s="52" t="s">
        <v>540</v>
      </c>
      <c r="CR341" s="52"/>
      <c r="CS341" s="52"/>
      <c r="CT341" s="52"/>
      <c r="CU341" s="52"/>
      <c r="CV341" s="52"/>
      <c r="CW341" s="52"/>
      <c r="CX341" s="52"/>
      <c r="CY341" s="52"/>
      <c r="CZ341" s="52"/>
      <c r="DA341" s="52"/>
      <c r="DB341" s="52"/>
    </row>
    <row r="342" spans="82:106" ht="16.5" x14ac:dyDescent="0.2">
      <c r="CD342" s="52">
        <v>338</v>
      </c>
      <c r="CE342" s="52">
        <v>4</v>
      </c>
      <c r="CF342" s="54" t="s">
        <v>538</v>
      </c>
      <c r="CG342" s="52">
        <v>38</v>
      </c>
      <c r="CH342" s="52"/>
      <c r="CI342" s="52"/>
      <c r="CJ342" s="52"/>
      <c r="CK342" s="52" t="s">
        <v>539</v>
      </c>
      <c r="CL342" s="52"/>
      <c r="CM342" s="52" t="s">
        <v>540</v>
      </c>
      <c r="CN342" s="52"/>
      <c r="CO342" s="52"/>
      <c r="CP342" s="52"/>
      <c r="CQ342" s="52" t="s">
        <v>540</v>
      </c>
      <c r="CR342" s="52"/>
      <c r="CS342" s="52"/>
      <c r="CT342" s="52"/>
      <c r="CU342" s="52"/>
      <c r="CV342" s="52"/>
      <c r="CW342" s="52"/>
      <c r="CX342" s="52"/>
      <c r="CY342" s="52"/>
      <c r="CZ342" s="52"/>
      <c r="DA342" s="52"/>
      <c r="DB342" s="52"/>
    </row>
    <row r="343" spans="82:106" ht="16.5" x14ac:dyDescent="0.2">
      <c r="CD343" s="52">
        <v>339</v>
      </c>
      <c r="CE343" s="52">
        <v>4</v>
      </c>
      <c r="CF343" s="54" t="s">
        <v>538</v>
      </c>
      <c r="CG343" s="52">
        <v>39</v>
      </c>
      <c r="CH343" s="52"/>
      <c r="CI343" s="52"/>
      <c r="CJ343" s="52"/>
      <c r="CK343" s="52" t="s">
        <v>539</v>
      </c>
      <c r="CL343" s="52"/>
      <c r="CM343" s="52" t="s">
        <v>540</v>
      </c>
      <c r="CN343" s="52"/>
      <c r="CO343" s="52"/>
      <c r="CP343" s="52"/>
      <c r="CQ343" s="52" t="s">
        <v>540</v>
      </c>
      <c r="CR343" s="52"/>
      <c r="CS343" s="52"/>
      <c r="CT343" s="52"/>
      <c r="CU343" s="52"/>
      <c r="CV343" s="52"/>
      <c r="CW343" s="52"/>
      <c r="CX343" s="52"/>
      <c r="CY343" s="52"/>
      <c r="CZ343" s="52"/>
      <c r="DA343" s="52"/>
      <c r="DB343" s="52"/>
    </row>
    <row r="344" spans="82:106" ht="16.5" x14ac:dyDescent="0.2">
      <c r="CD344" s="52">
        <v>340</v>
      </c>
      <c r="CE344" s="52">
        <v>4</v>
      </c>
      <c r="CF344" s="54" t="s">
        <v>538</v>
      </c>
      <c r="CG344" s="52">
        <v>40</v>
      </c>
      <c r="CH344" s="52"/>
      <c r="CI344" s="52"/>
      <c r="CJ344" s="52"/>
      <c r="CK344" s="52" t="s">
        <v>539</v>
      </c>
      <c r="CL344" s="52"/>
      <c r="CM344" s="52" t="s">
        <v>540</v>
      </c>
      <c r="CN344" s="52"/>
      <c r="CO344" s="52"/>
      <c r="CP344" s="52"/>
      <c r="CQ344" s="52" t="s">
        <v>540</v>
      </c>
      <c r="CR344" s="52"/>
      <c r="CS344" s="52"/>
      <c r="CT344" s="52"/>
      <c r="CU344" s="52"/>
      <c r="CV344" s="52"/>
      <c r="CW344" s="52"/>
      <c r="CX344" s="52"/>
      <c r="CY344" s="52"/>
      <c r="CZ344" s="52"/>
      <c r="DA344" s="52"/>
      <c r="DB344" s="52"/>
    </row>
    <row r="345" spans="82:106" ht="16.5" x14ac:dyDescent="0.2">
      <c r="CD345" s="52">
        <v>341</v>
      </c>
      <c r="CE345" s="52">
        <v>4</v>
      </c>
      <c r="CF345" s="54" t="s">
        <v>538</v>
      </c>
      <c r="CG345" s="52">
        <v>41</v>
      </c>
      <c r="CH345" s="52"/>
      <c r="CI345" s="52"/>
      <c r="CJ345" s="52"/>
      <c r="CK345" s="52" t="s">
        <v>539</v>
      </c>
      <c r="CL345" s="52"/>
      <c r="CM345" s="52" t="s">
        <v>540</v>
      </c>
      <c r="CN345" s="52"/>
      <c r="CO345" s="52"/>
      <c r="CP345" s="52"/>
      <c r="CQ345" s="52" t="s">
        <v>540</v>
      </c>
      <c r="CR345" s="52"/>
      <c r="CS345" s="52"/>
      <c r="CT345" s="52"/>
      <c r="CU345" s="52"/>
      <c r="CV345" s="52"/>
      <c r="CW345" s="52"/>
      <c r="CX345" s="52"/>
      <c r="CY345" s="52"/>
      <c r="CZ345" s="52"/>
      <c r="DA345" s="52"/>
      <c r="DB345" s="52"/>
    </row>
    <row r="346" spans="82:106" ht="16.5" x14ac:dyDescent="0.2">
      <c r="CD346" s="52">
        <v>342</v>
      </c>
      <c r="CE346" s="52">
        <v>4</v>
      </c>
      <c r="CF346" s="54" t="s">
        <v>538</v>
      </c>
      <c r="CG346" s="52">
        <v>42</v>
      </c>
      <c r="CH346" s="52"/>
      <c r="CI346" s="52"/>
      <c r="CJ346" s="52"/>
      <c r="CK346" s="52" t="s">
        <v>539</v>
      </c>
      <c r="CL346" s="52"/>
      <c r="CM346" s="52" t="s">
        <v>540</v>
      </c>
      <c r="CN346" s="52"/>
      <c r="CO346" s="52"/>
      <c r="CP346" s="52"/>
      <c r="CQ346" s="52" t="s">
        <v>540</v>
      </c>
      <c r="CR346" s="52"/>
      <c r="CS346" s="52"/>
      <c r="CT346" s="52"/>
      <c r="CU346" s="52"/>
      <c r="CV346" s="52"/>
      <c r="CW346" s="52"/>
      <c r="CX346" s="52"/>
      <c r="CY346" s="52"/>
      <c r="CZ346" s="52"/>
      <c r="DA346" s="52"/>
      <c r="DB346" s="52"/>
    </row>
    <row r="347" spans="82:106" ht="16.5" x14ac:dyDescent="0.2">
      <c r="CD347" s="52">
        <v>343</v>
      </c>
      <c r="CE347" s="52">
        <v>4</v>
      </c>
      <c r="CF347" s="54" t="s">
        <v>538</v>
      </c>
      <c r="CG347" s="52">
        <v>43</v>
      </c>
      <c r="CH347" s="52"/>
      <c r="CI347" s="52"/>
      <c r="CJ347" s="52"/>
      <c r="CK347" s="52" t="s">
        <v>539</v>
      </c>
      <c r="CL347" s="52"/>
      <c r="CM347" s="52" t="s">
        <v>540</v>
      </c>
      <c r="CN347" s="52"/>
      <c r="CO347" s="52"/>
      <c r="CP347" s="52"/>
      <c r="CQ347" s="52" t="s">
        <v>540</v>
      </c>
      <c r="CR347" s="52"/>
      <c r="CS347" s="52"/>
      <c r="CT347" s="52"/>
      <c r="CU347" s="52"/>
      <c r="CV347" s="52"/>
      <c r="CW347" s="52"/>
      <c r="CX347" s="52"/>
      <c r="CY347" s="52"/>
      <c r="CZ347" s="52"/>
      <c r="DA347" s="52"/>
      <c r="DB347" s="52"/>
    </row>
    <row r="348" spans="82:106" ht="16.5" x14ac:dyDescent="0.2">
      <c r="CD348" s="52">
        <v>344</v>
      </c>
      <c r="CE348" s="52">
        <v>4</v>
      </c>
      <c r="CF348" s="54" t="s">
        <v>538</v>
      </c>
      <c r="CG348" s="52">
        <v>44</v>
      </c>
      <c r="CH348" s="52"/>
      <c r="CI348" s="52"/>
      <c r="CJ348" s="52"/>
      <c r="CK348" s="52" t="s">
        <v>539</v>
      </c>
      <c r="CL348" s="52"/>
      <c r="CM348" s="52" t="s">
        <v>540</v>
      </c>
      <c r="CN348" s="52"/>
      <c r="CO348" s="52"/>
      <c r="CP348" s="52"/>
      <c r="CQ348" s="52" t="s">
        <v>540</v>
      </c>
      <c r="CR348" s="52"/>
      <c r="CS348" s="52"/>
      <c r="CT348" s="52"/>
      <c r="CU348" s="52"/>
      <c r="CV348" s="52"/>
      <c r="CW348" s="52"/>
      <c r="CX348" s="52"/>
      <c r="CY348" s="52"/>
      <c r="CZ348" s="52"/>
      <c r="DA348" s="52"/>
      <c r="DB348" s="52"/>
    </row>
    <row r="349" spans="82:106" ht="16.5" x14ac:dyDescent="0.2">
      <c r="CD349" s="52">
        <v>345</v>
      </c>
      <c r="CE349" s="52">
        <v>4</v>
      </c>
      <c r="CF349" s="54" t="s">
        <v>538</v>
      </c>
      <c r="CG349" s="52">
        <v>45</v>
      </c>
      <c r="CH349" s="52"/>
      <c r="CI349" s="52"/>
      <c r="CJ349" s="52"/>
      <c r="CK349" s="52" t="s">
        <v>539</v>
      </c>
      <c r="CL349" s="52"/>
      <c r="CM349" s="52" t="s">
        <v>540</v>
      </c>
      <c r="CN349" s="52"/>
      <c r="CO349" s="52"/>
      <c r="CP349" s="52"/>
      <c r="CQ349" s="52" t="s">
        <v>540</v>
      </c>
      <c r="CR349" s="52"/>
      <c r="CS349" s="52"/>
      <c r="CT349" s="52"/>
      <c r="CU349" s="52"/>
      <c r="CV349" s="52"/>
      <c r="CW349" s="52"/>
      <c r="CX349" s="52"/>
      <c r="CY349" s="52"/>
      <c r="CZ349" s="52"/>
      <c r="DA349" s="52"/>
      <c r="DB349" s="52"/>
    </row>
    <row r="350" spans="82:106" ht="16.5" x14ac:dyDescent="0.2">
      <c r="CD350" s="52">
        <v>346</v>
      </c>
      <c r="CE350" s="52">
        <v>4</v>
      </c>
      <c r="CF350" s="54" t="s">
        <v>538</v>
      </c>
      <c r="CG350" s="52">
        <v>46</v>
      </c>
      <c r="CH350" s="52"/>
      <c r="CI350" s="52"/>
      <c r="CJ350" s="52"/>
      <c r="CK350" s="52" t="s">
        <v>539</v>
      </c>
      <c r="CL350" s="52"/>
      <c r="CM350" s="52" t="s">
        <v>540</v>
      </c>
      <c r="CN350" s="52"/>
      <c r="CO350" s="52"/>
      <c r="CP350" s="52"/>
      <c r="CQ350" s="52" t="s">
        <v>540</v>
      </c>
      <c r="CR350" s="52"/>
      <c r="CS350" s="52"/>
      <c r="CT350" s="52"/>
      <c r="CU350" s="52"/>
      <c r="CV350" s="52"/>
      <c r="CW350" s="52"/>
      <c r="CX350" s="52"/>
      <c r="CY350" s="52"/>
      <c r="CZ350" s="52"/>
      <c r="DA350" s="52"/>
      <c r="DB350" s="52"/>
    </row>
    <row r="351" spans="82:106" ht="16.5" x14ac:dyDescent="0.2">
      <c r="CD351" s="52">
        <v>347</v>
      </c>
      <c r="CE351" s="52">
        <v>4</v>
      </c>
      <c r="CF351" s="54" t="s">
        <v>538</v>
      </c>
      <c r="CG351" s="52">
        <v>47</v>
      </c>
      <c r="CH351" s="52"/>
      <c r="CI351" s="52"/>
      <c r="CJ351" s="52"/>
      <c r="CK351" s="52" t="s">
        <v>539</v>
      </c>
      <c r="CL351" s="52"/>
      <c r="CM351" s="52" t="s">
        <v>540</v>
      </c>
      <c r="CN351" s="52"/>
      <c r="CO351" s="52"/>
      <c r="CP351" s="52"/>
      <c r="CQ351" s="52" t="s">
        <v>540</v>
      </c>
      <c r="CR351" s="52"/>
      <c r="CS351" s="52"/>
      <c r="CT351" s="52"/>
      <c r="CU351" s="52"/>
      <c r="CV351" s="52"/>
      <c r="CW351" s="52"/>
      <c r="CX351" s="52"/>
      <c r="CY351" s="52"/>
      <c r="CZ351" s="52"/>
      <c r="DA351" s="52"/>
      <c r="DB351" s="52"/>
    </row>
    <row r="352" spans="82:106" ht="16.5" x14ac:dyDescent="0.2">
      <c r="CD352" s="52">
        <v>348</v>
      </c>
      <c r="CE352" s="52">
        <v>4</v>
      </c>
      <c r="CF352" s="54" t="s">
        <v>538</v>
      </c>
      <c r="CG352" s="52">
        <v>48</v>
      </c>
      <c r="CH352" s="52"/>
      <c r="CI352" s="52"/>
      <c r="CJ352" s="52"/>
      <c r="CK352" s="52" t="s">
        <v>539</v>
      </c>
      <c r="CL352" s="52"/>
      <c r="CM352" s="52" t="s">
        <v>540</v>
      </c>
      <c r="CN352" s="52"/>
      <c r="CO352" s="52"/>
      <c r="CP352" s="52"/>
      <c r="CQ352" s="52" t="s">
        <v>540</v>
      </c>
      <c r="CR352" s="52"/>
      <c r="CS352" s="52"/>
      <c r="CT352" s="52"/>
      <c r="CU352" s="52"/>
      <c r="CV352" s="52"/>
      <c r="CW352" s="52"/>
      <c r="CX352" s="52"/>
      <c r="CY352" s="52"/>
      <c r="CZ352" s="52"/>
      <c r="DA352" s="52"/>
      <c r="DB352" s="52"/>
    </row>
    <row r="353" spans="82:106" ht="16.5" x14ac:dyDescent="0.2">
      <c r="CD353" s="52">
        <v>349</v>
      </c>
      <c r="CE353" s="52">
        <v>4</v>
      </c>
      <c r="CF353" s="54" t="s">
        <v>538</v>
      </c>
      <c r="CG353" s="52">
        <v>49</v>
      </c>
      <c r="CH353" s="52"/>
      <c r="CI353" s="52"/>
      <c r="CJ353" s="52"/>
      <c r="CK353" s="52" t="s">
        <v>539</v>
      </c>
      <c r="CL353" s="52"/>
      <c r="CM353" s="52" t="s">
        <v>540</v>
      </c>
      <c r="CN353" s="52"/>
      <c r="CO353" s="52"/>
      <c r="CP353" s="52"/>
      <c r="CQ353" s="52" t="s">
        <v>540</v>
      </c>
      <c r="CR353" s="52"/>
      <c r="CS353" s="52"/>
      <c r="CT353" s="52"/>
      <c r="CU353" s="52"/>
      <c r="CV353" s="52"/>
      <c r="CW353" s="52"/>
      <c r="CX353" s="52"/>
      <c r="CY353" s="52"/>
      <c r="CZ353" s="52"/>
      <c r="DA353" s="52"/>
      <c r="DB353" s="52"/>
    </row>
    <row r="354" spans="82:106" ht="16.5" x14ac:dyDescent="0.2">
      <c r="CD354" s="52">
        <v>350</v>
      </c>
      <c r="CE354" s="52">
        <v>4</v>
      </c>
      <c r="CF354" s="54" t="s">
        <v>538</v>
      </c>
      <c r="CG354" s="52">
        <v>50</v>
      </c>
      <c r="CH354" s="52"/>
      <c r="CI354" s="52"/>
      <c r="CJ354" s="52"/>
      <c r="CK354" s="52" t="s">
        <v>539</v>
      </c>
      <c r="CL354" s="52"/>
      <c r="CM354" s="52" t="s">
        <v>540</v>
      </c>
      <c r="CN354" s="52"/>
      <c r="CO354" s="52"/>
      <c r="CP354" s="52"/>
      <c r="CQ354" s="52" t="s">
        <v>540</v>
      </c>
      <c r="CR354" s="52"/>
      <c r="CS354" s="52"/>
      <c r="CT354" s="52"/>
      <c r="CU354" s="52"/>
      <c r="CV354" s="52"/>
      <c r="CW354" s="52"/>
      <c r="CX354" s="52"/>
      <c r="CY354" s="52"/>
      <c r="CZ354" s="52"/>
      <c r="DA354" s="52"/>
      <c r="DB354" s="52"/>
    </row>
    <row r="355" spans="82:106" ht="16.5" x14ac:dyDescent="0.2">
      <c r="CD355" s="52">
        <v>351</v>
      </c>
      <c r="CE355" s="52">
        <v>4</v>
      </c>
      <c r="CF355" s="54" t="s">
        <v>538</v>
      </c>
      <c r="CG355" s="52">
        <v>51</v>
      </c>
      <c r="CH355" s="52"/>
      <c r="CI355" s="52"/>
      <c r="CJ355" s="52"/>
      <c r="CK355" s="52" t="s">
        <v>539</v>
      </c>
      <c r="CL355" s="52"/>
      <c r="CM355" s="52" t="s">
        <v>540</v>
      </c>
      <c r="CN355" s="52"/>
      <c r="CO355" s="52"/>
      <c r="CP355" s="52"/>
      <c r="CQ355" s="52" t="s">
        <v>540</v>
      </c>
      <c r="CR355" s="52"/>
      <c r="CS355" s="52"/>
      <c r="CT355" s="52"/>
      <c r="CU355" s="52"/>
      <c r="CV355" s="52"/>
      <c r="CW355" s="52"/>
      <c r="CX355" s="52"/>
      <c r="CY355" s="52"/>
      <c r="CZ355" s="52"/>
      <c r="DA355" s="52"/>
      <c r="DB355" s="52"/>
    </row>
    <row r="356" spans="82:106" ht="16.5" x14ac:dyDescent="0.2">
      <c r="CD356" s="52">
        <v>352</v>
      </c>
      <c r="CE356" s="52">
        <v>4</v>
      </c>
      <c r="CF356" s="54" t="s">
        <v>538</v>
      </c>
      <c r="CG356" s="52">
        <v>52</v>
      </c>
      <c r="CH356" s="52"/>
      <c r="CI356" s="52"/>
      <c r="CJ356" s="52"/>
      <c r="CK356" s="52" t="s">
        <v>539</v>
      </c>
      <c r="CL356" s="52"/>
      <c r="CM356" s="52" t="s">
        <v>540</v>
      </c>
      <c r="CN356" s="52"/>
      <c r="CO356" s="52"/>
      <c r="CP356" s="52"/>
      <c r="CQ356" s="52" t="s">
        <v>540</v>
      </c>
      <c r="CR356" s="52"/>
      <c r="CS356" s="52"/>
      <c r="CT356" s="52"/>
      <c r="CU356" s="52"/>
      <c r="CV356" s="52"/>
      <c r="CW356" s="52"/>
      <c r="CX356" s="52"/>
      <c r="CY356" s="52"/>
      <c r="CZ356" s="52"/>
      <c r="DA356" s="52"/>
      <c r="DB356" s="52"/>
    </row>
    <row r="357" spans="82:106" ht="16.5" x14ac:dyDescent="0.2">
      <c r="CD357" s="52">
        <v>353</v>
      </c>
      <c r="CE357" s="52">
        <v>4</v>
      </c>
      <c r="CF357" s="54" t="s">
        <v>538</v>
      </c>
      <c r="CG357" s="52">
        <v>53</v>
      </c>
      <c r="CH357" s="52"/>
      <c r="CI357" s="52"/>
      <c r="CJ357" s="52"/>
      <c r="CK357" s="52" t="s">
        <v>539</v>
      </c>
      <c r="CL357" s="52"/>
      <c r="CM357" s="52" t="s">
        <v>540</v>
      </c>
      <c r="CN357" s="52"/>
      <c r="CO357" s="52"/>
      <c r="CP357" s="52"/>
      <c r="CQ357" s="52" t="s">
        <v>540</v>
      </c>
      <c r="CR357" s="52"/>
      <c r="CS357" s="52"/>
      <c r="CT357" s="52"/>
      <c r="CU357" s="52"/>
      <c r="CV357" s="52"/>
      <c r="CW357" s="52"/>
      <c r="CX357" s="52"/>
      <c r="CY357" s="52"/>
      <c r="CZ357" s="52"/>
      <c r="DA357" s="52"/>
      <c r="DB357" s="52"/>
    </row>
    <row r="358" spans="82:106" ht="16.5" x14ac:dyDescent="0.2">
      <c r="CD358" s="52">
        <v>354</v>
      </c>
      <c r="CE358" s="52">
        <v>4</v>
      </c>
      <c r="CF358" s="54" t="s">
        <v>538</v>
      </c>
      <c r="CG358" s="52">
        <v>54</v>
      </c>
      <c r="CH358" s="52"/>
      <c r="CI358" s="52"/>
      <c r="CJ358" s="52"/>
      <c r="CK358" s="52" t="s">
        <v>539</v>
      </c>
      <c r="CL358" s="52"/>
      <c r="CM358" s="52" t="s">
        <v>540</v>
      </c>
      <c r="CN358" s="52"/>
      <c r="CO358" s="52"/>
      <c r="CP358" s="52"/>
      <c r="CQ358" s="52" t="s">
        <v>540</v>
      </c>
      <c r="CR358" s="52"/>
      <c r="CS358" s="52"/>
      <c r="CT358" s="52"/>
      <c r="CU358" s="52"/>
      <c r="CV358" s="52"/>
      <c r="CW358" s="52"/>
      <c r="CX358" s="52"/>
      <c r="CY358" s="52"/>
      <c r="CZ358" s="52"/>
      <c r="DA358" s="52"/>
      <c r="DB358" s="52"/>
    </row>
    <row r="359" spans="82:106" ht="16.5" x14ac:dyDescent="0.2">
      <c r="CD359" s="52">
        <v>355</v>
      </c>
      <c r="CE359" s="52">
        <v>4</v>
      </c>
      <c r="CF359" s="54" t="s">
        <v>538</v>
      </c>
      <c r="CG359" s="52">
        <v>55</v>
      </c>
      <c r="CH359" s="52"/>
      <c r="CI359" s="52"/>
      <c r="CJ359" s="52"/>
      <c r="CK359" s="52" t="s">
        <v>539</v>
      </c>
      <c r="CL359" s="52"/>
      <c r="CM359" s="52" t="s">
        <v>540</v>
      </c>
      <c r="CN359" s="52"/>
      <c r="CO359" s="52"/>
      <c r="CP359" s="52"/>
      <c r="CQ359" s="52" t="s">
        <v>540</v>
      </c>
      <c r="CR359" s="52"/>
      <c r="CS359" s="52"/>
      <c r="CT359" s="52"/>
      <c r="CU359" s="52"/>
      <c r="CV359" s="52"/>
      <c r="CW359" s="52"/>
      <c r="CX359" s="52"/>
      <c r="CY359" s="52"/>
      <c r="CZ359" s="52"/>
      <c r="DA359" s="52"/>
      <c r="DB359" s="52"/>
    </row>
    <row r="360" spans="82:106" ht="16.5" x14ac:dyDescent="0.2">
      <c r="CD360" s="52">
        <v>356</v>
      </c>
      <c r="CE360" s="52">
        <v>4</v>
      </c>
      <c r="CF360" s="54" t="s">
        <v>538</v>
      </c>
      <c r="CG360" s="52">
        <v>56</v>
      </c>
      <c r="CH360" s="52"/>
      <c r="CI360" s="52"/>
      <c r="CJ360" s="52"/>
      <c r="CK360" s="52" t="s">
        <v>539</v>
      </c>
      <c r="CL360" s="52"/>
      <c r="CM360" s="52" t="s">
        <v>540</v>
      </c>
      <c r="CN360" s="52"/>
      <c r="CO360" s="52"/>
      <c r="CP360" s="52"/>
      <c r="CQ360" s="52" t="s">
        <v>540</v>
      </c>
      <c r="CR360" s="52"/>
      <c r="CS360" s="52"/>
      <c r="CT360" s="52"/>
      <c r="CU360" s="52"/>
      <c r="CV360" s="52"/>
      <c r="CW360" s="52"/>
      <c r="CX360" s="52"/>
      <c r="CY360" s="52"/>
      <c r="CZ360" s="52"/>
      <c r="DA360" s="52"/>
      <c r="DB360" s="52"/>
    </row>
    <row r="361" spans="82:106" ht="16.5" x14ac:dyDescent="0.2">
      <c r="CD361" s="52">
        <v>357</v>
      </c>
      <c r="CE361" s="52">
        <v>4</v>
      </c>
      <c r="CF361" s="54" t="s">
        <v>538</v>
      </c>
      <c r="CG361" s="52">
        <v>57</v>
      </c>
      <c r="CH361" s="52"/>
      <c r="CI361" s="52"/>
      <c r="CJ361" s="52"/>
      <c r="CK361" s="52" t="s">
        <v>539</v>
      </c>
      <c r="CL361" s="52"/>
      <c r="CM361" s="52" t="s">
        <v>540</v>
      </c>
      <c r="CN361" s="52"/>
      <c r="CO361" s="52"/>
      <c r="CP361" s="52"/>
      <c r="CQ361" s="52" t="s">
        <v>540</v>
      </c>
      <c r="CR361" s="52"/>
      <c r="CS361" s="52"/>
      <c r="CT361" s="52"/>
      <c r="CU361" s="52"/>
      <c r="CV361" s="52"/>
      <c r="CW361" s="52"/>
      <c r="CX361" s="52"/>
      <c r="CY361" s="52"/>
      <c r="CZ361" s="52"/>
      <c r="DA361" s="52"/>
      <c r="DB361" s="52"/>
    </row>
    <row r="362" spans="82:106" ht="16.5" x14ac:dyDescent="0.2">
      <c r="CD362" s="52">
        <v>358</v>
      </c>
      <c r="CE362" s="52">
        <v>4</v>
      </c>
      <c r="CF362" s="54" t="s">
        <v>538</v>
      </c>
      <c r="CG362" s="52">
        <v>58</v>
      </c>
      <c r="CH362" s="52"/>
      <c r="CI362" s="52"/>
      <c r="CJ362" s="52"/>
      <c r="CK362" s="52" t="s">
        <v>539</v>
      </c>
      <c r="CL362" s="52"/>
      <c r="CM362" s="52" t="s">
        <v>540</v>
      </c>
      <c r="CN362" s="52"/>
      <c r="CO362" s="52"/>
      <c r="CP362" s="52"/>
      <c r="CQ362" s="52" t="s">
        <v>540</v>
      </c>
      <c r="CR362" s="52"/>
      <c r="CS362" s="52"/>
      <c r="CT362" s="52"/>
      <c r="CU362" s="52"/>
      <c r="CV362" s="52"/>
      <c r="CW362" s="52"/>
      <c r="CX362" s="52"/>
      <c r="CY362" s="52"/>
      <c r="CZ362" s="52"/>
      <c r="DA362" s="52"/>
      <c r="DB362" s="52"/>
    </row>
    <row r="363" spans="82:106" ht="16.5" x14ac:dyDescent="0.2">
      <c r="CD363" s="52">
        <v>359</v>
      </c>
      <c r="CE363" s="52">
        <v>4</v>
      </c>
      <c r="CF363" s="54" t="s">
        <v>538</v>
      </c>
      <c r="CG363" s="52">
        <v>59</v>
      </c>
      <c r="CH363" s="52"/>
      <c r="CI363" s="52"/>
      <c r="CJ363" s="52"/>
      <c r="CK363" s="52" t="s">
        <v>539</v>
      </c>
      <c r="CL363" s="52"/>
      <c r="CM363" s="52" t="s">
        <v>540</v>
      </c>
      <c r="CN363" s="52"/>
      <c r="CO363" s="52"/>
      <c r="CP363" s="52"/>
      <c r="CQ363" s="52" t="s">
        <v>540</v>
      </c>
      <c r="CR363" s="52"/>
      <c r="CS363" s="52"/>
      <c r="CT363" s="52"/>
      <c r="CU363" s="52"/>
      <c r="CV363" s="52"/>
      <c r="CW363" s="52"/>
      <c r="CX363" s="52"/>
      <c r="CY363" s="52"/>
      <c r="CZ363" s="52"/>
      <c r="DA363" s="52"/>
      <c r="DB363" s="52"/>
    </row>
    <row r="364" spans="82:106" ht="16.5" x14ac:dyDescent="0.2">
      <c r="CD364" s="52">
        <v>360</v>
      </c>
      <c r="CE364" s="52">
        <v>4</v>
      </c>
      <c r="CF364" s="54" t="s">
        <v>538</v>
      </c>
      <c r="CG364" s="52">
        <v>60</v>
      </c>
      <c r="CH364" s="52"/>
      <c r="CI364" s="52"/>
      <c r="CJ364" s="52"/>
      <c r="CK364" s="52" t="s">
        <v>539</v>
      </c>
      <c r="CL364" s="52"/>
      <c r="CM364" s="52" t="s">
        <v>540</v>
      </c>
      <c r="CN364" s="52"/>
      <c r="CO364" s="52"/>
      <c r="CP364" s="52"/>
      <c r="CQ364" s="52" t="s">
        <v>540</v>
      </c>
      <c r="CR364" s="52"/>
      <c r="CS364" s="52"/>
      <c r="CT364" s="52"/>
      <c r="CU364" s="52"/>
      <c r="CV364" s="52"/>
      <c r="CW364" s="52"/>
      <c r="CX364" s="52"/>
      <c r="CY364" s="52"/>
      <c r="CZ364" s="52"/>
      <c r="DA364" s="52"/>
      <c r="DB364" s="52"/>
    </row>
    <row r="365" spans="82:106" ht="16.5" x14ac:dyDescent="0.2">
      <c r="CD365" s="52">
        <v>361</v>
      </c>
      <c r="CE365" s="52">
        <v>4</v>
      </c>
      <c r="CF365" s="54" t="s">
        <v>538</v>
      </c>
      <c r="CG365" s="52">
        <v>61</v>
      </c>
      <c r="CH365" s="52"/>
      <c r="CI365" s="52"/>
      <c r="CJ365" s="52"/>
      <c r="CK365" s="52" t="s">
        <v>539</v>
      </c>
      <c r="CL365" s="52"/>
      <c r="CM365" s="52" t="s">
        <v>540</v>
      </c>
      <c r="CN365" s="52"/>
      <c r="CO365" s="52"/>
      <c r="CP365" s="52"/>
      <c r="CQ365" s="52" t="s">
        <v>540</v>
      </c>
      <c r="CR365" s="52"/>
      <c r="CS365" s="52"/>
      <c r="CT365" s="52"/>
      <c r="CU365" s="52"/>
      <c r="CV365" s="52"/>
      <c r="CW365" s="52"/>
      <c r="CX365" s="52"/>
      <c r="CY365" s="52"/>
      <c r="CZ365" s="52"/>
      <c r="DA365" s="52"/>
      <c r="DB365" s="52"/>
    </row>
    <row r="366" spans="82:106" ht="16.5" x14ac:dyDescent="0.2">
      <c r="CD366" s="52">
        <v>362</v>
      </c>
      <c r="CE366" s="52">
        <v>4</v>
      </c>
      <c r="CF366" s="54" t="s">
        <v>538</v>
      </c>
      <c r="CG366" s="52">
        <v>62</v>
      </c>
      <c r="CH366" s="52"/>
      <c r="CI366" s="52"/>
      <c r="CJ366" s="52"/>
      <c r="CK366" s="52" t="s">
        <v>539</v>
      </c>
      <c r="CL366" s="52"/>
      <c r="CM366" s="52" t="s">
        <v>540</v>
      </c>
      <c r="CN366" s="52"/>
      <c r="CO366" s="52"/>
      <c r="CP366" s="52"/>
      <c r="CQ366" s="52" t="s">
        <v>540</v>
      </c>
      <c r="CR366" s="52"/>
      <c r="CS366" s="52"/>
      <c r="CT366" s="52"/>
      <c r="CU366" s="52"/>
      <c r="CV366" s="52"/>
      <c r="CW366" s="52"/>
      <c r="CX366" s="52"/>
      <c r="CY366" s="52"/>
      <c r="CZ366" s="52"/>
      <c r="DA366" s="52"/>
      <c r="DB366" s="52"/>
    </row>
    <row r="367" spans="82:106" ht="16.5" x14ac:dyDescent="0.2">
      <c r="CD367" s="52">
        <v>363</v>
      </c>
      <c r="CE367" s="52">
        <v>4</v>
      </c>
      <c r="CF367" s="54" t="s">
        <v>538</v>
      </c>
      <c r="CG367" s="52">
        <v>63</v>
      </c>
      <c r="CH367" s="52"/>
      <c r="CI367" s="52"/>
      <c r="CJ367" s="52"/>
      <c r="CK367" s="52" t="s">
        <v>539</v>
      </c>
      <c r="CL367" s="52"/>
      <c r="CM367" s="52" t="s">
        <v>540</v>
      </c>
      <c r="CN367" s="52"/>
      <c r="CO367" s="52"/>
      <c r="CP367" s="52"/>
      <c r="CQ367" s="52" t="s">
        <v>540</v>
      </c>
      <c r="CR367" s="52"/>
      <c r="CS367" s="52"/>
      <c r="CT367" s="52"/>
      <c r="CU367" s="52"/>
      <c r="CV367" s="52"/>
      <c r="CW367" s="52"/>
      <c r="CX367" s="52"/>
      <c r="CY367" s="52"/>
      <c r="CZ367" s="52"/>
      <c r="DA367" s="52"/>
      <c r="DB367" s="52"/>
    </row>
    <row r="368" spans="82:106" ht="16.5" x14ac:dyDescent="0.2">
      <c r="CD368" s="52">
        <v>364</v>
      </c>
      <c r="CE368" s="52">
        <v>4</v>
      </c>
      <c r="CF368" s="54" t="s">
        <v>538</v>
      </c>
      <c r="CG368" s="52">
        <v>64</v>
      </c>
      <c r="CH368" s="52"/>
      <c r="CI368" s="52"/>
      <c r="CJ368" s="52"/>
      <c r="CK368" s="52" t="s">
        <v>539</v>
      </c>
      <c r="CL368" s="52"/>
      <c r="CM368" s="52" t="s">
        <v>540</v>
      </c>
      <c r="CN368" s="52"/>
      <c r="CO368" s="52"/>
      <c r="CP368" s="52"/>
      <c r="CQ368" s="52" t="s">
        <v>540</v>
      </c>
      <c r="CR368" s="52"/>
      <c r="CS368" s="52"/>
      <c r="CT368" s="52"/>
      <c r="CU368" s="52"/>
      <c r="CV368" s="52"/>
      <c r="CW368" s="52"/>
      <c r="CX368" s="52"/>
      <c r="CY368" s="52"/>
      <c r="CZ368" s="52"/>
      <c r="DA368" s="52"/>
      <c r="DB368" s="52"/>
    </row>
    <row r="369" spans="82:106" ht="16.5" x14ac:dyDescent="0.2">
      <c r="CD369" s="52">
        <v>365</v>
      </c>
      <c r="CE369" s="52">
        <v>4</v>
      </c>
      <c r="CF369" s="54" t="s">
        <v>538</v>
      </c>
      <c r="CG369" s="52">
        <v>65</v>
      </c>
      <c r="CH369" s="52"/>
      <c r="CI369" s="52"/>
      <c r="CJ369" s="52"/>
      <c r="CK369" s="52" t="s">
        <v>539</v>
      </c>
      <c r="CL369" s="52"/>
      <c r="CM369" s="52" t="s">
        <v>540</v>
      </c>
      <c r="CN369" s="52"/>
      <c r="CO369" s="52"/>
      <c r="CP369" s="52"/>
      <c r="CQ369" s="52" t="s">
        <v>540</v>
      </c>
      <c r="CR369" s="52"/>
      <c r="CS369" s="52"/>
      <c r="CT369" s="52"/>
      <c r="CU369" s="52"/>
      <c r="CV369" s="52"/>
      <c r="CW369" s="52"/>
      <c r="CX369" s="52"/>
      <c r="CY369" s="52"/>
      <c r="CZ369" s="52"/>
      <c r="DA369" s="52"/>
      <c r="DB369" s="52"/>
    </row>
    <row r="370" spans="82:106" ht="16.5" x14ac:dyDescent="0.2">
      <c r="CD370" s="52">
        <v>366</v>
      </c>
      <c r="CE370" s="52">
        <v>4</v>
      </c>
      <c r="CF370" s="54" t="s">
        <v>538</v>
      </c>
      <c r="CG370" s="52">
        <v>66</v>
      </c>
      <c r="CH370" s="52"/>
      <c r="CI370" s="52"/>
      <c r="CJ370" s="52"/>
      <c r="CK370" s="52" t="s">
        <v>539</v>
      </c>
      <c r="CL370" s="52"/>
      <c r="CM370" s="52" t="s">
        <v>540</v>
      </c>
      <c r="CN370" s="52"/>
      <c r="CO370" s="52"/>
      <c r="CP370" s="52"/>
      <c r="CQ370" s="52" t="s">
        <v>540</v>
      </c>
      <c r="CR370" s="52"/>
      <c r="CS370" s="52"/>
      <c r="CT370" s="52"/>
      <c r="CU370" s="52"/>
      <c r="CV370" s="52"/>
      <c r="CW370" s="52"/>
      <c r="CX370" s="52"/>
      <c r="CY370" s="52"/>
      <c r="CZ370" s="52"/>
      <c r="DA370" s="52"/>
      <c r="DB370" s="52"/>
    </row>
    <row r="371" spans="82:106" ht="16.5" x14ac:dyDescent="0.2">
      <c r="CD371" s="52">
        <v>367</v>
      </c>
      <c r="CE371" s="52">
        <v>4</v>
      </c>
      <c r="CF371" s="54" t="s">
        <v>538</v>
      </c>
      <c r="CG371" s="52">
        <v>67</v>
      </c>
      <c r="CH371" s="52"/>
      <c r="CI371" s="52"/>
      <c r="CJ371" s="52"/>
      <c r="CK371" s="52" t="s">
        <v>539</v>
      </c>
      <c r="CL371" s="52"/>
      <c r="CM371" s="52" t="s">
        <v>540</v>
      </c>
      <c r="CN371" s="52"/>
      <c r="CO371" s="52"/>
      <c r="CP371" s="52"/>
      <c r="CQ371" s="52" t="s">
        <v>540</v>
      </c>
      <c r="CR371" s="52"/>
      <c r="CS371" s="52"/>
      <c r="CT371" s="52"/>
      <c r="CU371" s="52"/>
      <c r="CV371" s="52"/>
      <c r="CW371" s="52"/>
      <c r="CX371" s="52"/>
      <c r="CY371" s="52"/>
      <c r="CZ371" s="52"/>
      <c r="DA371" s="52"/>
      <c r="DB371" s="52"/>
    </row>
    <row r="372" spans="82:106" ht="16.5" x14ac:dyDescent="0.2">
      <c r="CD372" s="52">
        <v>368</v>
      </c>
      <c r="CE372" s="52">
        <v>4</v>
      </c>
      <c r="CF372" s="54" t="s">
        <v>538</v>
      </c>
      <c r="CG372" s="52">
        <v>68</v>
      </c>
      <c r="CH372" s="52"/>
      <c r="CI372" s="52"/>
      <c r="CJ372" s="52"/>
      <c r="CK372" s="52" t="s">
        <v>539</v>
      </c>
      <c r="CL372" s="52"/>
      <c r="CM372" s="52" t="s">
        <v>540</v>
      </c>
      <c r="CN372" s="52"/>
      <c r="CO372" s="52"/>
      <c r="CP372" s="52"/>
      <c r="CQ372" s="52" t="s">
        <v>540</v>
      </c>
      <c r="CR372" s="52"/>
      <c r="CS372" s="52"/>
      <c r="CT372" s="52"/>
      <c r="CU372" s="52"/>
      <c r="CV372" s="52"/>
      <c r="CW372" s="52"/>
      <c r="CX372" s="52"/>
      <c r="CY372" s="52"/>
      <c r="CZ372" s="52"/>
      <c r="DA372" s="52"/>
      <c r="DB372" s="52"/>
    </row>
    <row r="373" spans="82:106" ht="16.5" x14ac:dyDescent="0.2">
      <c r="CD373" s="52">
        <v>369</v>
      </c>
      <c r="CE373" s="52">
        <v>4</v>
      </c>
      <c r="CF373" s="54" t="s">
        <v>538</v>
      </c>
      <c r="CG373" s="52">
        <v>69</v>
      </c>
      <c r="CH373" s="52"/>
      <c r="CI373" s="52"/>
      <c r="CJ373" s="52"/>
      <c r="CK373" s="52" t="s">
        <v>539</v>
      </c>
      <c r="CL373" s="52"/>
      <c r="CM373" s="52" t="s">
        <v>540</v>
      </c>
      <c r="CN373" s="52"/>
      <c r="CO373" s="52"/>
      <c r="CP373" s="52"/>
      <c r="CQ373" s="52" t="s">
        <v>540</v>
      </c>
      <c r="CR373" s="52"/>
      <c r="CS373" s="52"/>
      <c r="CT373" s="52"/>
      <c r="CU373" s="52"/>
      <c r="CV373" s="52"/>
      <c r="CW373" s="52"/>
      <c r="CX373" s="52"/>
      <c r="CY373" s="52"/>
      <c r="CZ373" s="52"/>
      <c r="DA373" s="52"/>
      <c r="DB373" s="52"/>
    </row>
    <row r="374" spans="82:106" ht="16.5" x14ac:dyDescent="0.2">
      <c r="CD374" s="52">
        <v>370</v>
      </c>
      <c r="CE374" s="52">
        <v>4</v>
      </c>
      <c r="CF374" s="54" t="s">
        <v>538</v>
      </c>
      <c r="CG374" s="52">
        <v>70</v>
      </c>
      <c r="CH374" s="52"/>
      <c r="CI374" s="52"/>
      <c r="CJ374" s="52"/>
      <c r="CK374" s="52" t="s">
        <v>539</v>
      </c>
      <c r="CL374" s="52"/>
      <c r="CM374" s="52" t="s">
        <v>540</v>
      </c>
      <c r="CN374" s="52"/>
      <c r="CO374" s="52"/>
      <c r="CP374" s="52"/>
      <c r="CQ374" s="52" t="s">
        <v>540</v>
      </c>
      <c r="CR374" s="52"/>
      <c r="CS374" s="52"/>
      <c r="CT374" s="52"/>
      <c r="CU374" s="52"/>
      <c r="CV374" s="52"/>
      <c r="CW374" s="52"/>
      <c r="CX374" s="52"/>
      <c r="CY374" s="52"/>
      <c r="CZ374" s="52"/>
      <c r="DA374" s="52"/>
      <c r="DB374" s="52"/>
    </row>
    <row r="375" spans="82:106" ht="16.5" x14ac:dyDescent="0.2">
      <c r="CD375" s="52">
        <v>371</v>
      </c>
      <c r="CE375" s="52">
        <v>4</v>
      </c>
      <c r="CF375" s="54" t="s">
        <v>538</v>
      </c>
      <c r="CG375" s="52">
        <v>71</v>
      </c>
      <c r="CH375" s="52"/>
      <c r="CI375" s="52"/>
      <c r="CJ375" s="52"/>
      <c r="CK375" s="52" t="s">
        <v>539</v>
      </c>
      <c r="CL375" s="52"/>
      <c r="CM375" s="52" t="s">
        <v>540</v>
      </c>
      <c r="CN375" s="52"/>
      <c r="CO375" s="52"/>
      <c r="CP375" s="52"/>
      <c r="CQ375" s="52" t="s">
        <v>540</v>
      </c>
      <c r="CR375" s="52"/>
      <c r="CS375" s="52"/>
      <c r="CT375" s="52"/>
      <c r="CU375" s="52"/>
      <c r="CV375" s="52"/>
      <c r="CW375" s="52"/>
      <c r="CX375" s="52"/>
      <c r="CY375" s="52"/>
      <c r="CZ375" s="52"/>
      <c r="DA375" s="52"/>
      <c r="DB375" s="52"/>
    </row>
    <row r="376" spans="82:106" ht="16.5" x14ac:dyDescent="0.2">
      <c r="CD376" s="52">
        <v>372</v>
      </c>
      <c r="CE376" s="52">
        <v>4</v>
      </c>
      <c r="CF376" s="54" t="s">
        <v>538</v>
      </c>
      <c r="CG376" s="52">
        <v>72</v>
      </c>
      <c r="CH376" s="52"/>
      <c r="CI376" s="52"/>
      <c r="CJ376" s="52"/>
      <c r="CK376" s="52" t="s">
        <v>539</v>
      </c>
      <c r="CL376" s="52"/>
      <c r="CM376" s="52" t="s">
        <v>540</v>
      </c>
      <c r="CN376" s="52"/>
      <c r="CO376" s="52"/>
      <c r="CP376" s="52"/>
      <c r="CQ376" s="52" t="s">
        <v>540</v>
      </c>
      <c r="CR376" s="52"/>
      <c r="CS376" s="52"/>
      <c r="CT376" s="52"/>
      <c r="CU376" s="52"/>
      <c r="CV376" s="52"/>
      <c r="CW376" s="52"/>
      <c r="CX376" s="52"/>
      <c r="CY376" s="52"/>
      <c r="CZ376" s="52"/>
      <c r="DA376" s="52"/>
      <c r="DB376" s="52"/>
    </row>
    <row r="377" spans="82:106" ht="16.5" x14ac:dyDescent="0.2">
      <c r="CD377" s="52">
        <v>373</v>
      </c>
      <c r="CE377" s="52">
        <v>4</v>
      </c>
      <c r="CF377" s="54" t="s">
        <v>538</v>
      </c>
      <c r="CG377" s="52">
        <v>73</v>
      </c>
      <c r="CH377" s="52"/>
      <c r="CI377" s="52"/>
      <c r="CJ377" s="52"/>
      <c r="CK377" s="52" t="s">
        <v>539</v>
      </c>
      <c r="CL377" s="52"/>
      <c r="CM377" s="52" t="s">
        <v>540</v>
      </c>
      <c r="CN377" s="52"/>
      <c r="CO377" s="52"/>
      <c r="CP377" s="52"/>
      <c r="CQ377" s="52" t="s">
        <v>540</v>
      </c>
      <c r="CR377" s="52"/>
      <c r="CS377" s="52"/>
      <c r="CT377" s="52"/>
      <c r="CU377" s="52"/>
      <c r="CV377" s="52"/>
      <c r="CW377" s="52"/>
      <c r="CX377" s="52"/>
      <c r="CY377" s="52"/>
      <c r="CZ377" s="52"/>
      <c r="DA377" s="52"/>
      <c r="DB377" s="52"/>
    </row>
    <row r="378" spans="82:106" ht="16.5" x14ac:dyDescent="0.2">
      <c r="CD378" s="52">
        <v>374</v>
      </c>
      <c r="CE378" s="52">
        <v>4</v>
      </c>
      <c r="CF378" s="54" t="s">
        <v>538</v>
      </c>
      <c r="CG378" s="52">
        <v>74</v>
      </c>
      <c r="CH378" s="52"/>
      <c r="CI378" s="52"/>
      <c r="CJ378" s="52"/>
      <c r="CK378" s="52" t="s">
        <v>539</v>
      </c>
      <c r="CL378" s="52"/>
      <c r="CM378" s="52" t="s">
        <v>540</v>
      </c>
      <c r="CN378" s="52"/>
      <c r="CO378" s="52"/>
      <c r="CP378" s="52"/>
      <c r="CQ378" s="52" t="s">
        <v>540</v>
      </c>
      <c r="CR378" s="52"/>
      <c r="CS378" s="52"/>
      <c r="CT378" s="52"/>
      <c r="CU378" s="52"/>
      <c r="CV378" s="52"/>
      <c r="CW378" s="52"/>
      <c r="CX378" s="52"/>
      <c r="CY378" s="52"/>
      <c r="CZ378" s="52"/>
      <c r="DA378" s="52"/>
      <c r="DB378" s="52"/>
    </row>
    <row r="379" spans="82:106" ht="16.5" x14ac:dyDescent="0.2">
      <c r="CD379" s="52">
        <v>375</v>
      </c>
      <c r="CE379" s="52">
        <v>4</v>
      </c>
      <c r="CF379" s="54" t="s">
        <v>538</v>
      </c>
      <c r="CG379" s="52">
        <v>75</v>
      </c>
      <c r="CH379" s="52"/>
      <c r="CI379" s="52"/>
      <c r="CJ379" s="52"/>
      <c r="CK379" s="52" t="s">
        <v>539</v>
      </c>
      <c r="CL379" s="52"/>
      <c r="CM379" s="52" t="s">
        <v>540</v>
      </c>
      <c r="CN379" s="52"/>
      <c r="CO379" s="52"/>
      <c r="CP379" s="52"/>
      <c r="CQ379" s="52" t="s">
        <v>540</v>
      </c>
      <c r="CR379" s="52"/>
      <c r="CS379" s="52"/>
      <c r="CT379" s="52"/>
      <c r="CU379" s="52"/>
      <c r="CV379" s="52"/>
      <c r="CW379" s="52"/>
      <c r="CX379" s="52"/>
      <c r="CY379" s="52"/>
      <c r="CZ379" s="52"/>
      <c r="DA379" s="52"/>
      <c r="DB379" s="52"/>
    </row>
    <row r="380" spans="82:106" ht="16.5" x14ac:dyDescent="0.2">
      <c r="CD380" s="52">
        <v>376</v>
      </c>
      <c r="CE380" s="52">
        <v>4</v>
      </c>
      <c r="CF380" s="54" t="s">
        <v>538</v>
      </c>
      <c r="CG380" s="52">
        <v>76</v>
      </c>
      <c r="CH380" s="52"/>
      <c r="CI380" s="52"/>
      <c r="CJ380" s="52"/>
      <c r="CK380" s="52" t="s">
        <v>539</v>
      </c>
      <c r="CL380" s="52"/>
      <c r="CM380" s="52" t="s">
        <v>540</v>
      </c>
      <c r="CN380" s="52"/>
      <c r="CO380" s="52"/>
      <c r="CP380" s="52"/>
      <c r="CQ380" s="52" t="s">
        <v>540</v>
      </c>
      <c r="CR380" s="52"/>
      <c r="CS380" s="52"/>
      <c r="CT380" s="52"/>
      <c r="CU380" s="52"/>
      <c r="CV380" s="52"/>
      <c r="CW380" s="52"/>
      <c r="CX380" s="52"/>
      <c r="CY380" s="52"/>
      <c r="CZ380" s="52"/>
      <c r="DA380" s="52"/>
      <c r="DB380" s="52"/>
    </row>
    <row r="381" spans="82:106" ht="16.5" x14ac:dyDescent="0.2">
      <c r="CD381" s="52">
        <v>377</v>
      </c>
      <c r="CE381" s="52">
        <v>4</v>
      </c>
      <c r="CF381" s="54" t="s">
        <v>538</v>
      </c>
      <c r="CG381" s="52">
        <v>77</v>
      </c>
      <c r="CH381" s="52"/>
      <c r="CI381" s="52"/>
      <c r="CJ381" s="52"/>
      <c r="CK381" s="52" t="s">
        <v>539</v>
      </c>
      <c r="CL381" s="52"/>
      <c r="CM381" s="52" t="s">
        <v>540</v>
      </c>
      <c r="CN381" s="52"/>
      <c r="CO381" s="52"/>
      <c r="CP381" s="52"/>
      <c r="CQ381" s="52" t="s">
        <v>540</v>
      </c>
      <c r="CR381" s="52"/>
      <c r="CS381" s="52"/>
      <c r="CT381" s="52"/>
      <c r="CU381" s="52"/>
      <c r="CV381" s="52"/>
      <c r="CW381" s="52"/>
      <c r="CX381" s="52"/>
      <c r="CY381" s="52"/>
      <c r="CZ381" s="52"/>
      <c r="DA381" s="52"/>
      <c r="DB381" s="52"/>
    </row>
    <row r="382" spans="82:106" ht="16.5" x14ac:dyDescent="0.2">
      <c r="CD382" s="52">
        <v>378</v>
      </c>
      <c r="CE382" s="52">
        <v>4</v>
      </c>
      <c r="CF382" s="54" t="s">
        <v>538</v>
      </c>
      <c r="CG382" s="52">
        <v>78</v>
      </c>
      <c r="CH382" s="52"/>
      <c r="CI382" s="52"/>
      <c r="CJ382" s="52"/>
      <c r="CK382" s="52" t="s">
        <v>539</v>
      </c>
      <c r="CL382" s="52"/>
      <c r="CM382" s="52" t="s">
        <v>540</v>
      </c>
      <c r="CN382" s="52"/>
      <c r="CO382" s="52"/>
      <c r="CP382" s="52"/>
      <c r="CQ382" s="52" t="s">
        <v>540</v>
      </c>
      <c r="CR382" s="52"/>
      <c r="CS382" s="52"/>
      <c r="CT382" s="52"/>
      <c r="CU382" s="52"/>
      <c r="CV382" s="52"/>
      <c r="CW382" s="52"/>
      <c r="CX382" s="52"/>
      <c r="CY382" s="52"/>
      <c r="CZ382" s="52"/>
      <c r="DA382" s="52"/>
      <c r="DB382" s="52"/>
    </row>
    <row r="383" spans="82:106" ht="16.5" x14ac:dyDescent="0.2">
      <c r="CD383" s="52">
        <v>379</v>
      </c>
      <c r="CE383" s="52">
        <v>4</v>
      </c>
      <c r="CF383" s="54" t="s">
        <v>538</v>
      </c>
      <c r="CG383" s="52">
        <v>79</v>
      </c>
      <c r="CH383" s="52"/>
      <c r="CI383" s="52"/>
      <c r="CJ383" s="52"/>
      <c r="CK383" s="52" t="s">
        <v>539</v>
      </c>
      <c r="CL383" s="52"/>
      <c r="CM383" s="52" t="s">
        <v>540</v>
      </c>
      <c r="CN383" s="52"/>
      <c r="CO383" s="52"/>
      <c r="CP383" s="52"/>
      <c r="CQ383" s="52" t="s">
        <v>540</v>
      </c>
      <c r="CR383" s="52"/>
      <c r="CS383" s="52"/>
      <c r="CT383" s="52"/>
      <c r="CU383" s="52"/>
      <c r="CV383" s="52"/>
      <c r="CW383" s="52"/>
      <c r="CX383" s="52"/>
      <c r="CY383" s="52"/>
      <c r="CZ383" s="52"/>
      <c r="DA383" s="52"/>
      <c r="DB383" s="52"/>
    </row>
    <row r="384" spans="82:106" ht="16.5" x14ac:dyDescent="0.2">
      <c r="CD384" s="52">
        <v>380</v>
      </c>
      <c r="CE384" s="52">
        <v>4</v>
      </c>
      <c r="CF384" s="54" t="s">
        <v>538</v>
      </c>
      <c r="CG384" s="52">
        <v>80</v>
      </c>
      <c r="CH384" s="52"/>
      <c r="CI384" s="52"/>
      <c r="CJ384" s="52"/>
      <c r="CK384" s="52" t="s">
        <v>539</v>
      </c>
      <c r="CL384" s="52"/>
      <c r="CM384" s="52" t="s">
        <v>540</v>
      </c>
      <c r="CN384" s="52"/>
      <c r="CO384" s="52"/>
      <c r="CP384" s="52"/>
      <c r="CQ384" s="52" t="s">
        <v>540</v>
      </c>
      <c r="CR384" s="52"/>
      <c r="CS384" s="52"/>
      <c r="CT384" s="52"/>
      <c r="CU384" s="52"/>
      <c r="CV384" s="52"/>
      <c r="CW384" s="52"/>
      <c r="CX384" s="52"/>
      <c r="CY384" s="52"/>
      <c r="CZ384" s="52"/>
      <c r="DA384" s="52"/>
      <c r="DB384" s="52"/>
    </row>
    <row r="385" spans="82:106" ht="16.5" x14ac:dyDescent="0.2">
      <c r="CD385" s="52">
        <v>381</v>
      </c>
      <c r="CE385" s="52">
        <v>4</v>
      </c>
      <c r="CF385" s="54" t="s">
        <v>538</v>
      </c>
      <c r="CG385" s="52">
        <v>81</v>
      </c>
      <c r="CH385" s="52"/>
      <c r="CI385" s="52"/>
      <c r="CJ385" s="52"/>
      <c r="CK385" s="52" t="s">
        <v>539</v>
      </c>
      <c r="CL385" s="52"/>
      <c r="CM385" s="52" t="s">
        <v>540</v>
      </c>
      <c r="CN385" s="52"/>
      <c r="CO385" s="52"/>
      <c r="CP385" s="52"/>
      <c r="CQ385" s="52" t="s">
        <v>540</v>
      </c>
      <c r="CR385" s="52"/>
      <c r="CS385" s="52"/>
      <c r="CT385" s="52"/>
      <c r="CU385" s="52"/>
      <c r="CV385" s="52"/>
      <c r="CW385" s="52"/>
      <c r="CX385" s="52"/>
      <c r="CY385" s="52"/>
      <c r="CZ385" s="52"/>
      <c r="DA385" s="52"/>
      <c r="DB385" s="52"/>
    </row>
    <row r="386" spans="82:106" ht="16.5" x14ac:dyDescent="0.2">
      <c r="CD386" s="52">
        <v>382</v>
      </c>
      <c r="CE386" s="52">
        <v>4</v>
      </c>
      <c r="CF386" s="54" t="s">
        <v>538</v>
      </c>
      <c r="CG386" s="52">
        <v>82</v>
      </c>
      <c r="CH386" s="52"/>
      <c r="CI386" s="52"/>
      <c r="CJ386" s="52"/>
      <c r="CK386" s="52" t="s">
        <v>539</v>
      </c>
      <c r="CL386" s="52"/>
      <c r="CM386" s="52" t="s">
        <v>540</v>
      </c>
      <c r="CN386" s="52"/>
      <c r="CO386" s="52"/>
      <c r="CP386" s="52"/>
      <c r="CQ386" s="52" t="s">
        <v>540</v>
      </c>
      <c r="CR386" s="52"/>
      <c r="CS386" s="52"/>
      <c r="CT386" s="52"/>
      <c r="CU386" s="52"/>
      <c r="CV386" s="52"/>
      <c r="CW386" s="52"/>
      <c r="CX386" s="52"/>
      <c r="CY386" s="52"/>
      <c r="CZ386" s="52"/>
      <c r="DA386" s="52"/>
      <c r="DB386" s="52"/>
    </row>
    <row r="387" spans="82:106" ht="16.5" x14ac:dyDescent="0.2">
      <c r="CD387" s="52">
        <v>383</v>
      </c>
      <c r="CE387" s="52">
        <v>4</v>
      </c>
      <c r="CF387" s="54" t="s">
        <v>538</v>
      </c>
      <c r="CG387" s="52">
        <v>83</v>
      </c>
      <c r="CH387" s="52"/>
      <c r="CI387" s="52"/>
      <c r="CJ387" s="52"/>
      <c r="CK387" s="52" t="s">
        <v>539</v>
      </c>
      <c r="CL387" s="52"/>
      <c r="CM387" s="52" t="s">
        <v>540</v>
      </c>
      <c r="CN387" s="52"/>
      <c r="CO387" s="52"/>
      <c r="CP387" s="52"/>
      <c r="CQ387" s="52" t="s">
        <v>540</v>
      </c>
      <c r="CR387" s="52"/>
      <c r="CS387" s="52"/>
      <c r="CT387" s="52"/>
      <c r="CU387" s="52"/>
      <c r="CV387" s="52"/>
      <c r="CW387" s="52"/>
      <c r="CX387" s="52"/>
      <c r="CY387" s="52"/>
      <c r="CZ387" s="52"/>
      <c r="DA387" s="52"/>
      <c r="DB387" s="52"/>
    </row>
    <row r="388" spans="82:106" ht="16.5" x14ac:dyDescent="0.2">
      <c r="CD388" s="52">
        <v>384</v>
      </c>
      <c r="CE388" s="52">
        <v>4</v>
      </c>
      <c r="CF388" s="54" t="s">
        <v>538</v>
      </c>
      <c r="CG388" s="52">
        <v>84</v>
      </c>
      <c r="CH388" s="52"/>
      <c r="CI388" s="52"/>
      <c r="CJ388" s="52"/>
      <c r="CK388" s="52" t="s">
        <v>539</v>
      </c>
      <c r="CL388" s="52"/>
      <c r="CM388" s="52" t="s">
        <v>540</v>
      </c>
      <c r="CN388" s="52"/>
      <c r="CO388" s="52"/>
      <c r="CP388" s="52"/>
      <c r="CQ388" s="52" t="s">
        <v>540</v>
      </c>
      <c r="CR388" s="52"/>
      <c r="CS388" s="52"/>
      <c r="CT388" s="52"/>
      <c r="CU388" s="52"/>
      <c r="CV388" s="52"/>
      <c r="CW388" s="52"/>
      <c r="CX388" s="52"/>
      <c r="CY388" s="52"/>
      <c r="CZ388" s="52"/>
      <c r="DA388" s="52"/>
      <c r="DB388" s="52"/>
    </row>
    <row r="389" spans="82:106" ht="16.5" x14ac:dyDescent="0.2">
      <c r="CD389" s="52">
        <v>385</v>
      </c>
      <c r="CE389" s="52">
        <v>4</v>
      </c>
      <c r="CF389" s="54" t="s">
        <v>538</v>
      </c>
      <c r="CG389" s="52">
        <v>85</v>
      </c>
      <c r="CH389" s="52"/>
      <c r="CI389" s="52"/>
      <c r="CJ389" s="52"/>
      <c r="CK389" s="52" t="s">
        <v>539</v>
      </c>
      <c r="CL389" s="52"/>
      <c r="CM389" s="52" t="s">
        <v>540</v>
      </c>
      <c r="CN389" s="52"/>
      <c r="CO389" s="52"/>
      <c r="CP389" s="52"/>
      <c r="CQ389" s="52" t="s">
        <v>540</v>
      </c>
      <c r="CR389" s="52"/>
      <c r="CS389" s="52"/>
      <c r="CT389" s="52"/>
      <c r="CU389" s="52"/>
      <c r="CV389" s="52"/>
      <c r="CW389" s="52"/>
      <c r="CX389" s="52"/>
      <c r="CY389" s="52"/>
      <c r="CZ389" s="52"/>
      <c r="DA389" s="52"/>
      <c r="DB389" s="52"/>
    </row>
    <row r="390" spans="82:106" ht="16.5" x14ac:dyDescent="0.2">
      <c r="CD390" s="52">
        <v>386</v>
      </c>
      <c r="CE390" s="52">
        <v>4</v>
      </c>
      <c r="CF390" s="54" t="s">
        <v>538</v>
      </c>
      <c r="CG390" s="52">
        <v>86</v>
      </c>
      <c r="CH390" s="52"/>
      <c r="CI390" s="52"/>
      <c r="CJ390" s="52"/>
      <c r="CK390" s="52" t="s">
        <v>539</v>
      </c>
      <c r="CL390" s="52"/>
      <c r="CM390" s="52" t="s">
        <v>540</v>
      </c>
      <c r="CN390" s="52"/>
      <c r="CO390" s="52"/>
      <c r="CP390" s="52"/>
      <c r="CQ390" s="52" t="s">
        <v>540</v>
      </c>
      <c r="CR390" s="52"/>
      <c r="CS390" s="52"/>
      <c r="CT390" s="52"/>
      <c r="CU390" s="52"/>
      <c r="CV390" s="52"/>
      <c r="CW390" s="52"/>
      <c r="CX390" s="52"/>
      <c r="CY390" s="52"/>
      <c r="CZ390" s="52"/>
      <c r="DA390" s="52"/>
      <c r="DB390" s="52"/>
    </row>
    <row r="391" spans="82:106" ht="16.5" x14ac:dyDescent="0.2">
      <c r="CD391" s="52">
        <v>387</v>
      </c>
      <c r="CE391" s="52">
        <v>4</v>
      </c>
      <c r="CF391" s="54" t="s">
        <v>538</v>
      </c>
      <c r="CG391" s="52">
        <v>87</v>
      </c>
      <c r="CH391" s="52"/>
      <c r="CI391" s="52"/>
      <c r="CJ391" s="52"/>
      <c r="CK391" s="52" t="s">
        <v>539</v>
      </c>
      <c r="CL391" s="52"/>
      <c r="CM391" s="52" t="s">
        <v>540</v>
      </c>
      <c r="CN391" s="52"/>
      <c r="CO391" s="52"/>
      <c r="CP391" s="52"/>
      <c r="CQ391" s="52" t="s">
        <v>540</v>
      </c>
      <c r="CR391" s="52"/>
      <c r="CS391" s="52"/>
      <c r="CT391" s="52"/>
      <c r="CU391" s="52"/>
      <c r="CV391" s="52"/>
      <c r="CW391" s="52"/>
      <c r="CX391" s="52"/>
      <c r="CY391" s="52"/>
      <c r="CZ391" s="52"/>
      <c r="DA391" s="52"/>
      <c r="DB391" s="52"/>
    </row>
    <row r="392" spans="82:106" ht="16.5" x14ac:dyDescent="0.2">
      <c r="CD392" s="52">
        <v>388</v>
      </c>
      <c r="CE392" s="52">
        <v>4</v>
      </c>
      <c r="CF392" s="54" t="s">
        <v>538</v>
      </c>
      <c r="CG392" s="52">
        <v>88</v>
      </c>
      <c r="CH392" s="52"/>
      <c r="CI392" s="52"/>
      <c r="CJ392" s="52"/>
      <c r="CK392" s="52" t="s">
        <v>539</v>
      </c>
      <c r="CL392" s="52"/>
      <c r="CM392" s="52" t="s">
        <v>540</v>
      </c>
      <c r="CN392" s="52"/>
      <c r="CO392" s="52"/>
      <c r="CP392" s="52"/>
      <c r="CQ392" s="52" t="s">
        <v>540</v>
      </c>
      <c r="CR392" s="52"/>
      <c r="CS392" s="52"/>
      <c r="CT392" s="52"/>
      <c r="CU392" s="52"/>
      <c r="CV392" s="52"/>
      <c r="CW392" s="52"/>
      <c r="CX392" s="52"/>
      <c r="CY392" s="52"/>
      <c r="CZ392" s="52"/>
      <c r="DA392" s="52"/>
      <c r="DB392" s="52"/>
    </row>
    <row r="393" spans="82:106" ht="16.5" x14ac:dyDescent="0.2">
      <c r="CD393" s="52">
        <v>389</v>
      </c>
      <c r="CE393" s="52">
        <v>4</v>
      </c>
      <c r="CF393" s="54" t="s">
        <v>538</v>
      </c>
      <c r="CG393" s="52">
        <v>89</v>
      </c>
      <c r="CH393" s="52"/>
      <c r="CI393" s="52"/>
      <c r="CJ393" s="52"/>
      <c r="CK393" s="52" t="s">
        <v>539</v>
      </c>
      <c r="CL393" s="52"/>
      <c r="CM393" s="52" t="s">
        <v>540</v>
      </c>
      <c r="CN393" s="52"/>
      <c r="CO393" s="52"/>
      <c r="CP393" s="52"/>
      <c r="CQ393" s="52" t="s">
        <v>540</v>
      </c>
      <c r="CR393" s="52"/>
      <c r="CS393" s="52"/>
      <c r="CT393" s="52"/>
      <c r="CU393" s="52"/>
      <c r="CV393" s="52"/>
      <c r="CW393" s="52"/>
      <c r="CX393" s="52"/>
      <c r="CY393" s="52"/>
      <c r="CZ393" s="52"/>
      <c r="DA393" s="52"/>
      <c r="DB393" s="52"/>
    </row>
    <row r="394" spans="82:106" ht="16.5" x14ac:dyDescent="0.2">
      <c r="CD394" s="52">
        <v>390</v>
      </c>
      <c r="CE394" s="52">
        <v>4</v>
      </c>
      <c r="CF394" s="54" t="s">
        <v>538</v>
      </c>
      <c r="CG394" s="52">
        <v>90</v>
      </c>
      <c r="CH394" s="52"/>
      <c r="CI394" s="52"/>
      <c r="CJ394" s="52"/>
      <c r="CK394" s="52" t="s">
        <v>539</v>
      </c>
      <c r="CL394" s="52"/>
      <c r="CM394" s="52" t="s">
        <v>540</v>
      </c>
      <c r="CN394" s="52"/>
      <c r="CO394" s="52"/>
      <c r="CP394" s="52"/>
      <c r="CQ394" s="52" t="s">
        <v>540</v>
      </c>
      <c r="CR394" s="52"/>
      <c r="CS394" s="52"/>
      <c r="CT394" s="52"/>
      <c r="CU394" s="52"/>
      <c r="CV394" s="52"/>
      <c r="CW394" s="52"/>
      <c r="CX394" s="52"/>
      <c r="CY394" s="52"/>
      <c r="CZ394" s="52"/>
      <c r="DA394" s="52"/>
      <c r="DB394" s="52"/>
    </row>
    <row r="395" spans="82:106" ht="16.5" x14ac:dyDescent="0.2">
      <c r="CD395" s="52">
        <v>391</v>
      </c>
      <c r="CE395" s="52">
        <v>4</v>
      </c>
      <c r="CF395" s="54" t="s">
        <v>538</v>
      </c>
      <c r="CG395" s="52">
        <v>91</v>
      </c>
      <c r="CH395" s="52"/>
      <c r="CI395" s="52"/>
      <c r="CJ395" s="52"/>
      <c r="CK395" s="52" t="s">
        <v>539</v>
      </c>
      <c r="CL395" s="52"/>
      <c r="CM395" s="52" t="s">
        <v>540</v>
      </c>
      <c r="CN395" s="52"/>
      <c r="CO395" s="52"/>
      <c r="CP395" s="52"/>
      <c r="CQ395" s="52" t="s">
        <v>540</v>
      </c>
      <c r="CR395" s="52"/>
      <c r="CS395" s="52"/>
      <c r="CT395" s="52"/>
      <c r="CU395" s="52"/>
      <c r="CV395" s="52"/>
      <c r="CW395" s="52"/>
      <c r="CX395" s="52"/>
      <c r="CY395" s="52"/>
      <c r="CZ395" s="52"/>
      <c r="DA395" s="52"/>
      <c r="DB395" s="52"/>
    </row>
    <row r="396" spans="82:106" ht="16.5" x14ac:dyDescent="0.2">
      <c r="CD396" s="52">
        <v>392</v>
      </c>
      <c r="CE396" s="52">
        <v>4</v>
      </c>
      <c r="CF396" s="54" t="s">
        <v>538</v>
      </c>
      <c r="CG396" s="52">
        <v>92</v>
      </c>
      <c r="CH396" s="52"/>
      <c r="CI396" s="52"/>
      <c r="CJ396" s="52"/>
      <c r="CK396" s="52" t="s">
        <v>539</v>
      </c>
      <c r="CL396" s="52"/>
      <c r="CM396" s="52" t="s">
        <v>540</v>
      </c>
      <c r="CN396" s="52"/>
      <c r="CO396" s="52"/>
      <c r="CP396" s="52"/>
      <c r="CQ396" s="52" t="s">
        <v>540</v>
      </c>
      <c r="CR396" s="52"/>
      <c r="CS396" s="52"/>
      <c r="CT396" s="52"/>
      <c r="CU396" s="52"/>
      <c r="CV396" s="52"/>
      <c r="CW396" s="52"/>
      <c r="CX396" s="52"/>
      <c r="CY396" s="52"/>
      <c r="CZ396" s="52"/>
      <c r="DA396" s="52"/>
      <c r="DB396" s="52"/>
    </row>
    <row r="397" spans="82:106" ht="16.5" x14ac:dyDescent="0.2">
      <c r="CD397" s="52">
        <v>393</v>
      </c>
      <c r="CE397" s="52">
        <v>4</v>
      </c>
      <c r="CF397" s="54" t="s">
        <v>538</v>
      </c>
      <c r="CG397" s="52">
        <v>93</v>
      </c>
      <c r="CH397" s="52"/>
      <c r="CI397" s="52"/>
      <c r="CJ397" s="52"/>
      <c r="CK397" s="52" t="s">
        <v>539</v>
      </c>
      <c r="CL397" s="52"/>
      <c r="CM397" s="52" t="s">
        <v>540</v>
      </c>
      <c r="CN397" s="52"/>
      <c r="CO397" s="52"/>
      <c r="CP397" s="52"/>
      <c r="CQ397" s="52" t="s">
        <v>540</v>
      </c>
      <c r="CR397" s="52"/>
      <c r="CS397" s="52"/>
      <c r="CT397" s="52"/>
      <c r="CU397" s="52"/>
      <c r="CV397" s="52"/>
      <c r="CW397" s="52"/>
      <c r="CX397" s="52"/>
      <c r="CY397" s="52"/>
      <c r="CZ397" s="52"/>
      <c r="DA397" s="52"/>
      <c r="DB397" s="52"/>
    </row>
    <row r="398" spans="82:106" ht="16.5" x14ac:dyDescent="0.2">
      <c r="CD398" s="52">
        <v>394</v>
      </c>
      <c r="CE398" s="52">
        <v>4</v>
      </c>
      <c r="CF398" s="54" t="s">
        <v>538</v>
      </c>
      <c r="CG398" s="52">
        <v>94</v>
      </c>
      <c r="CH398" s="52"/>
      <c r="CI398" s="52"/>
      <c r="CJ398" s="52"/>
      <c r="CK398" s="52" t="s">
        <v>539</v>
      </c>
      <c r="CL398" s="52"/>
      <c r="CM398" s="52" t="s">
        <v>540</v>
      </c>
      <c r="CN398" s="52"/>
      <c r="CO398" s="52"/>
      <c r="CP398" s="52"/>
      <c r="CQ398" s="52" t="s">
        <v>540</v>
      </c>
      <c r="CR398" s="52"/>
      <c r="CS398" s="52"/>
      <c r="CT398" s="52"/>
      <c r="CU398" s="52"/>
      <c r="CV398" s="52"/>
      <c r="CW398" s="52"/>
      <c r="CX398" s="52"/>
      <c r="CY398" s="52"/>
      <c r="CZ398" s="52"/>
      <c r="DA398" s="52"/>
      <c r="DB398" s="52"/>
    </row>
    <row r="399" spans="82:106" ht="16.5" x14ac:dyDescent="0.2">
      <c r="CD399" s="52">
        <v>395</v>
      </c>
      <c r="CE399" s="52">
        <v>4</v>
      </c>
      <c r="CF399" s="54" t="s">
        <v>538</v>
      </c>
      <c r="CG399" s="52">
        <v>95</v>
      </c>
      <c r="CH399" s="52"/>
      <c r="CI399" s="52"/>
      <c r="CJ399" s="52"/>
      <c r="CK399" s="52" t="s">
        <v>539</v>
      </c>
      <c r="CL399" s="52"/>
      <c r="CM399" s="52" t="s">
        <v>540</v>
      </c>
      <c r="CN399" s="52"/>
      <c r="CO399" s="52"/>
      <c r="CP399" s="52"/>
      <c r="CQ399" s="52" t="s">
        <v>540</v>
      </c>
      <c r="CR399" s="52"/>
      <c r="CS399" s="52"/>
      <c r="CT399" s="52"/>
      <c r="CU399" s="52"/>
      <c r="CV399" s="52"/>
      <c r="CW399" s="52"/>
      <c r="CX399" s="52"/>
      <c r="CY399" s="52"/>
      <c r="CZ399" s="52"/>
      <c r="DA399" s="52"/>
      <c r="DB399" s="52"/>
    </row>
    <row r="400" spans="82:106" ht="16.5" x14ac:dyDescent="0.2">
      <c r="CD400" s="52">
        <v>396</v>
      </c>
      <c r="CE400" s="52">
        <v>4</v>
      </c>
      <c r="CF400" s="54" t="s">
        <v>538</v>
      </c>
      <c r="CG400" s="52">
        <v>96</v>
      </c>
      <c r="CH400" s="52"/>
      <c r="CI400" s="52"/>
      <c r="CJ400" s="52"/>
      <c r="CK400" s="52" t="s">
        <v>539</v>
      </c>
      <c r="CL400" s="52"/>
      <c r="CM400" s="52" t="s">
        <v>540</v>
      </c>
      <c r="CN400" s="52"/>
      <c r="CO400" s="52"/>
      <c r="CP400" s="52"/>
      <c r="CQ400" s="52" t="s">
        <v>540</v>
      </c>
      <c r="CR400" s="52"/>
      <c r="CS400" s="52"/>
      <c r="CT400" s="52"/>
      <c r="CU400" s="52"/>
      <c r="CV400" s="52"/>
      <c r="CW400" s="52"/>
      <c r="CX400" s="52"/>
      <c r="CY400" s="52"/>
      <c r="CZ400" s="52"/>
      <c r="DA400" s="52"/>
      <c r="DB400" s="52"/>
    </row>
    <row r="401" spans="82:106" ht="16.5" x14ac:dyDescent="0.2">
      <c r="CD401" s="52">
        <v>397</v>
      </c>
      <c r="CE401" s="52">
        <v>4</v>
      </c>
      <c r="CF401" s="54" t="s">
        <v>538</v>
      </c>
      <c r="CG401" s="52">
        <v>97</v>
      </c>
      <c r="CH401" s="52"/>
      <c r="CI401" s="52"/>
      <c r="CJ401" s="52"/>
      <c r="CK401" s="52" t="s">
        <v>539</v>
      </c>
      <c r="CL401" s="52"/>
      <c r="CM401" s="52" t="s">
        <v>540</v>
      </c>
      <c r="CN401" s="52"/>
      <c r="CO401" s="52"/>
      <c r="CP401" s="52"/>
      <c r="CQ401" s="52" t="s">
        <v>540</v>
      </c>
      <c r="CR401" s="52"/>
      <c r="CS401" s="52"/>
      <c r="CT401" s="52"/>
      <c r="CU401" s="52"/>
      <c r="CV401" s="52"/>
      <c r="CW401" s="52"/>
      <c r="CX401" s="52"/>
      <c r="CY401" s="52"/>
      <c r="CZ401" s="52"/>
      <c r="DA401" s="52"/>
      <c r="DB401" s="52"/>
    </row>
    <row r="402" spans="82:106" ht="16.5" x14ac:dyDescent="0.2">
      <c r="CD402" s="52">
        <v>398</v>
      </c>
      <c r="CE402" s="52">
        <v>4</v>
      </c>
      <c r="CF402" s="54" t="s">
        <v>538</v>
      </c>
      <c r="CG402" s="52">
        <v>98</v>
      </c>
      <c r="CH402" s="52"/>
      <c r="CI402" s="52"/>
      <c r="CJ402" s="52"/>
      <c r="CK402" s="52" t="s">
        <v>539</v>
      </c>
      <c r="CL402" s="52"/>
      <c r="CM402" s="52" t="s">
        <v>540</v>
      </c>
      <c r="CN402" s="52"/>
      <c r="CO402" s="52"/>
      <c r="CP402" s="52"/>
      <c r="CQ402" s="52" t="s">
        <v>540</v>
      </c>
      <c r="CR402" s="52"/>
      <c r="CS402" s="52"/>
      <c r="CT402" s="52"/>
      <c r="CU402" s="52"/>
      <c r="CV402" s="52"/>
      <c r="CW402" s="52"/>
      <c r="CX402" s="52"/>
      <c r="CY402" s="52"/>
      <c r="CZ402" s="52"/>
      <c r="DA402" s="52"/>
      <c r="DB402" s="52"/>
    </row>
    <row r="403" spans="82:106" ht="16.5" x14ac:dyDescent="0.2">
      <c r="CD403" s="52">
        <v>399</v>
      </c>
      <c r="CE403" s="52">
        <v>4</v>
      </c>
      <c r="CF403" s="54" t="s">
        <v>538</v>
      </c>
      <c r="CG403" s="52">
        <v>99</v>
      </c>
      <c r="CH403" s="52"/>
      <c r="CI403" s="52"/>
      <c r="CJ403" s="52"/>
      <c r="CK403" s="52" t="s">
        <v>539</v>
      </c>
      <c r="CL403" s="52"/>
      <c r="CM403" s="52" t="s">
        <v>540</v>
      </c>
      <c r="CN403" s="52"/>
      <c r="CO403" s="52"/>
      <c r="CP403" s="52"/>
      <c r="CQ403" s="52" t="s">
        <v>540</v>
      </c>
      <c r="CR403" s="52"/>
      <c r="CS403" s="52"/>
      <c r="CT403" s="52"/>
      <c r="CU403" s="52"/>
      <c r="CV403" s="52"/>
      <c r="CW403" s="52"/>
      <c r="CX403" s="52"/>
      <c r="CY403" s="52"/>
      <c r="CZ403" s="52"/>
      <c r="DA403" s="52"/>
      <c r="DB403" s="52"/>
    </row>
    <row r="404" spans="82:106" ht="16.5" x14ac:dyDescent="0.2">
      <c r="CD404" s="52">
        <v>400</v>
      </c>
      <c r="CE404" s="52">
        <v>4</v>
      </c>
      <c r="CF404" s="54" t="s">
        <v>538</v>
      </c>
      <c r="CG404" s="52">
        <v>100</v>
      </c>
      <c r="CH404" s="52"/>
      <c r="CI404" s="52"/>
      <c r="CJ404" s="52"/>
      <c r="CK404" s="52" t="s">
        <v>539</v>
      </c>
      <c r="CL404" s="52"/>
      <c r="CM404" s="52" t="s">
        <v>540</v>
      </c>
      <c r="CN404" s="52"/>
      <c r="CO404" s="52"/>
      <c r="CP404" s="52"/>
      <c r="CQ404" s="52" t="s">
        <v>540</v>
      </c>
      <c r="CR404" s="52"/>
      <c r="CS404" s="52"/>
      <c r="CT404" s="52"/>
      <c r="CU404" s="52"/>
      <c r="CV404" s="52"/>
      <c r="CW404" s="52"/>
      <c r="CX404" s="52"/>
      <c r="CY404" s="52"/>
      <c r="CZ404" s="52"/>
      <c r="DA404" s="52"/>
      <c r="DB404" s="52"/>
    </row>
  </sheetData>
  <mergeCells count="9">
    <mergeCell ref="A3:H3"/>
    <mergeCell ref="K3:R3"/>
    <mergeCell ref="U3:AB3"/>
    <mergeCell ref="AE3:AL3"/>
    <mergeCell ref="BK3:BL3"/>
    <mergeCell ref="AO3:AP3"/>
    <mergeCell ref="AR3:AS3"/>
    <mergeCell ref="AU3:AV3"/>
    <mergeCell ref="AX3:AY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workbookViewId="0">
      <selection activeCell="G28" sqref="G28"/>
    </sheetView>
  </sheetViews>
  <sheetFormatPr defaultRowHeight="14.25" x14ac:dyDescent="0.2"/>
  <cols>
    <col min="1" max="1" width="8.125" customWidth="1"/>
    <col min="2" max="2" width="8.375" customWidth="1"/>
    <col min="3" max="3" width="9.75" customWidth="1"/>
    <col min="4" max="4" width="10.625" customWidth="1"/>
    <col min="5" max="5" width="11" customWidth="1"/>
    <col min="6" max="6" width="35.75" customWidth="1"/>
    <col min="7" max="7" width="13" customWidth="1"/>
    <col min="8" max="8" width="13.125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  <col min="46" max="46" width="17.625" customWidth="1"/>
    <col min="47" max="47" width="22" customWidth="1"/>
    <col min="48" max="48" width="12.75" customWidth="1"/>
    <col min="49" max="49" width="14.75" customWidth="1"/>
    <col min="50" max="50" width="15.125" customWidth="1"/>
  </cols>
  <sheetData>
    <row r="1" spans="1:32" ht="16.5" x14ac:dyDescent="0.2">
      <c r="L1" s="15">
        <f>SUM(O1:Q1)</f>
        <v>36175</v>
      </c>
      <c r="M1">
        <v>3</v>
      </c>
      <c r="O1">
        <f>SUM(O5:O16)*O2</f>
        <v>2637.5</v>
      </c>
      <c r="P1">
        <f t="shared" ref="P1" si="0">SUM(P5:P16)*P2</f>
        <v>6387.5</v>
      </c>
      <c r="Q1">
        <f>SUM(Q5:Q16)*Q2</f>
        <v>27150</v>
      </c>
    </row>
    <row r="2" spans="1:32" x14ac:dyDescent="0.2">
      <c r="O2">
        <f>价值概述!C52</f>
        <v>2.5</v>
      </c>
      <c r="P2">
        <f>价值概述!C53</f>
        <v>5</v>
      </c>
      <c r="Q2">
        <f>价值概述!C54</f>
        <v>20</v>
      </c>
    </row>
    <row r="3" spans="1:32" ht="20.25" x14ac:dyDescent="0.2">
      <c r="A3" s="84" t="s">
        <v>460</v>
      </c>
      <c r="B3" s="84"/>
      <c r="C3" s="84"/>
      <c r="D3" s="84"/>
      <c r="E3" s="84"/>
      <c r="F3" s="84"/>
      <c r="G3" s="84"/>
      <c r="H3" s="84"/>
      <c r="I3" s="84"/>
      <c r="J3" s="84"/>
      <c r="K3" s="84"/>
      <c r="M3" s="85" t="s">
        <v>461</v>
      </c>
      <c r="N3" s="85"/>
      <c r="O3" s="85"/>
      <c r="P3" s="85"/>
      <c r="Q3" s="85"/>
      <c r="R3" s="85"/>
      <c r="S3" s="16"/>
      <c r="T3" s="16"/>
    </row>
    <row r="4" spans="1:32" ht="17.25" x14ac:dyDescent="0.2">
      <c r="A4" s="12" t="s">
        <v>418</v>
      </c>
      <c r="B4" s="12" t="s">
        <v>423</v>
      </c>
      <c r="C4" s="12" t="s">
        <v>424</v>
      </c>
      <c r="D4" s="12" t="s">
        <v>422</v>
      </c>
      <c r="E4" s="12" t="s">
        <v>419</v>
      </c>
      <c r="F4" s="12" t="s">
        <v>420</v>
      </c>
      <c r="G4" s="12" t="s">
        <v>421</v>
      </c>
      <c r="H4" s="12" t="s">
        <v>440</v>
      </c>
      <c r="I4" s="12" t="s">
        <v>441</v>
      </c>
      <c r="J4" s="12" t="s">
        <v>442</v>
      </c>
      <c r="K4" s="12" t="s">
        <v>443</v>
      </c>
      <c r="M4" s="12" t="s">
        <v>418</v>
      </c>
      <c r="N4" s="12" t="s">
        <v>419</v>
      </c>
      <c r="O4" s="12" t="s">
        <v>440</v>
      </c>
      <c r="P4" s="12" t="s">
        <v>441</v>
      </c>
      <c r="Q4" s="12" t="s">
        <v>442</v>
      </c>
      <c r="R4" s="12" t="s">
        <v>443</v>
      </c>
      <c r="S4" s="16"/>
      <c r="T4" s="16"/>
      <c r="V4" s="12" t="s">
        <v>440</v>
      </c>
      <c r="W4" s="12" t="s">
        <v>441</v>
      </c>
      <c r="X4" s="12" t="s">
        <v>442</v>
      </c>
      <c r="Z4" s="12" t="s">
        <v>462</v>
      </c>
      <c r="AA4" s="12" t="s">
        <v>463</v>
      </c>
      <c r="AB4" s="12" t="s">
        <v>464</v>
      </c>
      <c r="AC4" s="12" t="s">
        <v>465</v>
      </c>
      <c r="AD4" s="12" t="s">
        <v>470</v>
      </c>
      <c r="AE4" s="12" t="s">
        <v>472</v>
      </c>
    </row>
    <row r="5" spans="1:32" ht="16.5" x14ac:dyDescent="0.2">
      <c r="A5" s="45">
        <v>4</v>
      </c>
      <c r="B5" s="15">
        <f>SUM(节奏总表!R4:R7)</f>
        <v>1</v>
      </c>
      <c r="C5" s="15">
        <f>INDEX(节奏总表!$K$4:$K$18,世界BOSS专属武器!A5)</f>
        <v>30</v>
      </c>
      <c r="D5" s="45">
        <v>150</v>
      </c>
      <c r="E5" s="15">
        <f>INDEX(章节关卡!$E$5:$E$20,世界BOSS专属武器!A5)*世界BOSS专属武器!D5</f>
        <v>3000</v>
      </c>
      <c r="F5" s="45" t="s">
        <v>426</v>
      </c>
      <c r="G5" s="45">
        <v>1</v>
      </c>
      <c r="H5" s="45">
        <v>5</v>
      </c>
      <c r="I5" s="45"/>
      <c r="J5" s="45"/>
      <c r="K5" s="45">
        <v>1</v>
      </c>
      <c r="M5" s="45">
        <v>4</v>
      </c>
      <c r="N5" s="15">
        <f>E5*2</f>
        <v>6000</v>
      </c>
      <c r="O5" s="15">
        <f t="shared" ref="O5:R10" si="1">H5*$B5*2</f>
        <v>10</v>
      </c>
      <c r="P5" s="15">
        <f t="shared" si="1"/>
        <v>0</v>
      </c>
      <c r="Q5" s="15">
        <f t="shared" si="1"/>
        <v>0</v>
      </c>
      <c r="R5" s="15">
        <f t="shared" si="1"/>
        <v>2</v>
      </c>
      <c r="S5" s="16"/>
      <c r="T5" s="16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5">
        <v>5</v>
      </c>
      <c r="B6" s="15">
        <f>SUMIFS(节奏总表!$R$4:$R$18,节奏总表!$I$4:$I$18,"="&amp;世界BOSS专属武器!A6)</f>
        <v>1</v>
      </c>
      <c r="C6" s="15">
        <f>INDEX(节奏总表!$K$4:$K$18,世界BOSS专属武器!A6)</f>
        <v>40</v>
      </c>
      <c r="D6" s="45">
        <v>150</v>
      </c>
      <c r="E6" s="15">
        <f>INDEX(章节关卡!$E$5:$E$20,世界BOSS专属武器!A6)*世界BOSS专属武器!D6</f>
        <v>3750</v>
      </c>
      <c r="F6" s="45" t="s">
        <v>427</v>
      </c>
      <c r="G6" s="45">
        <v>1</v>
      </c>
      <c r="H6" s="45">
        <v>10</v>
      </c>
      <c r="I6" s="45"/>
      <c r="J6" s="45"/>
      <c r="K6" s="45">
        <v>1</v>
      </c>
      <c r="M6" s="45">
        <v>5</v>
      </c>
      <c r="N6" s="15">
        <f t="shared" ref="N6:N16" si="2">E6*2</f>
        <v>7500</v>
      </c>
      <c r="O6" s="15">
        <f t="shared" si="1"/>
        <v>20</v>
      </c>
      <c r="P6" s="15">
        <f t="shared" si="1"/>
        <v>0</v>
      </c>
      <c r="Q6" s="15">
        <f t="shared" si="1"/>
        <v>0</v>
      </c>
      <c r="R6" s="15">
        <f t="shared" si="1"/>
        <v>2</v>
      </c>
      <c r="S6" s="16"/>
      <c r="T6" s="16"/>
      <c r="Z6" s="15" t="str">
        <f>金币总产!A24</f>
        <v>1~40</v>
      </c>
      <c r="AA6" s="15">
        <f>金币总产!O24</f>
        <v>551610</v>
      </c>
      <c r="AB6" s="45">
        <v>10</v>
      </c>
      <c r="AC6" s="45">
        <v>3</v>
      </c>
      <c r="AD6" s="15">
        <f>ROUND(AA6/AC6,0)</f>
        <v>183870</v>
      </c>
      <c r="AE6" s="15">
        <f>SUMIFS($AH$27:$AH$76,$M$27:$M$76,"&lt;="&amp;AB6)</f>
        <v>176680</v>
      </c>
      <c r="AF6">
        <f>AD6/AE6</f>
        <v>1.0406950418836314</v>
      </c>
    </row>
    <row r="7" spans="1:32" ht="16.5" x14ac:dyDescent="0.2">
      <c r="A7" s="45">
        <v>6</v>
      </c>
      <c r="B7" s="15">
        <f>SUMIFS(节奏总表!$R$4:$R$18,节奏总表!$I$4:$I$18,"="&amp;世界BOSS专属武器!A7)</f>
        <v>1.5</v>
      </c>
      <c r="C7" s="15">
        <f>INDEX(节奏总表!$K$4:$K$18,世界BOSS专属武器!A7)</f>
        <v>50</v>
      </c>
      <c r="D7" s="45">
        <v>150</v>
      </c>
      <c r="E7" s="15">
        <f>INDEX(章节关卡!$E$5:$E$20,世界BOSS专属武器!A7)*世界BOSS专属武器!D7</f>
        <v>4800</v>
      </c>
      <c r="F7" s="45" t="s">
        <v>426</v>
      </c>
      <c r="G7" s="45">
        <v>2</v>
      </c>
      <c r="H7" s="45">
        <v>15</v>
      </c>
      <c r="I7" s="45"/>
      <c r="J7" s="45"/>
      <c r="K7" s="45">
        <v>1</v>
      </c>
      <c r="M7" s="45">
        <v>6</v>
      </c>
      <c r="N7" s="15">
        <f t="shared" si="2"/>
        <v>9600</v>
      </c>
      <c r="O7" s="15">
        <f t="shared" si="1"/>
        <v>45</v>
      </c>
      <c r="P7" s="15">
        <f t="shared" si="1"/>
        <v>0</v>
      </c>
      <c r="Q7" s="15">
        <f t="shared" si="1"/>
        <v>0</v>
      </c>
      <c r="R7" s="15">
        <f t="shared" si="1"/>
        <v>3</v>
      </c>
      <c r="S7" s="16"/>
      <c r="T7" s="16"/>
      <c r="Z7" s="15" t="str">
        <f>金币总产!A25</f>
        <v>40~80</v>
      </c>
      <c r="AA7" s="15">
        <f>金币总产!O25</f>
        <v>4522900</v>
      </c>
      <c r="AB7" s="45">
        <v>20</v>
      </c>
      <c r="AC7" s="45">
        <v>4</v>
      </c>
      <c r="AD7" s="15">
        <f t="shared" ref="AD7:AD10" si="3">ROUND(AA7/AC7,0)</f>
        <v>1130725</v>
      </c>
      <c r="AE7" s="15">
        <f>SUMIFS($AH$27:$AH$76,$M$27:$M$76,"&lt;="&amp;AB7)</f>
        <v>1146609</v>
      </c>
      <c r="AF7">
        <f t="shared" ref="AF7:AF10" si="4">AD7/AE7</f>
        <v>0.98614697774045035</v>
      </c>
    </row>
    <row r="8" spans="1:32" ht="16.5" x14ac:dyDescent="0.2">
      <c r="A8" s="45">
        <v>7</v>
      </c>
      <c r="B8" s="15">
        <f>SUMIFS(节奏总表!$R$4:$R$18,节奏总表!$I$4:$I$18,"="&amp;世界BOSS专属武器!A8)</f>
        <v>2</v>
      </c>
      <c r="C8" s="15">
        <f>INDEX(节奏总表!$K$4:$K$18,世界BOSS专属武器!A8)</f>
        <v>60</v>
      </c>
      <c r="D8" s="45">
        <v>150</v>
      </c>
      <c r="E8" s="15">
        <f>INDEX(章节关卡!$E$5:$E$20,世界BOSS专属武器!A8)*世界BOSS专属武器!D8</f>
        <v>6000</v>
      </c>
      <c r="F8" s="45" t="s">
        <v>427</v>
      </c>
      <c r="G8" s="45">
        <v>2</v>
      </c>
      <c r="H8" s="45">
        <v>20</v>
      </c>
      <c r="I8" s="45"/>
      <c r="J8" s="45"/>
      <c r="K8" s="45">
        <v>1</v>
      </c>
      <c r="M8" s="45">
        <v>7</v>
      </c>
      <c r="N8" s="15">
        <f t="shared" si="2"/>
        <v>12000</v>
      </c>
      <c r="O8" s="15">
        <f t="shared" si="1"/>
        <v>80</v>
      </c>
      <c r="P8" s="15">
        <f t="shared" si="1"/>
        <v>0</v>
      </c>
      <c r="Q8" s="15">
        <f t="shared" si="1"/>
        <v>0</v>
      </c>
      <c r="R8" s="15">
        <f t="shared" si="1"/>
        <v>4</v>
      </c>
      <c r="S8" s="16"/>
      <c r="T8" s="16"/>
      <c r="Z8" s="15" t="str">
        <f>金币总产!A26</f>
        <v>80~100</v>
      </c>
      <c r="AA8" s="15">
        <f>金币总产!O26</f>
        <v>6253050</v>
      </c>
      <c r="AB8" s="45">
        <v>30</v>
      </c>
      <c r="AC8" s="45">
        <v>5</v>
      </c>
      <c r="AD8" s="15">
        <f t="shared" si="3"/>
        <v>1250610</v>
      </c>
      <c r="AE8" s="15">
        <f>SUMIFS($AH$27:$AH$76,$M$27:$M$76,"&lt;="&amp;AB8)</f>
        <v>4759103</v>
      </c>
      <c r="AF8">
        <f t="shared" si="4"/>
        <v>0.2627827134651215</v>
      </c>
    </row>
    <row r="9" spans="1:32" ht="16.5" x14ac:dyDescent="0.2">
      <c r="A9" s="45">
        <v>8</v>
      </c>
      <c r="B9" s="15">
        <f>SUMIFS(节奏总表!$R$4:$R$18,节奏总表!$I$4:$I$18,"="&amp;世界BOSS专属武器!A9)</f>
        <v>2.5</v>
      </c>
      <c r="C9" s="15">
        <f>INDEX(节奏总表!$K$4:$K$18,世界BOSS专属武器!A9)</f>
        <v>70</v>
      </c>
      <c r="D9" s="45">
        <v>150</v>
      </c>
      <c r="E9" s="15">
        <f>INDEX(章节关卡!$E$5:$E$20,世界BOSS专属武器!A9)*世界BOSS专属武器!D9</f>
        <v>7500</v>
      </c>
      <c r="F9" s="45" t="s">
        <v>428</v>
      </c>
      <c r="G9" s="45">
        <v>1</v>
      </c>
      <c r="H9" s="45">
        <v>20</v>
      </c>
      <c r="I9" s="45">
        <v>3</v>
      </c>
      <c r="J9" s="45"/>
      <c r="K9" s="45">
        <v>1</v>
      </c>
      <c r="M9" s="45">
        <v>8</v>
      </c>
      <c r="N9" s="15">
        <f t="shared" si="2"/>
        <v>15000</v>
      </c>
      <c r="O9" s="15">
        <f t="shared" si="1"/>
        <v>100</v>
      </c>
      <c r="P9" s="15">
        <f t="shared" si="1"/>
        <v>15</v>
      </c>
      <c r="Q9" s="15">
        <f t="shared" si="1"/>
        <v>0</v>
      </c>
      <c r="R9" s="15">
        <f t="shared" si="1"/>
        <v>5</v>
      </c>
      <c r="S9" s="16"/>
      <c r="T9" s="16"/>
      <c r="Z9" s="15" t="str">
        <f>金币总产!A27</f>
        <v>100~120</v>
      </c>
      <c r="AA9" s="15">
        <f>金币总产!O27</f>
        <v>10863550</v>
      </c>
      <c r="AB9" s="45">
        <v>40</v>
      </c>
      <c r="AC9" s="45">
        <v>6</v>
      </c>
      <c r="AD9" s="15">
        <f t="shared" si="3"/>
        <v>1810592</v>
      </c>
      <c r="AE9" s="15">
        <f>SUMIFS($AH$27:$AH$76,$M$27:$M$76,"&lt;="&amp;AB9)</f>
        <v>10299103</v>
      </c>
      <c r="AF9">
        <f t="shared" si="4"/>
        <v>0.1758009411110851</v>
      </c>
    </row>
    <row r="10" spans="1:32" ht="16.5" x14ac:dyDescent="0.2">
      <c r="A10" s="50">
        <v>9</v>
      </c>
      <c r="B10" s="99">
        <f>SUMIFS(节奏总表!$R$4:$R$18,节奏总表!$I$4:$I$18,"="&amp;世界BOSS专属武器!A10)</f>
        <v>3.75</v>
      </c>
      <c r="C10" s="99">
        <f>INDEX(节奏总表!$K$4:$K$18,世界BOSS专属武器!A10)</f>
        <v>80</v>
      </c>
      <c r="D10" s="45">
        <v>150</v>
      </c>
      <c r="E10" s="15">
        <f>INDEX(章节关卡!$E$5:$E$20,世界BOSS专属武器!A10)*世界BOSS专属武器!D10</f>
        <v>9000</v>
      </c>
      <c r="F10" s="45" t="s">
        <v>429</v>
      </c>
      <c r="G10" s="45">
        <v>2</v>
      </c>
      <c r="H10" s="45">
        <v>20</v>
      </c>
      <c r="I10" s="45">
        <v>5</v>
      </c>
      <c r="J10" s="45"/>
      <c r="K10" s="45">
        <v>1.5</v>
      </c>
      <c r="M10" s="45">
        <v>9</v>
      </c>
      <c r="N10" s="15">
        <f t="shared" si="2"/>
        <v>18000</v>
      </c>
      <c r="O10" s="15">
        <f t="shared" si="1"/>
        <v>150</v>
      </c>
      <c r="P10" s="15">
        <f t="shared" si="1"/>
        <v>37.5</v>
      </c>
      <c r="Q10" s="15">
        <f t="shared" si="1"/>
        <v>0</v>
      </c>
      <c r="R10" s="15">
        <f t="shared" si="1"/>
        <v>11.25</v>
      </c>
      <c r="S10" s="16"/>
      <c r="T10" s="16"/>
      <c r="Z10" s="15" t="str">
        <f>金币总产!A28</f>
        <v>120~150</v>
      </c>
      <c r="AA10" s="15">
        <f>金币总产!O28</f>
        <v>42610750</v>
      </c>
      <c r="AB10" s="45">
        <v>50</v>
      </c>
      <c r="AC10" s="45">
        <v>9</v>
      </c>
      <c r="AD10" s="15">
        <f t="shared" si="3"/>
        <v>4734528</v>
      </c>
      <c r="AE10" s="15">
        <f>SUMIFS($AH$27:$AH$76,$M$27:$M$76,"&lt;="&amp;AB10)</f>
        <v>17799103</v>
      </c>
      <c r="AF10">
        <f t="shared" si="4"/>
        <v>0.26599812361330794</v>
      </c>
    </row>
    <row r="11" spans="1:32" ht="16.5" x14ac:dyDescent="0.2">
      <c r="A11" s="50">
        <v>9</v>
      </c>
      <c r="B11" s="100"/>
      <c r="C11" s="100"/>
      <c r="D11" s="45">
        <v>150</v>
      </c>
      <c r="E11" s="15">
        <f>INDEX(章节关卡!$E$5:$E$20,世界BOSS专属武器!A11)*世界BOSS专属武器!D11</f>
        <v>9000</v>
      </c>
      <c r="F11" s="45" t="s">
        <v>430</v>
      </c>
      <c r="G11" s="45">
        <v>2</v>
      </c>
      <c r="H11" s="45">
        <v>20</v>
      </c>
      <c r="I11" s="45">
        <v>5</v>
      </c>
      <c r="J11" s="45"/>
      <c r="K11" s="45">
        <v>1.5</v>
      </c>
      <c r="M11" s="45">
        <v>10</v>
      </c>
      <c r="N11" s="15">
        <f t="shared" si="2"/>
        <v>18000</v>
      </c>
      <c r="O11" s="15">
        <f t="shared" ref="O11:R12" si="5">H13*$B13*2</f>
        <v>250</v>
      </c>
      <c r="P11" s="15">
        <f t="shared" si="5"/>
        <v>87.5</v>
      </c>
      <c r="Q11" s="15">
        <f t="shared" si="5"/>
        <v>0</v>
      </c>
      <c r="R11" s="15">
        <f t="shared" si="5"/>
        <v>18.75</v>
      </c>
      <c r="S11" s="16"/>
      <c r="T11" s="16"/>
      <c r="AB11" s="16"/>
    </row>
    <row r="12" spans="1:32" ht="16.5" x14ac:dyDescent="0.2">
      <c r="A12" s="50">
        <v>9</v>
      </c>
      <c r="B12" s="101"/>
      <c r="C12" s="101"/>
      <c r="D12" s="45">
        <v>150</v>
      </c>
      <c r="E12" s="15">
        <f>INDEX(章节关卡!$E$5:$E$20,世界BOSS专属武器!A12)*世界BOSS专属武器!D12</f>
        <v>9000</v>
      </c>
      <c r="F12" s="45" t="s">
        <v>431</v>
      </c>
      <c r="G12" s="45">
        <v>2</v>
      </c>
      <c r="H12" s="45">
        <v>20</v>
      </c>
      <c r="I12" s="45">
        <v>5</v>
      </c>
      <c r="J12" s="45"/>
      <c r="K12" s="45">
        <v>1.5</v>
      </c>
      <c r="M12" s="45">
        <v>11</v>
      </c>
      <c r="N12" s="15">
        <f t="shared" si="2"/>
        <v>18000</v>
      </c>
      <c r="O12" s="15">
        <f t="shared" si="5"/>
        <v>400</v>
      </c>
      <c r="P12" s="15">
        <f t="shared" si="5"/>
        <v>200</v>
      </c>
      <c r="Q12" s="15">
        <f t="shared" si="5"/>
        <v>0</v>
      </c>
      <c r="R12" s="15">
        <f t="shared" si="5"/>
        <v>40</v>
      </c>
      <c r="S12" s="16"/>
      <c r="T12" s="16"/>
      <c r="AB12" s="16"/>
    </row>
    <row r="13" spans="1:32" ht="16.5" x14ac:dyDescent="0.2">
      <c r="A13" s="45">
        <v>10</v>
      </c>
      <c r="B13" s="15">
        <f>SUMIFS(节奏总表!$R$4:$R$18,节奏总表!$I$4:$I$18,"="&amp;世界BOSS专属武器!A13)</f>
        <v>6.25</v>
      </c>
      <c r="C13" s="15">
        <f>INDEX(节奏总表!$K$4:$K$18,世界BOSS专属武器!A13)</f>
        <v>90</v>
      </c>
      <c r="D13" s="45">
        <v>150</v>
      </c>
      <c r="E13" s="15">
        <f>INDEX(章节关卡!$E$5:$E$20,世界BOSS专属武器!A13)*世界BOSS专属武器!D13</f>
        <v>10800</v>
      </c>
      <c r="F13" s="45" t="s">
        <v>434</v>
      </c>
      <c r="G13" s="45">
        <v>3</v>
      </c>
      <c r="H13" s="45">
        <v>20</v>
      </c>
      <c r="I13" s="45">
        <v>7</v>
      </c>
      <c r="J13" s="45"/>
      <c r="K13" s="45">
        <v>1.5</v>
      </c>
      <c r="M13" s="45">
        <v>12</v>
      </c>
      <c r="N13" s="15">
        <f t="shared" si="2"/>
        <v>21600</v>
      </c>
      <c r="O13" s="15">
        <f t="shared" ref="O13:R16" si="6">H17*$B17*2</f>
        <v>0</v>
      </c>
      <c r="P13" s="15">
        <f t="shared" si="6"/>
        <v>137.5</v>
      </c>
      <c r="Q13" s="15">
        <f t="shared" si="6"/>
        <v>82.5</v>
      </c>
      <c r="R13" s="15">
        <f t="shared" si="6"/>
        <v>68.75</v>
      </c>
      <c r="S13" s="16"/>
      <c r="T13" s="16"/>
      <c r="AB13" s="16"/>
    </row>
    <row r="14" spans="1:32" ht="16.5" x14ac:dyDescent="0.2">
      <c r="A14" s="50">
        <v>11</v>
      </c>
      <c r="B14" s="99">
        <f>SUMIFS(节奏总表!$R$4:$R$18,节奏总表!$I$4:$I$18,"="&amp;世界BOSS专属武器!A14)</f>
        <v>10</v>
      </c>
      <c r="C14" s="99">
        <f>INDEX(节奏总表!$K$4:$K$18,世界BOSS专属武器!A14)</f>
        <v>100</v>
      </c>
      <c r="D14" s="45">
        <v>150</v>
      </c>
      <c r="E14" s="15">
        <f>INDEX(章节关卡!$E$5:$E$20,世界BOSS专属武器!A14)*世界BOSS专属武器!D14</f>
        <v>13500</v>
      </c>
      <c r="F14" s="45" t="s">
        <v>432</v>
      </c>
      <c r="G14" s="45">
        <v>8</v>
      </c>
      <c r="H14" s="45">
        <v>20</v>
      </c>
      <c r="I14" s="45">
        <v>10</v>
      </c>
      <c r="J14" s="45"/>
      <c r="K14" s="45">
        <v>2</v>
      </c>
      <c r="M14" s="45">
        <v>13</v>
      </c>
      <c r="N14" s="15">
        <f t="shared" si="2"/>
        <v>27000</v>
      </c>
      <c r="O14" s="15">
        <f t="shared" si="6"/>
        <v>0</v>
      </c>
      <c r="P14" s="15">
        <f t="shared" si="6"/>
        <v>175</v>
      </c>
      <c r="Q14" s="15">
        <f t="shared" si="6"/>
        <v>175</v>
      </c>
      <c r="R14" s="15">
        <f t="shared" si="6"/>
        <v>87.5</v>
      </c>
      <c r="S14" s="16"/>
      <c r="T14" s="16"/>
      <c r="AB14" s="16"/>
    </row>
    <row r="15" spans="1:32" ht="16.5" x14ac:dyDescent="0.2">
      <c r="A15" s="50">
        <v>11</v>
      </c>
      <c r="B15" s="100"/>
      <c r="C15" s="100"/>
      <c r="D15" s="45">
        <v>150</v>
      </c>
      <c r="E15" s="15">
        <f>INDEX(章节关卡!$E$5:$E$20,世界BOSS专属武器!A15)*世界BOSS专属武器!D15</f>
        <v>13500</v>
      </c>
      <c r="F15" s="45" t="s">
        <v>433</v>
      </c>
      <c r="G15" s="45">
        <v>8</v>
      </c>
      <c r="H15" s="45">
        <v>20</v>
      </c>
      <c r="I15" s="45">
        <v>10</v>
      </c>
      <c r="J15" s="45"/>
      <c r="K15" s="45">
        <v>2</v>
      </c>
      <c r="M15" s="45">
        <v>14</v>
      </c>
      <c r="N15" s="15">
        <f t="shared" si="2"/>
        <v>27000</v>
      </c>
      <c r="O15" s="15">
        <f t="shared" si="6"/>
        <v>0</v>
      </c>
      <c r="P15" s="15">
        <f t="shared" si="6"/>
        <v>250</v>
      </c>
      <c r="Q15" s="15">
        <f t="shared" si="6"/>
        <v>350</v>
      </c>
      <c r="R15" s="15">
        <f t="shared" si="6"/>
        <v>125</v>
      </c>
      <c r="S15" s="16"/>
      <c r="T15" s="16"/>
      <c r="AB15" s="16"/>
    </row>
    <row r="16" spans="1:32" ht="16.5" x14ac:dyDescent="0.2">
      <c r="A16" s="50">
        <v>11</v>
      </c>
      <c r="B16" s="101"/>
      <c r="C16" s="101"/>
      <c r="D16" s="45">
        <v>150</v>
      </c>
      <c r="E16" s="15">
        <f>INDEX(章节关卡!$E$5:$E$20,世界BOSS专属武器!A16)*世界BOSS专属武器!D16</f>
        <v>13500</v>
      </c>
      <c r="F16" s="45" t="s">
        <v>435</v>
      </c>
      <c r="G16" s="45">
        <v>5</v>
      </c>
      <c r="H16" s="45">
        <v>20</v>
      </c>
      <c r="I16" s="45">
        <v>10</v>
      </c>
      <c r="J16" s="45"/>
      <c r="K16" s="45">
        <v>2</v>
      </c>
      <c r="M16" s="45">
        <v>15</v>
      </c>
      <c r="N16" s="15">
        <f t="shared" si="2"/>
        <v>27000</v>
      </c>
      <c r="O16" s="15">
        <f t="shared" si="6"/>
        <v>0</v>
      </c>
      <c r="P16" s="15">
        <f t="shared" si="6"/>
        <v>375</v>
      </c>
      <c r="Q16" s="15">
        <f t="shared" si="6"/>
        <v>750</v>
      </c>
      <c r="R16" s="15">
        <f t="shared" si="6"/>
        <v>187.5</v>
      </c>
      <c r="S16" s="16"/>
      <c r="T16" s="16"/>
      <c r="AB16" s="16"/>
    </row>
    <row r="17" spans="1:52" ht="16.5" x14ac:dyDescent="0.2">
      <c r="A17" s="45">
        <v>12</v>
      </c>
      <c r="B17" s="15">
        <f>SUMIFS(节奏总表!$R$4:$R$18,节奏总表!$I$4:$I$18,"="&amp;世界BOSS专属武器!A17)</f>
        <v>13.75</v>
      </c>
      <c r="C17" s="15">
        <f>INDEX(节奏总表!$K$4:$K$18,世界BOSS专属武器!A17)</f>
        <v>110</v>
      </c>
      <c r="D17" s="45">
        <v>150</v>
      </c>
      <c r="E17" s="15">
        <f>INDEX(章节关卡!$E$5:$E$20,世界BOSS专属武器!A17)*世界BOSS专属武器!D17</f>
        <v>16500</v>
      </c>
      <c r="F17" s="45" t="s">
        <v>436</v>
      </c>
      <c r="G17" s="45">
        <v>6</v>
      </c>
      <c r="H17" s="45"/>
      <c r="I17" s="45">
        <v>5</v>
      </c>
      <c r="J17" s="45">
        <v>3</v>
      </c>
      <c r="K17" s="45">
        <v>2.5</v>
      </c>
      <c r="S17" s="16"/>
      <c r="T17" s="16"/>
      <c r="AB17" s="16"/>
    </row>
    <row r="18" spans="1:52" ht="16.5" x14ac:dyDescent="0.2">
      <c r="A18" s="45">
        <v>13</v>
      </c>
      <c r="B18" s="15">
        <f>SUMIFS(节奏总表!$R$4:$R$18,节奏总表!$I$4:$I$18,"="&amp;世界BOSS专属武器!A18)</f>
        <v>17.5</v>
      </c>
      <c r="C18" s="15">
        <f>INDEX(节奏总表!$K$4:$K$18,世界BOSS专属武器!A18)</f>
        <v>120</v>
      </c>
      <c r="D18" s="45">
        <v>150</v>
      </c>
      <c r="E18" s="15">
        <f>INDEX(章节关卡!$E$5:$E$20,世界BOSS专属武器!A18)*世界BOSS专属武器!D18</f>
        <v>19500</v>
      </c>
      <c r="F18" s="45" t="s">
        <v>437</v>
      </c>
      <c r="G18" s="45">
        <v>7</v>
      </c>
      <c r="H18" s="45"/>
      <c r="I18" s="45">
        <v>5</v>
      </c>
      <c r="J18" s="45">
        <v>5</v>
      </c>
      <c r="K18" s="45">
        <v>2.5</v>
      </c>
      <c r="M18" s="44" t="s">
        <v>444</v>
      </c>
      <c r="O18" s="21">
        <v>0.75</v>
      </c>
      <c r="P18" s="21">
        <v>0.65</v>
      </c>
      <c r="Q18" s="21">
        <v>0.5</v>
      </c>
      <c r="S18" s="16"/>
      <c r="T18" s="16"/>
      <c r="AB18" s="16"/>
    </row>
    <row r="19" spans="1:52" ht="16.5" x14ac:dyDescent="0.2">
      <c r="A19" s="45">
        <v>14</v>
      </c>
      <c r="B19" s="15">
        <f>SUMIFS(节奏总表!$R$4:$R$18,节奏总表!$I$4:$I$18,"="&amp;世界BOSS专属武器!A19)</f>
        <v>25</v>
      </c>
      <c r="C19" s="15">
        <f>INDEX(节奏总表!$K$4:$K$18,世界BOSS专属武器!A19)</f>
        <v>130</v>
      </c>
      <c r="D19" s="45">
        <v>150</v>
      </c>
      <c r="E19" s="15">
        <f>INDEX(章节关卡!$E$5:$E$20,世界BOSS专属武器!A19)*世界BOSS专属武器!D19</f>
        <v>22500</v>
      </c>
      <c r="F19" s="45" t="s">
        <v>438</v>
      </c>
      <c r="G19" s="45">
        <v>8</v>
      </c>
      <c r="H19" s="45"/>
      <c r="I19" s="45">
        <v>5</v>
      </c>
      <c r="J19" s="45">
        <v>7</v>
      </c>
      <c r="K19" s="45">
        <v>2.5</v>
      </c>
      <c r="M19" s="44" t="s">
        <v>445</v>
      </c>
      <c r="O19" s="15">
        <f>INT(SUM(O5:O16)/(1-O18))</f>
        <v>4220</v>
      </c>
      <c r="P19" s="15">
        <f t="shared" ref="P19" si="7">INT(SUM(P5:P16)/(1-P18))</f>
        <v>3650</v>
      </c>
      <c r="Q19" s="15">
        <f>INT(SUM(Q5:Q16)/(1-Q18))</f>
        <v>2715</v>
      </c>
      <c r="S19" s="16"/>
      <c r="T19" s="16"/>
      <c r="AB19" s="16"/>
    </row>
    <row r="20" spans="1:52" ht="16.5" x14ac:dyDescent="0.2">
      <c r="A20" s="45">
        <v>15</v>
      </c>
      <c r="B20" s="15">
        <f>SUMIFS(节奏总表!$R$4:$R$18,节奏总表!$I$4:$I$18,"="&amp;世界BOSS专属武器!A20)</f>
        <v>37.5</v>
      </c>
      <c r="C20" s="15">
        <f>INDEX(节奏总表!$K$4:$K$18,世界BOSS专属武器!A20)</f>
        <v>140</v>
      </c>
      <c r="D20" s="45">
        <v>150</v>
      </c>
      <c r="E20" s="15">
        <f>INDEX(章节关卡!$E$5:$E$20,世界BOSS专属武器!A20)*世界BOSS专属武器!D20</f>
        <v>26250</v>
      </c>
      <c r="F20" s="45" t="s">
        <v>439</v>
      </c>
      <c r="G20" s="45">
        <v>9</v>
      </c>
      <c r="H20" s="45"/>
      <c r="I20" s="45">
        <v>5</v>
      </c>
      <c r="J20" s="45">
        <v>10</v>
      </c>
      <c r="K20" s="45">
        <v>2.5</v>
      </c>
      <c r="M20" s="44" t="s">
        <v>446</v>
      </c>
      <c r="O20" s="15">
        <f>INT(O19/$M$1)</f>
        <v>1406</v>
      </c>
      <c r="P20" s="15">
        <f t="shared" ref="P20" si="8">INT(P19/$M$1)</f>
        <v>1216</v>
      </c>
      <c r="Q20" s="15">
        <f>INT(Q19/$M$1)</f>
        <v>905</v>
      </c>
      <c r="S20" s="16"/>
      <c r="T20" s="16"/>
      <c r="AB20" s="16"/>
    </row>
    <row r="21" spans="1:52" x14ac:dyDescent="0.2">
      <c r="S21" s="16"/>
      <c r="T21" s="16"/>
      <c r="AB21" s="16"/>
    </row>
    <row r="23" spans="1:52" ht="16.5" x14ac:dyDescent="0.2">
      <c r="AI23" s="15">
        <f>SUM(AI27:AI76)</f>
        <v>1430.6399006000697</v>
      </c>
    </row>
    <row r="24" spans="1:52" ht="16.5" x14ac:dyDescent="0.2">
      <c r="M24" t="s">
        <v>447</v>
      </c>
      <c r="AH24" s="48" t="s">
        <v>473</v>
      </c>
      <c r="AI24" s="15">
        <f>SUM(AI27:AI76)*价值概述!C52*O18</f>
        <v>2682.4498136251309</v>
      </c>
      <c r="AJ24" s="15">
        <f>SUM(AJ27:AJ76)*价值概述!C53*P18</f>
        <v>4116.666666666667</v>
      </c>
      <c r="AK24" s="15">
        <f>SUM(AK27:AK76)*价值概述!C54*Q18</f>
        <v>11000</v>
      </c>
    </row>
    <row r="25" spans="1:52" ht="20.25" x14ac:dyDescent="0.2">
      <c r="N25">
        <f>SUM($N$27:$N$55)</f>
        <v>1193.055773570791</v>
      </c>
      <c r="P25">
        <f>SUM(P27:P65)</f>
        <v>250</v>
      </c>
      <c r="R25">
        <f>SUM(R27:R76)</f>
        <v>277</v>
      </c>
      <c r="T25" s="51"/>
      <c r="U25" s="51"/>
      <c r="V25" s="51"/>
      <c r="AA25" s="51"/>
      <c r="AB25" s="51"/>
      <c r="AC25" s="51"/>
      <c r="AD25" s="51"/>
      <c r="AE25" s="51"/>
      <c r="AF25" s="51"/>
      <c r="AG25" s="46"/>
      <c r="AH25" s="47" t="s">
        <v>452</v>
      </c>
      <c r="AI25" s="47"/>
      <c r="AJ25" s="47"/>
      <c r="AK25" s="47"/>
    </row>
    <row r="26" spans="1:52" ht="17.25" x14ac:dyDescent="0.2">
      <c r="M26" s="12" t="s">
        <v>448</v>
      </c>
      <c r="N26" s="12" t="s">
        <v>454</v>
      </c>
      <c r="O26" s="12" t="s">
        <v>455</v>
      </c>
      <c r="P26" s="12" t="s">
        <v>456</v>
      </c>
      <c r="Q26" s="12" t="s">
        <v>457</v>
      </c>
      <c r="R26" s="12" t="s">
        <v>458</v>
      </c>
      <c r="S26" s="12" t="s">
        <v>459</v>
      </c>
      <c r="T26" s="12" t="s">
        <v>449</v>
      </c>
      <c r="U26" s="12" t="s">
        <v>453</v>
      </c>
      <c r="V26" s="12" t="s">
        <v>450</v>
      </c>
      <c r="W26" s="12" t="s">
        <v>491</v>
      </c>
      <c r="X26" s="12" t="s">
        <v>492</v>
      </c>
      <c r="Y26" s="12" t="s">
        <v>496</v>
      </c>
      <c r="Z26" s="12" t="s">
        <v>497</v>
      </c>
      <c r="AA26" s="12" t="s">
        <v>440</v>
      </c>
      <c r="AB26" s="12" t="s">
        <v>440</v>
      </c>
      <c r="AC26" s="12" t="s">
        <v>441</v>
      </c>
      <c r="AD26" s="12" t="s">
        <v>441</v>
      </c>
      <c r="AE26" s="12" t="s">
        <v>442</v>
      </c>
      <c r="AF26" s="12" t="s">
        <v>442</v>
      </c>
      <c r="AG26" s="12" t="s">
        <v>451</v>
      </c>
      <c r="AH26" s="12" t="s">
        <v>471</v>
      </c>
      <c r="AI26" s="12" t="s">
        <v>440</v>
      </c>
      <c r="AJ26" s="12" t="s">
        <v>441</v>
      </c>
      <c r="AK26" s="12" t="s">
        <v>442</v>
      </c>
      <c r="AL26" s="12" t="s">
        <v>498</v>
      </c>
      <c r="AN26">
        <f>SUM(AN27:AN76)</f>
        <v>150</v>
      </c>
      <c r="AS26" s="12" t="s">
        <v>499</v>
      </c>
      <c r="AT26" s="12" t="s">
        <v>505</v>
      </c>
      <c r="AU26" s="12" t="s">
        <v>508</v>
      </c>
      <c r="AV26" s="12" t="s">
        <v>500</v>
      </c>
      <c r="AW26" s="12" t="s">
        <v>501</v>
      </c>
      <c r="AX26" s="12" t="s">
        <v>502</v>
      </c>
      <c r="AY26" s="12" t="s">
        <v>503</v>
      </c>
      <c r="AZ26" s="12" t="s">
        <v>504</v>
      </c>
    </row>
    <row r="27" spans="1:52" ht="16.5" x14ac:dyDescent="0.2">
      <c r="M27" s="45">
        <v>1</v>
      </c>
      <c r="N27" s="45">
        <v>1</v>
      </c>
      <c r="O27" s="45">
        <f>ROUND((N27/N$25)*$O$20,2)</f>
        <v>1.18</v>
      </c>
      <c r="P27" s="45"/>
      <c r="Q27" s="45"/>
      <c r="R27" s="45"/>
      <c r="S27" s="45"/>
      <c r="T27" s="45">
        <v>1</v>
      </c>
      <c r="U27" s="45"/>
      <c r="V27" s="49">
        <v>100</v>
      </c>
      <c r="W27" s="49" t="s">
        <v>493</v>
      </c>
      <c r="X27" s="49"/>
      <c r="Y27" s="49">
        <v>2</v>
      </c>
      <c r="Z27" s="49"/>
      <c r="AA27" s="49">
        <f t="shared" ref="AA27:AA55" si="9">ROUND(O27*T27,1)</f>
        <v>1.2</v>
      </c>
      <c r="AB27" s="49">
        <v>1</v>
      </c>
      <c r="AC27" s="49"/>
      <c r="AD27" s="49"/>
      <c r="AE27" s="49"/>
      <c r="AF27" s="49"/>
      <c r="AG27" s="49">
        <v>1</v>
      </c>
      <c r="AH27" s="15">
        <f>INT(AI27*价值概述!$B$52*$O$18+AJ27*价值概述!$B$53*$P$18+AK27*价值概述!$B$54*$Q$18)</f>
        <v>1875</v>
      </c>
      <c r="AI27" s="15">
        <f t="shared" ref="AI27:AI58" si="10">AB27/T27</f>
        <v>1</v>
      </c>
      <c r="AJ27" s="15">
        <f t="shared" ref="AJ27:AJ58" si="11">AD27/T27</f>
        <v>0</v>
      </c>
      <c r="AK27" s="15">
        <f t="shared" ref="AK27:AK58" si="12">AF27/T27</f>
        <v>0</v>
      </c>
      <c r="AL27" s="49">
        <v>6.7000000000000002E-3</v>
      </c>
      <c r="AN27">
        <v>1</v>
      </c>
      <c r="AO27">
        <f>SUM(AN$27:AN27)</f>
        <v>1</v>
      </c>
      <c r="AS27" s="52">
        <v>7001</v>
      </c>
      <c r="AT27" s="52" t="s">
        <v>506</v>
      </c>
      <c r="AU27" s="52" t="s">
        <v>509</v>
      </c>
      <c r="AV27" s="52">
        <v>1</v>
      </c>
      <c r="AW27" s="52">
        <v>1</v>
      </c>
      <c r="AX27" s="52">
        <v>1</v>
      </c>
      <c r="AY27" s="52">
        <v>5000</v>
      </c>
      <c r="AZ27" s="52"/>
    </row>
    <row r="28" spans="1:52" ht="16.5" x14ac:dyDescent="0.2">
      <c r="M28" s="45">
        <v>2</v>
      </c>
      <c r="N28" s="45">
        <v>2</v>
      </c>
      <c r="O28" s="45">
        <f t="shared" ref="O28:O55" si="13">ROUND((N28/N$25)*$O$20,2)</f>
        <v>2.36</v>
      </c>
      <c r="P28" s="45"/>
      <c r="Q28" s="45"/>
      <c r="R28" s="45"/>
      <c r="S28" s="45"/>
      <c r="T28" s="45">
        <v>0.5</v>
      </c>
      <c r="U28" s="45"/>
      <c r="V28" s="49">
        <v>200</v>
      </c>
      <c r="W28" s="49" t="s">
        <v>493</v>
      </c>
      <c r="X28" s="49"/>
      <c r="Y28" s="49">
        <v>2</v>
      </c>
      <c r="Z28" s="49"/>
      <c r="AA28" s="49">
        <f t="shared" si="9"/>
        <v>1.2</v>
      </c>
      <c r="AB28" s="49">
        <v>1</v>
      </c>
      <c r="AC28" s="49"/>
      <c r="AD28" s="49"/>
      <c r="AE28" s="49"/>
      <c r="AF28" s="49"/>
      <c r="AG28" s="49">
        <v>2</v>
      </c>
      <c r="AH28" s="15">
        <f>INT(AI28*价值概述!$B$52*$O$18+AJ28*价值概述!$B$53*$P$18+AK28*价值概述!$B$54*$Q$18)</f>
        <v>3750</v>
      </c>
      <c r="AI28" s="15">
        <f t="shared" si="10"/>
        <v>2</v>
      </c>
      <c r="AJ28" s="15">
        <f t="shared" si="11"/>
        <v>0</v>
      </c>
      <c r="AK28" s="15">
        <f t="shared" si="12"/>
        <v>0</v>
      </c>
      <c r="AL28" s="49">
        <v>1.3299999999999999E-2</v>
      </c>
      <c r="AN28">
        <v>1</v>
      </c>
      <c r="AO28">
        <f>SUM(AN$27:AN28)</f>
        <v>2</v>
      </c>
      <c r="AS28" s="52">
        <v>7001</v>
      </c>
      <c r="AT28" s="52" t="s">
        <v>506</v>
      </c>
      <c r="AU28" s="52" t="s">
        <v>510</v>
      </c>
      <c r="AV28" s="52">
        <v>1</v>
      </c>
      <c r="AW28" s="52">
        <v>1</v>
      </c>
      <c r="AX28" s="52">
        <v>1</v>
      </c>
      <c r="AY28" s="52">
        <v>5000</v>
      </c>
      <c r="AZ28" s="52"/>
    </row>
    <row r="29" spans="1:52" ht="16.5" x14ac:dyDescent="0.2">
      <c r="M29" s="45">
        <v>3</v>
      </c>
      <c r="N29" s="45">
        <v>2.5</v>
      </c>
      <c r="O29" s="45">
        <f t="shared" si="13"/>
        <v>2.95</v>
      </c>
      <c r="P29" s="45"/>
      <c r="Q29" s="45"/>
      <c r="R29" s="45"/>
      <c r="S29" s="45"/>
      <c r="T29" s="45">
        <v>0.48</v>
      </c>
      <c r="U29" s="45"/>
      <c r="V29" s="49">
        <v>300</v>
      </c>
      <c r="W29" s="49" t="s">
        <v>493</v>
      </c>
      <c r="X29" s="49"/>
      <c r="Y29" s="49">
        <v>2</v>
      </c>
      <c r="Z29" s="49"/>
      <c r="AA29" s="49">
        <f t="shared" si="9"/>
        <v>1.4</v>
      </c>
      <c r="AB29" s="49">
        <v>2</v>
      </c>
      <c r="AC29" s="49"/>
      <c r="AD29" s="49"/>
      <c r="AE29" s="49"/>
      <c r="AF29" s="49"/>
      <c r="AG29" s="49">
        <v>3</v>
      </c>
      <c r="AH29" s="15">
        <f>INT(AI29*价值概述!$B$52*$O$18+AJ29*价值概述!$B$53*$P$18+AK29*价值概述!$B$54*$Q$18)</f>
        <v>7812</v>
      </c>
      <c r="AI29" s="15">
        <f t="shared" si="10"/>
        <v>4.166666666666667</v>
      </c>
      <c r="AJ29" s="15">
        <f t="shared" si="11"/>
        <v>0</v>
      </c>
      <c r="AK29" s="15">
        <f t="shared" si="12"/>
        <v>0</v>
      </c>
      <c r="AL29" s="49">
        <v>0.02</v>
      </c>
      <c r="AN29">
        <v>1</v>
      </c>
      <c r="AO29">
        <f>SUM(AN$27:AN29)</f>
        <v>3</v>
      </c>
      <c r="AS29" s="52">
        <v>7002</v>
      </c>
      <c r="AT29" s="52" t="s">
        <v>507</v>
      </c>
      <c r="AU29" s="52" t="s">
        <v>511</v>
      </c>
      <c r="AV29" s="52">
        <v>1</v>
      </c>
      <c r="AW29" s="52">
        <v>5</v>
      </c>
      <c r="AX29" s="52">
        <v>5</v>
      </c>
      <c r="AY29" s="52">
        <v>10000</v>
      </c>
      <c r="AZ29" s="52"/>
    </row>
    <row r="30" spans="1:52" ht="16.5" x14ac:dyDescent="0.2">
      <c r="M30" s="45">
        <v>4</v>
      </c>
      <c r="N30" s="45">
        <v>3</v>
      </c>
      <c r="O30" s="45">
        <f t="shared" si="13"/>
        <v>3.54</v>
      </c>
      <c r="P30" s="45"/>
      <c r="Q30" s="45"/>
      <c r="R30" s="45"/>
      <c r="S30" s="45"/>
      <c r="T30" s="45">
        <v>0.46</v>
      </c>
      <c r="U30" s="45"/>
      <c r="V30" s="49">
        <v>400</v>
      </c>
      <c r="W30" s="49" t="s">
        <v>493</v>
      </c>
      <c r="X30" s="49"/>
      <c r="Y30" s="49">
        <v>2</v>
      </c>
      <c r="Z30" s="49"/>
      <c r="AA30" s="49">
        <f t="shared" si="9"/>
        <v>1.6</v>
      </c>
      <c r="AB30" s="49">
        <v>3</v>
      </c>
      <c r="AC30" s="49"/>
      <c r="AD30" s="49"/>
      <c r="AE30" s="49"/>
      <c r="AF30" s="49"/>
      <c r="AG30" s="49">
        <v>3</v>
      </c>
      <c r="AH30" s="15">
        <f>INT(AI30*价值概述!$B$52*$O$18+AJ30*价值概述!$B$53*$P$18+AK30*价值概述!$B$54*$Q$18)</f>
        <v>12228</v>
      </c>
      <c r="AI30" s="15">
        <f t="shared" si="10"/>
        <v>6.5217391304347823</v>
      </c>
      <c r="AJ30" s="15">
        <f t="shared" si="11"/>
        <v>0</v>
      </c>
      <c r="AK30" s="15">
        <f t="shared" si="12"/>
        <v>0</v>
      </c>
      <c r="AL30" s="49">
        <v>2.6700000000000002E-2</v>
      </c>
      <c r="AN30">
        <v>1</v>
      </c>
      <c r="AO30">
        <f>SUM(AN$27:AN30)</f>
        <v>4</v>
      </c>
      <c r="AS30" s="52">
        <v>7002</v>
      </c>
      <c r="AT30" s="52" t="s">
        <v>507</v>
      </c>
      <c r="AU30" s="52" t="s">
        <v>512</v>
      </c>
      <c r="AV30" s="52">
        <v>1</v>
      </c>
      <c r="AW30" s="52">
        <v>3000</v>
      </c>
      <c r="AX30" s="52">
        <v>3000</v>
      </c>
      <c r="AY30" s="52">
        <v>10000</v>
      </c>
      <c r="AZ30" s="52"/>
    </row>
    <row r="31" spans="1:52" ht="16.5" x14ac:dyDescent="0.2">
      <c r="M31" s="45">
        <v>5</v>
      </c>
      <c r="N31" s="45">
        <v>5</v>
      </c>
      <c r="O31" s="45">
        <f t="shared" si="13"/>
        <v>5.89</v>
      </c>
      <c r="P31" s="45"/>
      <c r="Q31" s="45"/>
      <c r="R31" s="45"/>
      <c r="S31" s="45"/>
      <c r="T31" s="45">
        <v>0.44</v>
      </c>
      <c r="U31" s="45"/>
      <c r="V31" s="49">
        <v>500</v>
      </c>
      <c r="W31" s="49" t="s">
        <v>493</v>
      </c>
      <c r="X31" s="49"/>
      <c r="Y31" s="49">
        <v>2</v>
      </c>
      <c r="Z31" s="49"/>
      <c r="AA31" s="49">
        <f t="shared" si="9"/>
        <v>2.6</v>
      </c>
      <c r="AB31" s="49">
        <v>4</v>
      </c>
      <c r="AC31" s="49"/>
      <c r="AD31" s="49"/>
      <c r="AE31" s="49"/>
      <c r="AF31" s="49"/>
      <c r="AG31" s="49">
        <v>3</v>
      </c>
      <c r="AH31" s="15">
        <f>INT(AI31*价值概述!$B$52*$O$18+AJ31*价值概述!$B$53*$P$18+AK31*价值概述!$B$54*$Q$18)</f>
        <v>17045</v>
      </c>
      <c r="AI31" s="15">
        <f t="shared" si="10"/>
        <v>9.0909090909090917</v>
      </c>
      <c r="AJ31" s="15">
        <f t="shared" si="11"/>
        <v>0</v>
      </c>
      <c r="AK31" s="15">
        <f t="shared" si="12"/>
        <v>0</v>
      </c>
      <c r="AL31" s="49">
        <v>3.3300000000000003E-2</v>
      </c>
      <c r="AN31">
        <v>1</v>
      </c>
      <c r="AO31">
        <f>SUM(AN$27:AN31)</f>
        <v>5</v>
      </c>
      <c r="AS31" s="52"/>
      <c r="AT31" s="52"/>
      <c r="AU31" s="52"/>
      <c r="AV31" s="52"/>
      <c r="AW31" s="52"/>
      <c r="AX31" s="52"/>
      <c r="AY31" s="52"/>
      <c r="AZ31" s="52"/>
    </row>
    <row r="32" spans="1:52" ht="16.5" x14ac:dyDescent="0.2">
      <c r="M32" s="45">
        <v>6</v>
      </c>
      <c r="N32" s="45">
        <v>5.5</v>
      </c>
      <c r="O32" s="45">
        <f t="shared" si="13"/>
        <v>6.48</v>
      </c>
      <c r="P32" s="45"/>
      <c r="Q32" s="45"/>
      <c r="R32" s="45"/>
      <c r="S32" s="45"/>
      <c r="T32" s="45">
        <v>0.42</v>
      </c>
      <c r="U32" s="45"/>
      <c r="V32" s="49">
        <v>600</v>
      </c>
      <c r="W32" s="49" t="s">
        <v>493</v>
      </c>
      <c r="X32" s="49"/>
      <c r="Y32" s="49">
        <v>2</v>
      </c>
      <c r="Z32" s="49"/>
      <c r="AA32" s="49">
        <f t="shared" si="9"/>
        <v>2.7</v>
      </c>
      <c r="AB32" s="49">
        <v>5</v>
      </c>
      <c r="AC32" s="49"/>
      <c r="AD32" s="49"/>
      <c r="AE32" s="49"/>
      <c r="AF32" s="49"/>
      <c r="AG32" s="49">
        <v>4</v>
      </c>
      <c r="AH32" s="15">
        <f>INT(AI32*价值概述!$B$52*$O$18+AJ32*价值概述!$B$53*$P$18+AK32*价值概述!$B$54*$Q$18)</f>
        <v>22321</v>
      </c>
      <c r="AI32" s="15">
        <f t="shared" si="10"/>
        <v>11.904761904761905</v>
      </c>
      <c r="AJ32" s="15">
        <f t="shared" si="11"/>
        <v>0</v>
      </c>
      <c r="AK32" s="15">
        <f t="shared" si="12"/>
        <v>0</v>
      </c>
      <c r="AL32" s="49">
        <v>0.04</v>
      </c>
      <c r="AN32">
        <v>1</v>
      </c>
      <c r="AO32">
        <f>SUM(AN$27:AN32)</f>
        <v>6</v>
      </c>
    </row>
    <row r="33" spans="13:41" ht="16.5" x14ac:dyDescent="0.2">
      <c r="M33" s="45">
        <v>7</v>
      </c>
      <c r="N33" s="45">
        <v>6</v>
      </c>
      <c r="O33" s="45">
        <f t="shared" si="13"/>
        <v>7.07</v>
      </c>
      <c r="P33" s="45"/>
      <c r="Q33" s="45"/>
      <c r="R33" s="45"/>
      <c r="S33" s="45"/>
      <c r="T33" s="45">
        <v>0.4</v>
      </c>
      <c r="U33" s="45"/>
      <c r="V33" s="49">
        <v>700</v>
      </c>
      <c r="W33" s="49" t="s">
        <v>493</v>
      </c>
      <c r="X33" s="49"/>
      <c r="Y33" s="49">
        <v>2</v>
      </c>
      <c r="Z33" s="49"/>
      <c r="AA33" s="49">
        <f t="shared" si="9"/>
        <v>2.8</v>
      </c>
      <c r="AB33" s="49">
        <v>5</v>
      </c>
      <c r="AC33" s="49"/>
      <c r="AD33" s="49"/>
      <c r="AE33" s="49"/>
      <c r="AF33" s="49"/>
      <c r="AG33" s="49">
        <v>4</v>
      </c>
      <c r="AH33" s="15">
        <f>INT(AI33*价值概述!$B$52*$O$18+AJ33*价值概述!$B$53*$P$18+AK33*价值概述!$B$54*$Q$18)</f>
        <v>23437</v>
      </c>
      <c r="AI33" s="15">
        <f t="shared" si="10"/>
        <v>12.5</v>
      </c>
      <c r="AJ33" s="15">
        <f t="shared" si="11"/>
        <v>0</v>
      </c>
      <c r="AK33" s="15">
        <f t="shared" si="12"/>
        <v>0</v>
      </c>
      <c r="AL33" s="49">
        <v>4.6699999999999998E-2</v>
      </c>
      <c r="AN33">
        <v>1</v>
      </c>
      <c r="AO33">
        <f>SUM(AN$27:AN33)</f>
        <v>7</v>
      </c>
    </row>
    <row r="34" spans="13:41" ht="16.5" x14ac:dyDescent="0.2">
      <c r="M34" s="45">
        <v>8</v>
      </c>
      <c r="N34" s="45">
        <v>6.5</v>
      </c>
      <c r="O34" s="45">
        <f t="shared" si="13"/>
        <v>7.66</v>
      </c>
      <c r="P34" s="45"/>
      <c r="Q34" s="45"/>
      <c r="R34" s="45"/>
      <c r="S34" s="45"/>
      <c r="T34" s="45">
        <v>0.38</v>
      </c>
      <c r="U34" s="45"/>
      <c r="V34" s="49">
        <v>800</v>
      </c>
      <c r="W34" s="49" t="s">
        <v>493</v>
      </c>
      <c r="X34" s="49"/>
      <c r="Y34" s="49">
        <v>2</v>
      </c>
      <c r="Z34" s="49"/>
      <c r="AA34" s="49">
        <f t="shared" si="9"/>
        <v>2.9</v>
      </c>
      <c r="AB34" s="49">
        <v>5</v>
      </c>
      <c r="AC34" s="49"/>
      <c r="AD34" s="49"/>
      <c r="AE34" s="49"/>
      <c r="AF34" s="49"/>
      <c r="AG34" s="49">
        <v>5</v>
      </c>
      <c r="AH34" s="15">
        <f>INT(AI34*价值概述!$B$52*$O$18+AJ34*价值概述!$B$53*$P$18+AK34*价值概述!$B$54*$Q$18)</f>
        <v>24671</v>
      </c>
      <c r="AI34" s="15">
        <f t="shared" si="10"/>
        <v>13.157894736842104</v>
      </c>
      <c r="AJ34" s="15">
        <f t="shared" si="11"/>
        <v>0</v>
      </c>
      <c r="AK34" s="15">
        <f t="shared" si="12"/>
        <v>0</v>
      </c>
      <c r="AL34" s="49">
        <v>5.33E-2</v>
      </c>
      <c r="AN34">
        <v>1</v>
      </c>
      <c r="AO34">
        <f>SUM(AN$27:AN34)</f>
        <v>8</v>
      </c>
    </row>
    <row r="35" spans="13:41" ht="16.5" x14ac:dyDescent="0.2">
      <c r="M35" s="45">
        <v>9</v>
      </c>
      <c r="N35" s="45">
        <v>7</v>
      </c>
      <c r="O35" s="45">
        <f t="shared" si="13"/>
        <v>8.25</v>
      </c>
      <c r="P35" s="45"/>
      <c r="Q35" s="45"/>
      <c r="R35" s="45"/>
      <c r="S35" s="45"/>
      <c r="T35" s="45">
        <v>0.36</v>
      </c>
      <c r="U35" s="45"/>
      <c r="V35" s="49">
        <v>900</v>
      </c>
      <c r="W35" s="49" t="s">
        <v>493</v>
      </c>
      <c r="X35" s="49"/>
      <c r="Y35" s="49">
        <v>2</v>
      </c>
      <c r="Z35" s="49"/>
      <c r="AA35" s="49">
        <f t="shared" si="9"/>
        <v>3</v>
      </c>
      <c r="AB35" s="49">
        <v>5</v>
      </c>
      <c r="AC35" s="49"/>
      <c r="AD35" s="49"/>
      <c r="AE35" s="49"/>
      <c r="AF35" s="49"/>
      <c r="AG35" s="49">
        <v>5</v>
      </c>
      <c r="AH35" s="15">
        <f>INT(AI35*价值概述!$B$52*$O$18+AJ35*价值概述!$B$53*$P$18+AK35*价值概述!$B$54*$Q$18)</f>
        <v>26041</v>
      </c>
      <c r="AI35" s="15">
        <f t="shared" si="10"/>
        <v>13.888888888888889</v>
      </c>
      <c r="AJ35" s="15">
        <f t="shared" si="11"/>
        <v>0</v>
      </c>
      <c r="AK35" s="15">
        <f t="shared" si="12"/>
        <v>0</v>
      </c>
      <c r="AL35" s="49">
        <v>0.06</v>
      </c>
      <c r="AN35">
        <v>1</v>
      </c>
      <c r="AO35">
        <f>SUM(AN$27:AN35)</f>
        <v>9</v>
      </c>
    </row>
    <row r="36" spans="13:41" ht="16.5" x14ac:dyDescent="0.2">
      <c r="M36" s="45">
        <v>10</v>
      </c>
      <c r="N36" s="45">
        <v>15</v>
      </c>
      <c r="O36" s="45">
        <f t="shared" si="13"/>
        <v>17.68</v>
      </c>
      <c r="P36" s="45"/>
      <c r="Q36" s="45"/>
      <c r="R36" s="45"/>
      <c r="S36" s="45"/>
      <c r="T36" s="45">
        <v>0.35</v>
      </c>
      <c r="U36" s="45"/>
      <c r="V36" s="49">
        <v>1000</v>
      </c>
      <c r="W36" s="49" t="s">
        <v>493</v>
      </c>
      <c r="X36" s="49"/>
      <c r="Y36" s="49">
        <v>2</v>
      </c>
      <c r="Z36" s="49"/>
      <c r="AA36" s="49">
        <f t="shared" si="9"/>
        <v>6.2</v>
      </c>
      <c r="AB36" s="49">
        <v>7</v>
      </c>
      <c r="AC36" s="49"/>
      <c r="AD36" s="49"/>
      <c r="AE36" s="49"/>
      <c r="AF36" s="49"/>
      <c r="AG36" s="49">
        <v>5</v>
      </c>
      <c r="AH36" s="15">
        <f>INT(AI36*价值概述!$B$52*$O$18+AJ36*价值概述!$B$53*$P$18+AK36*价值概述!$B$54*$Q$18)</f>
        <v>37500</v>
      </c>
      <c r="AI36" s="15">
        <f t="shared" si="10"/>
        <v>20</v>
      </c>
      <c r="AJ36" s="15">
        <f t="shared" si="11"/>
        <v>0</v>
      </c>
      <c r="AK36" s="15">
        <f t="shared" si="12"/>
        <v>0</v>
      </c>
      <c r="AL36" s="49">
        <v>6.6699999999999995E-2</v>
      </c>
      <c r="AN36">
        <v>1</v>
      </c>
      <c r="AO36">
        <f>SUM(AN$27:AN36)</f>
        <v>10</v>
      </c>
    </row>
    <row r="37" spans="13:41" ht="16.5" x14ac:dyDescent="0.2">
      <c r="M37" s="45">
        <v>11</v>
      </c>
      <c r="N37" s="45">
        <f>N36*1.15</f>
        <v>17.25</v>
      </c>
      <c r="O37" s="45">
        <f t="shared" si="13"/>
        <v>20.329999999999998</v>
      </c>
      <c r="P37" s="45"/>
      <c r="Q37" s="45"/>
      <c r="R37" s="45"/>
      <c r="S37" s="45"/>
      <c r="T37" s="45">
        <v>0.33</v>
      </c>
      <c r="U37" s="45"/>
      <c r="V37" s="49">
        <v>1000</v>
      </c>
      <c r="W37" s="49" t="s">
        <v>493</v>
      </c>
      <c r="X37" s="49"/>
      <c r="Y37" s="49">
        <v>2</v>
      </c>
      <c r="Z37" s="49"/>
      <c r="AA37" s="49">
        <f t="shared" si="9"/>
        <v>6.7</v>
      </c>
      <c r="AB37" s="49">
        <v>7</v>
      </c>
      <c r="AC37" s="49"/>
      <c r="AD37" s="49"/>
      <c r="AE37" s="49"/>
      <c r="AF37" s="49"/>
      <c r="AG37" s="49">
        <v>6</v>
      </c>
      <c r="AH37" s="15">
        <f>INT(AI37*价值概述!$B$52*$O$18+AJ37*价值概述!$B$53*$P$18+AK37*价值概述!$B$54*$Q$18)</f>
        <v>39772</v>
      </c>
      <c r="AI37" s="15">
        <f t="shared" si="10"/>
        <v>21.212121212121211</v>
      </c>
      <c r="AJ37" s="15">
        <f t="shared" si="11"/>
        <v>0</v>
      </c>
      <c r="AK37" s="15">
        <f t="shared" si="12"/>
        <v>0</v>
      </c>
      <c r="AL37" s="49">
        <v>0.08</v>
      </c>
      <c r="AN37">
        <v>2</v>
      </c>
      <c r="AO37">
        <f>SUM(AN$27:AN37)</f>
        <v>12</v>
      </c>
    </row>
    <row r="38" spans="13:41" ht="16.5" x14ac:dyDescent="0.2">
      <c r="M38" s="45">
        <v>12</v>
      </c>
      <c r="N38" s="45">
        <f t="shared" ref="N38:N45" si="14">N37*1.15</f>
        <v>19.837499999999999</v>
      </c>
      <c r="O38" s="45">
        <f t="shared" si="13"/>
        <v>23.38</v>
      </c>
      <c r="P38" s="45"/>
      <c r="Q38" s="45"/>
      <c r="R38" s="45"/>
      <c r="S38" s="45"/>
      <c r="T38" s="45">
        <v>0.31</v>
      </c>
      <c r="U38" s="45"/>
      <c r="V38" s="49">
        <v>1000</v>
      </c>
      <c r="W38" s="49" t="s">
        <v>493</v>
      </c>
      <c r="X38" s="49"/>
      <c r="Y38" s="49">
        <v>2</v>
      </c>
      <c r="Z38" s="49"/>
      <c r="AA38" s="49">
        <f t="shared" si="9"/>
        <v>7.2</v>
      </c>
      <c r="AB38" s="49">
        <v>7</v>
      </c>
      <c r="AC38" s="49"/>
      <c r="AD38" s="49"/>
      <c r="AE38" s="49"/>
      <c r="AF38" s="49"/>
      <c r="AG38" s="49">
        <v>6</v>
      </c>
      <c r="AH38" s="15">
        <f>INT(AI38*价值概述!$B$52*$O$18+AJ38*价值概述!$B$53*$P$18+AK38*价值概述!$B$54*$Q$18)</f>
        <v>42338</v>
      </c>
      <c r="AI38" s="15">
        <f t="shared" si="10"/>
        <v>22.580645161290324</v>
      </c>
      <c r="AJ38" s="15">
        <f t="shared" si="11"/>
        <v>0</v>
      </c>
      <c r="AK38" s="15">
        <f t="shared" si="12"/>
        <v>0</v>
      </c>
      <c r="AL38" s="49">
        <v>9.3299999999999994E-2</v>
      </c>
      <c r="AN38">
        <v>2</v>
      </c>
      <c r="AO38">
        <f>SUM(AN$27:AN38)</f>
        <v>14</v>
      </c>
    </row>
    <row r="39" spans="13:41" ht="16.5" x14ac:dyDescent="0.2">
      <c r="M39" s="45">
        <v>13</v>
      </c>
      <c r="N39" s="45">
        <f t="shared" si="14"/>
        <v>22.813124999999996</v>
      </c>
      <c r="O39" s="45">
        <f t="shared" si="13"/>
        <v>26.88</v>
      </c>
      <c r="P39" s="45"/>
      <c r="Q39" s="45"/>
      <c r="R39" s="45"/>
      <c r="S39" s="45"/>
      <c r="T39" s="45">
        <v>0.28999999999999998</v>
      </c>
      <c r="U39" s="45"/>
      <c r="V39" s="49">
        <v>1000</v>
      </c>
      <c r="W39" s="49" t="s">
        <v>493</v>
      </c>
      <c r="X39" s="49"/>
      <c r="Y39" s="49">
        <v>2</v>
      </c>
      <c r="Z39" s="49"/>
      <c r="AA39" s="49">
        <f t="shared" si="9"/>
        <v>7.8</v>
      </c>
      <c r="AB39" s="49">
        <v>7</v>
      </c>
      <c r="AC39" s="49"/>
      <c r="AD39" s="49"/>
      <c r="AE39" s="49"/>
      <c r="AF39" s="49"/>
      <c r="AG39" s="49">
        <v>7</v>
      </c>
      <c r="AH39" s="15">
        <f>INT(AI39*价值概述!$B$52*$O$18+AJ39*价值概述!$B$53*$P$18+AK39*价值概述!$B$54*$Q$18)</f>
        <v>45258</v>
      </c>
      <c r="AI39" s="15">
        <f t="shared" si="10"/>
        <v>24.137931034482762</v>
      </c>
      <c r="AJ39" s="15">
        <f t="shared" si="11"/>
        <v>0</v>
      </c>
      <c r="AK39" s="15">
        <f t="shared" si="12"/>
        <v>0</v>
      </c>
      <c r="AL39" s="49">
        <v>0.1067</v>
      </c>
      <c r="AN39">
        <v>2</v>
      </c>
      <c r="AO39">
        <f>SUM(AN$27:AN39)</f>
        <v>16</v>
      </c>
    </row>
    <row r="40" spans="13:41" ht="16.5" x14ac:dyDescent="0.2">
      <c r="M40" s="45">
        <v>14</v>
      </c>
      <c r="N40" s="45">
        <f t="shared" si="14"/>
        <v>26.235093749999994</v>
      </c>
      <c r="O40" s="45">
        <f t="shared" si="13"/>
        <v>30.92</v>
      </c>
      <c r="P40" s="45"/>
      <c r="Q40" s="45"/>
      <c r="R40" s="45"/>
      <c r="S40" s="45"/>
      <c r="T40" s="45">
        <v>0.27</v>
      </c>
      <c r="U40" s="45"/>
      <c r="V40" s="49">
        <v>1000</v>
      </c>
      <c r="W40" s="49" t="s">
        <v>493</v>
      </c>
      <c r="X40" s="49"/>
      <c r="Y40" s="49">
        <v>2</v>
      </c>
      <c r="Z40" s="49"/>
      <c r="AA40" s="49">
        <f t="shared" si="9"/>
        <v>8.3000000000000007</v>
      </c>
      <c r="AB40" s="49">
        <v>7</v>
      </c>
      <c r="AC40" s="49"/>
      <c r="AD40" s="49"/>
      <c r="AE40" s="49"/>
      <c r="AF40" s="49"/>
      <c r="AG40" s="49">
        <v>7</v>
      </c>
      <c r="AH40" s="15">
        <f>INT(AI40*价值概述!$B$52*$O$18+AJ40*价值概述!$B$53*$P$18+AK40*价值概述!$B$54*$Q$18)</f>
        <v>48611</v>
      </c>
      <c r="AI40" s="15">
        <f t="shared" si="10"/>
        <v>25.925925925925924</v>
      </c>
      <c r="AJ40" s="15">
        <f t="shared" si="11"/>
        <v>0</v>
      </c>
      <c r="AK40" s="15">
        <f t="shared" si="12"/>
        <v>0</v>
      </c>
      <c r="AL40" s="49">
        <v>0.12</v>
      </c>
      <c r="AN40">
        <v>2</v>
      </c>
      <c r="AO40">
        <f>SUM(AN$27:AN40)</f>
        <v>18</v>
      </c>
    </row>
    <row r="41" spans="13:41" ht="16.5" x14ac:dyDescent="0.2">
      <c r="M41" s="45">
        <v>15</v>
      </c>
      <c r="N41" s="45">
        <f t="shared" si="14"/>
        <v>30.17035781249999</v>
      </c>
      <c r="O41" s="45">
        <f t="shared" si="13"/>
        <v>35.56</v>
      </c>
      <c r="P41" s="45"/>
      <c r="Q41" s="45"/>
      <c r="R41" s="45"/>
      <c r="S41" s="45"/>
      <c r="T41" s="45">
        <v>0.25</v>
      </c>
      <c r="U41" s="45"/>
      <c r="V41" s="49">
        <v>1000</v>
      </c>
      <c r="W41" s="49" t="s">
        <v>493</v>
      </c>
      <c r="X41" s="49"/>
      <c r="Y41" s="49">
        <v>2</v>
      </c>
      <c r="Z41" s="49"/>
      <c r="AA41" s="49">
        <f t="shared" si="9"/>
        <v>8.9</v>
      </c>
      <c r="AB41" s="49">
        <v>10</v>
      </c>
      <c r="AC41" s="49"/>
      <c r="AD41" s="49"/>
      <c r="AE41" s="49"/>
      <c r="AF41" s="49"/>
      <c r="AG41" s="49">
        <v>8</v>
      </c>
      <c r="AH41" s="15">
        <f>INT(AI41*价值概述!$B$52*$O$18+AJ41*价值概述!$B$53*$P$18+AK41*价值概述!$B$54*$Q$18)</f>
        <v>75000</v>
      </c>
      <c r="AI41" s="15">
        <f t="shared" si="10"/>
        <v>40</v>
      </c>
      <c r="AJ41" s="15">
        <f t="shared" si="11"/>
        <v>0</v>
      </c>
      <c r="AK41" s="15">
        <f t="shared" si="12"/>
        <v>0</v>
      </c>
      <c r="AL41" s="49">
        <v>0.1333</v>
      </c>
      <c r="AN41">
        <v>2</v>
      </c>
      <c r="AO41">
        <f>SUM(AN$27:AN41)</f>
        <v>20</v>
      </c>
    </row>
    <row r="42" spans="13:41" ht="16.5" x14ac:dyDescent="0.2">
      <c r="M42" s="45">
        <v>16</v>
      </c>
      <c r="N42" s="45">
        <f t="shared" si="14"/>
        <v>34.695911484374989</v>
      </c>
      <c r="O42" s="45">
        <f t="shared" si="13"/>
        <v>40.89</v>
      </c>
      <c r="P42" s="45"/>
      <c r="Q42" s="45"/>
      <c r="R42" s="45"/>
      <c r="S42" s="45"/>
      <c r="T42" s="45">
        <v>0.23</v>
      </c>
      <c r="U42" s="45"/>
      <c r="V42" s="49">
        <v>1000</v>
      </c>
      <c r="W42" s="49" t="s">
        <v>493</v>
      </c>
      <c r="X42" s="49"/>
      <c r="Y42" s="49">
        <v>2</v>
      </c>
      <c r="Z42" s="49"/>
      <c r="AA42" s="49">
        <f t="shared" si="9"/>
        <v>9.4</v>
      </c>
      <c r="AB42" s="49">
        <v>10</v>
      </c>
      <c r="AC42" s="49"/>
      <c r="AD42" s="49"/>
      <c r="AE42" s="49"/>
      <c r="AF42" s="49"/>
      <c r="AG42" s="49">
        <v>9</v>
      </c>
      <c r="AH42" s="15">
        <f>INT(AI42*价值概述!$B$52*$O$18+AJ42*价值概述!$B$53*$P$18+AK42*价值概述!$B$54*$Q$18)</f>
        <v>81521</v>
      </c>
      <c r="AI42" s="15">
        <f t="shared" si="10"/>
        <v>43.478260869565219</v>
      </c>
      <c r="AJ42" s="15">
        <f t="shared" si="11"/>
        <v>0</v>
      </c>
      <c r="AK42" s="15">
        <f t="shared" si="12"/>
        <v>0</v>
      </c>
      <c r="AL42" s="49">
        <v>0.1467</v>
      </c>
      <c r="AN42">
        <v>2</v>
      </c>
      <c r="AO42">
        <f>SUM(AN$27:AN42)</f>
        <v>22</v>
      </c>
    </row>
    <row r="43" spans="13:41" ht="16.5" x14ac:dyDescent="0.2">
      <c r="M43" s="45">
        <v>17</v>
      </c>
      <c r="N43" s="45">
        <f t="shared" si="14"/>
        <v>39.900298207031234</v>
      </c>
      <c r="O43" s="45">
        <f t="shared" si="13"/>
        <v>47.02</v>
      </c>
      <c r="P43" s="45"/>
      <c r="Q43" s="45"/>
      <c r="R43" s="45"/>
      <c r="S43" s="45"/>
      <c r="T43" s="45">
        <v>0.21</v>
      </c>
      <c r="U43" s="45"/>
      <c r="V43" s="49">
        <v>1000</v>
      </c>
      <c r="W43" s="49" t="s">
        <v>493</v>
      </c>
      <c r="X43" s="49"/>
      <c r="Y43" s="49">
        <v>2</v>
      </c>
      <c r="Z43" s="49"/>
      <c r="AA43" s="49">
        <f t="shared" si="9"/>
        <v>9.9</v>
      </c>
      <c r="AB43" s="49">
        <v>10</v>
      </c>
      <c r="AC43" s="49"/>
      <c r="AD43" s="49"/>
      <c r="AE43" s="49"/>
      <c r="AF43" s="49"/>
      <c r="AG43" s="49">
        <v>10</v>
      </c>
      <c r="AH43" s="15">
        <f>INT(AI43*价值概述!$B$52*$O$18+AJ43*价值概述!$B$53*$P$18+AK43*价值概述!$B$54*$Q$18)</f>
        <v>89285</v>
      </c>
      <c r="AI43" s="15">
        <f t="shared" si="10"/>
        <v>47.61904761904762</v>
      </c>
      <c r="AJ43" s="15">
        <f t="shared" si="11"/>
        <v>0</v>
      </c>
      <c r="AK43" s="15">
        <f t="shared" si="12"/>
        <v>0</v>
      </c>
      <c r="AL43" s="49">
        <v>0.16</v>
      </c>
      <c r="AN43">
        <v>2</v>
      </c>
      <c r="AO43">
        <f>SUM(AN$27:AN43)</f>
        <v>24</v>
      </c>
    </row>
    <row r="44" spans="13:41" ht="16.5" x14ac:dyDescent="0.2">
      <c r="M44" s="45">
        <v>18</v>
      </c>
      <c r="N44" s="45">
        <f t="shared" si="14"/>
        <v>45.885342938085913</v>
      </c>
      <c r="O44" s="45">
        <f t="shared" si="13"/>
        <v>54.08</v>
      </c>
      <c r="P44" s="45"/>
      <c r="Q44" s="45"/>
      <c r="R44" s="45"/>
      <c r="S44" s="45"/>
      <c r="T44" s="45">
        <v>0.19</v>
      </c>
      <c r="U44" s="45"/>
      <c r="V44" s="49">
        <v>1000</v>
      </c>
      <c r="W44" s="49" t="s">
        <v>493</v>
      </c>
      <c r="X44" s="49"/>
      <c r="Y44" s="49">
        <v>2</v>
      </c>
      <c r="Z44" s="49"/>
      <c r="AA44" s="49">
        <f t="shared" si="9"/>
        <v>10.3</v>
      </c>
      <c r="AB44" s="49">
        <v>10</v>
      </c>
      <c r="AC44" s="49"/>
      <c r="AD44" s="49"/>
      <c r="AE44" s="49"/>
      <c r="AF44" s="49"/>
      <c r="AG44" s="49">
        <v>11</v>
      </c>
      <c r="AH44" s="15">
        <f>INT(AI44*价值概述!$B$52*$O$18+AJ44*价值概述!$B$53*$P$18+AK44*价值概述!$B$54*$Q$18)</f>
        <v>98684</v>
      </c>
      <c r="AI44" s="15">
        <f t="shared" si="10"/>
        <v>52.631578947368418</v>
      </c>
      <c r="AJ44" s="15">
        <f t="shared" si="11"/>
        <v>0</v>
      </c>
      <c r="AK44" s="15">
        <f t="shared" si="12"/>
        <v>0</v>
      </c>
      <c r="AL44" s="49">
        <v>0.17330000000000001</v>
      </c>
      <c r="AN44">
        <v>2</v>
      </c>
      <c r="AO44">
        <f>SUM(AN$27:AN44)</f>
        <v>26</v>
      </c>
    </row>
    <row r="45" spans="13:41" ht="16.5" x14ac:dyDescent="0.2">
      <c r="M45" s="45">
        <v>19</v>
      </c>
      <c r="N45" s="45">
        <f t="shared" si="14"/>
        <v>52.768144378798794</v>
      </c>
      <c r="O45" s="45">
        <f t="shared" si="13"/>
        <v>62.19</v>
      </c>
      <c r="P45" s="45"/>
      <c r="Q45" s="45"/>
      <c r="R45" s="45"/>
      <c r="S45" s="45"/>
      <c r="T45" s="45">
        <v>0.17</v>
      </c>
      <c r="U45" s="45"/>
      <c r="V45" s="49">
        <v>1000</v>
      </c>
      <c r="W45" s="49" t="s">
        <v>493</v>
      </c>
      <c r="X45" s="49"/>
      <c r="Y45" s="49">
        <v>2</v>
      </c>
      <c r="Z45" s="49"/>
      <c r="AA45" s="49">
        <f t="shared" si="9"/>
        <v>10.6</v>
      </c>
      <c r="AB45" s="49">
        <v>10</v>
      </c>
      <c r="AC45" s="49"/>
      <c r="AD45" s="49"/>
      <c r="AE45" s="49"/>
      <c r="AF45" s="49"/>
      <c r="AG45" s="49">
        <v>12</v>
      </c>
      <c r="AH45" s="15">
        <f>INT(AI45*价值概述!$B$52*$O$18+AJ45*价值概述!$B$53*$P$18+AK45*价值概述!$B$54*$Q$18)</f>
        <v>110294</v>
      </c>
      <c r="AI45" s="15">
        <f t="shared" si="10"/>
        <v>58.823529411764703</v>
      </c>
      <c r="AJ45" s="15">
        <f t="shared" si="11"/>
        <v>0</v>
      </c>
      <c r="AK45" s="15">
        <f t="shared" si="12"/>
        <v>0</v>
      </c>
      <c r="AL45" s="49">
        <v>0.1867</v>
      </c>
      <c r="AN45">
        <v>2</v>
      </c>
      <c r="AO45">
        <f>SUM(AN$27:AN45)</f>
        <v>28</v>
      </c>
    </row>
    <row r="46" spans="13:41" ht="16.5" x14ac:dyDescent="0.2">
      <c r="M46" s="45">
        <v>20</v>
      </c>
      <c r="N46" s="45">
        <v>85</v>
      </c>
      <c r="O46" s="45">
        <f t="shared" si="13"/>
        <v>100.17</v>
      </c>
      <c r="P46" s="45">
        <v>10</v>
      </c>
      <c r="Q46" s="45">
        <f>ROUND(P46/$P$25*P$20,2)</f>
        <v>48.64</v>
      </c>
      <c r="R46" s="45"/>
      <c r="S46" s="45"/>
      <c r="T46" s="45">
        <v>0.15</v>
      </c>
      <c r="U46" s="45"/>
      <c r="V46" s="49">
        <v>5000</v>
      </c>
      <c r="W46" s="49" t="s">
        <v>493</v>
      </c>
      <c r="X46" s="49" t="s">
        <v>494</v>
      </c>
      <c r="Y46" s="49">
        <v>2</v>
      </c>
      <c r="Z46" s="49">
        <v>4</v>
      </c>
      <c r="AA46" s="49">
        <f t="shared" si="9"/>
        <v>15</v>
      </c>
      <c r="AB46" s="49">
        <v>15</v>
      </c>
      <c r="AC46" s="49">
        <f t="shared" ref="AC46:AC65" si="15">ROUND(Q46*T46,1)</f>
        <v>7.3</v>
      </c>
      <c r="AD46" s="49">
        <v>7</v>
      </c>
      <c r="AE46" s="49"/>
      <c r="AF46" s="49"/>
      <c r="AG46" s="49">
        <v>15</v>
      </c>
      <c r="AH46" s="15">
        <f>INT(AI46*价值概述!$B$52*$O$18+AJ46*价值概述!$B$53*$P$18+AK46*价值概述!$B$54*$Q$18)</f>
        <v>339166</v>
      </c>
      <c r="AI46" s="15">
        <f t="shared" si="10"/>
        <v>100</v>
      </c>
      <c r="AJ46" s="15">
        <f t="shared" si="11"/>
        <v>46.666666666666671</v>
      </c>
      <c r="AK46" s="15">
        <f t="shared" si="12"/>
        <v>0</v>
      </c>
      <c r="AL46" s="49">
        <v>0.2</v>
      </c>
      <c r="AN46">
        <v>2</v>
      </c>
      <c r="AO46">
        <f>SUM(AN$27:AN46)</f>
        <v>30</v>
      </c>
    </row>
    <row r="47" spans="13:41" ht="16.5" x14ac:dyDescent="0.2">
      <c r="M47" s="45">
        <v>21</v>
      </c>
      <c r="N47" s="45">
        <v>85</v>
      </c>
      <c r="O47" s="45">
        <f t="shared" si="13"/>
        <v>100.17</v>
      </c>
      <c r="P47" s="45">
        <v>10</v>
      </c>
      <c r="Q47" s="45">
        <f t="shared" ref="Q47:Q65" si="16">ROUND(P47/$P$25*P$20,2)</f>
        <v>48.64</v>
      </c>
      <c r="R47" s="45"/>
      <c r="S47" s="45"/>
      <c r="T47" s="45">
        <v>0.15</v>
      </c>
      <c r="U47" s="45"/>
      <c r="V47" s="49">
        <v>5000</v>
      </c>
      <c r="W47" s="49" t="s">
        <v>493</v>
      </c>
      <c r="X47" s="49" t="s">
        <v>494</v>
      </c>
      <c r="Y47" s="49">
        <v>2</v>
      </c>
      <c r="Z47" s="49">
        <v>4</v>
      </c>
      <c r="AA47" s="49">
        <f t="shared" si="9"/>
        <v>15</v>
      </c>
      <c r="AB47" s="49">
        <v>15</v>
      </c>
      <c r="AC47" s="49">
        <f t="shared" si="15"/>
        <v>7.3</v>
      </c>
      <c r="AD47" s="49">
        <v>7</v>
      </c>
      <c r="AE47" s="49"/>
      <c r="AF47" s="49"/>
      <c r="AG47" s="49">
        <v>15</v>
      </c>
      <c r="AH47" s="15">
        <f>INT(AI47*价值概述!$B$52*$O$18+AJ47*价值概述!$B$53*$P$18+AK47*价值概述!$B$54*$Q$18)</f>
        <v>339166</v>
      </c>
      <c r="AI47" s="15">
        <f t="shared" si="10"/>
        <v>100</v>
      </c>
      <c r="AJ47" s="15">
        <f t="shared" si="11"/>
        <v>46.666666666666671</v>
      </c>
      <c r="AK47" s="15">
        <f t="shared" si="12"/>
        <v>0</v>
      </c>
      <c r="AL47" s="49">
        <v>0.22</v>
      </c>
      <c r="AN47">
        <v>3</v>
      </c>
      <c r="AO47">
        <f>SUM(AN$27:AN47)</f>
        <v>33</v>
      </c>
    </row>
    <row r="48" spans="13:41" ht="16.5" x14ac:dyDescent="0.2">
      <c r="M48" s="45">
        <v>22</v>
      </c>
      <c r="N48" s="45">
        <v>85</v>
      </c>
      <c r="O48" s="45">
        <f t="shared" si="13"/>
        <v>100.17</v>
      </c>
      <c r="P48" s="45">
        <v>10</v>
      </c>
      <c r="Q48" s="45">
        <f t="shared" si="16"/>
        <v>48.64</v>
      </c>
      <c r="R48" s="45"/>
      <c r="S48" s="45"/>
      <c r="T48" s="45">
        <v>0.15</v>
      </c>
      <c r="U48" s="45"/>
      <c r="V48" s="49">
        <v>5000</v>
      </c>
      <c r="W48" s="49" t="s">
        <v>493</v>
      </c>
      <c r="X48" s="49" t="s">
        <v>494</v>
      </c>
      <c r="Y48" s="49">
        <v>2</v>
      </c>
      <c r="Z48" s="49">
        <v>4</v>
      </c>
      <c r="AA48" s="49">
        <f t="shared" si="9"/>
        <v>15</v>
      </c>
      <c r="AB48" s="49">
        <v>15</v>
      </c>
      <c r="AC48" s="49">
        <f t="shared" si="15"/>
        <v>7.3</v>
      </c>
      <c r="AD48" s="49">
        <v>7</v>
      </c>
      <c r="AE48" s="49"/>
      <c r="AF48" s="49"/>
      <c r="AG48" s="49">
        <v>15</v>
      </c>
      <c r="AH48" s="15">
        <f>INT(AI48*价值概述!$B$52*$O$18+AJ48*价值概述!$B$53*$P$18+AK48*价值概述!$B$54*$Q$18)</f>
        <v>339166</v>
      </c>
      <c r="AI48" s="15">
        <f t="shared" si="10"/>
        <v>100</v>
      </c>
      <c r="AJ48" s="15">
        <f t="shared" si="11"/>
        <v>46.666666666666671</v>
      </c>
      <c r="AK48" s="15">
        <f t="shared" si="12"/>
        <v>0</v>
      </c>
      <c r="AL48" s="49">
        <v>0.24</v>
      </c>
      <c r="AN48">
        <v>3</v>
      </c>
      <c r="AO48">
        <f>SUM(AN$27:AN48)</f>
        <v>36</v>
      </c>
    </row>
    <row r="49" spans="13:41" ht="16.5" x14ac:dyDescent="0.2">
      <c r="M49" s="45">
        <v>23</v>
      </c>
      <c r="N49" s="45">
        <v>85</v>
      </c>
      <c r="O49" s="45">
        <f t="shared" si="13"/>
        <v>100.17</v>
      </c>
      <c r="P49" s="45">
        <v>10</v>
      </c>
      <c r="Q49" s="45">
        <f t="shared" si="16"/>
        <v>48.64</v>
      </c>
      <c r="R49" s="45"/>
      <c r="S49" s="45"/>
      <c r="T49" s="45">
        <v>0.15</v>
      </c>
      <c r="U49" s="45"/>
      <c r="V49" s="49">
        <v>5000</v>
      </c>
      <c r="W49" s="49" t="s">
        <v>493</v>
      </c>
      <c r="X49" s="49" t="s">
        <v>494</v>
      </c>
      <c r="Y49" s="49">
        <v>2</v>
      </c>
      <c r="Z49" s="49">
        <v>4</v>
      </c>
      <c r="AA49" s="49">
        <f t="shared" si="9"/>
        <v>15</v>
      </c>
      <c r="AB49" s="49">
        <v>15</v>
      </c>
      <c r="AC49" s="49">
        <f t="shared" si="15"/>
        <v>7.3</v>
      </c>
      <c r="AD49" s="49">
        <v>7</v>
      </c>
      <c r="AE49" s="49"/>
      <c r="AF49" s="49"/>
      <c r="AG49" s="49">
        <v>18</v>
      </c>
      <c r="AH49" s="15">
        <f>INT(AI49*价值概述!$B$52*$O$18+AJ49*价值概述!$B$53*$P$18+AK49*价值概述!$B$54*$Q$18)</f>
        <v>339166</v>
      </c>
      <c r="AI49" s="15">
        <f t="shared" si="10"/>
        <v>100</v>
      </c>
      <c r="AJ49" s="15">
        <f t="shared" si="11"/>
        <v>46.666666666666671</v>
      </c>
      <c r="AK49" s="15">
        <f t="shared" si="12"/>
        <v>0</v>
      </c>
      <c r="AL49" s="49">
        <v>0.26</v>
      </c>
      <c r="AN49">
        <v>3</v>
      </c>
      <c r="AO49">
        <f>SUM(AN$27:AN49)</f>
        <v>39</v>
      </c>
    </row>
    <row r="50" spans="13:41" ht="16.5" x14ac:dyDescent="0.2">
      <c r="M50" s="45">
        <v>24</v>
      </c>
      <c r="N50" s="45">
        <v>85</v>
      </c>
      <c r="O50" s="45">
        <f t="shared" si="13"/>
        <v>100.17</v>
      </c>
      <c r="P50" s="45">
        <v>10</v>
      </c>
      <c r="Q50" s="45">
        <f t="shared" si="16"/>
        <v>48.64</v>
      </c>
      <c r="R50" s="45"/>
      <c r="S50" s="45"/>
      <c r="T50" s="45">
        <v>0.15</v>
      </c>
      <c r="U50" s="45"/>
      <c r="V50" s="49">
        <v>5000</v>
      </c>
      <c r="W50" s="49" t="s">
        <v>493</v>
      </c>
      <c r="X50" s="49" t="s">
        <v>494</v>
      </c>
      <c r="Y50" s="49">
        <v>2</v>
      </c>
      <c r="Z50" s="49">
        <v>4</v>
      </c>
      <c r="AA50" s="49">
        <f t="shared" si="9"/>
        <v>15</v>
      </c>
      <c r="AB50" s="49">
        <v>15</v>
      </c>
      <c r="AC50" s="49">
        <f t="shared" si="15"/>
        <v>7.3</v>
      </c>
      <c r="AD50" s="49">
        <v>7</v>
      </c>
      <c r="AE50" s="49"/>
      <c r="AF50" s="49"/>
      <c r="AG50" s="49">
        <v>18</v>
      </c>
      <c r="AH50" s="15">
        <f>INT(AI50*价值概述!$B$52*$O$18+AJ50*价值概述!$B$53*$P$18+AK50*价值概述!$B$54*$Q$18)</f>
        <v>339166</v>
      </c>
      <c r="AI50" s="15">
        <f t="shared" si="10"/>
        <v>100</v>
      </c>
      <c r="AJ50" s="15">
        <f t="shared" si="11"/>
        <v>46.666666666666671</v>
      </c>
      <c r="AK50" s="15">
        <f t="shared" si="12"/>
        <v>0</v>
      </c>
      <c r="AL50" s="49">
        <v>0.28000000000000003</v>
      </c>
      <c r="AN50">
        <v>3</v>
      </c>
      <c r="AO50">
        <f>SUM(AN$27:AN50)</f>
        <v>42</v>
      </c>
    </row>
    <row r="51" spans="13:41" ht="16.5" x14ac:dyDescent="0.2">
      <c r="M51" s="45">
        <v>25</v>
      </c>
      <c r="N51" s="45">
        <v>85</v>
      </c>
      <c r="O51" s="45">
        <f t="shared" si="13"/>
        <v>100.17</v>
      </c>
      <c r="P51" s="45">
        <v>10</v>
      </c>
      <c r="Q51" s="45">
        <f t="shared" si="16"/>
        <v>48.64</v>
      </c>
      <c r="R51" s="45"/>
      <c r="S51" s="45"/>
      <c r="T51" s="45">
        <v>0.15</v>
      </c>
      <c r="U51" s="45"/>
      <c r="V51" s="49">
        <v>5000</v>
      </c>
      <c r="W51" s="49" t="s">
        <v>493</v>
      </c>
      <c r="X51" s="49" t="s">
        <v>494</v>
      </c>
      <c r="Y51" s="49">
        <v>2</v>
      </c>
      <c r="Z51" s="49">
        <v>4</v>
      </c>
      <c r="AA51" s="49">
        <f t="shared" si="9"/>
        <v>15</v>
      </c>
      <c r="AB51" s="49">
        <v>15</v>
      </c>
      <c r="AC51" s="49">
        <f t="shared" si="15"/>
        <v>7.3</v>
      </c>
      <c r="AD51" s="49">
        <v>7</v>
      </c>
      <c r="AE51" s="49"/>
      <c r="AF51" s="49"/>
      <c r="AG51" s="49">
        <v>18</v>
      </c>
      <c r="AH51" s="15">
        <f>INT(AI51*价值概述!$B$52*$O$18+AJ51*价值概述!$B$53*$P$18+AK51*价值概述!$B$54*$Q$18)</f>
        <v>339166</v>
      </c>
      <c r="AI51" s="15">
        <f t="shared" si="10"/>
        <v>100</v>
      </c>
      <c r="AJ51" s="15">
        <f t="shared" si="11"/>
        <v>46.666666666666671</v>
      </c>
      <c r="AK51" s="15">
        <f t="shared" si="12"/>
        <v>0</v>
      </c>
      <c r="AL51" s="49">
        <v>0.3</v>
      </c>
      <c r="AN51">
        <v>3</v>
      </c>
      <c r="AO51">
        <f>SUM(AN$27:AN51)</f>
        <v>45</v>
      </c>
    </row>
    <row r="52" spans="13:41" ht="16.5" x14ac:dyDescent="0.2">
      <c r="M52" s="45">
        <v>26</v>
      </c>
      <c r="N52" s="45">
        <v>85</v>
      </c>
      <c r="O52" s="45">
        <f t="shared" si="13"/>
        <v>100.17</v>
      </c>
      <c r="P52" s="45">
        <v>10</v>
      </c>
      <c r="Q52" s="45">
        <f t="shared" si="16"/>
        <v>48.64</v>
      </c>
      <c r="R52" s="45"/>
      <c r="S52" s="45"/>
      <c r="T52" s="45">
        <v>0.15</v>
      </c>
      <c r="U52" s="45"/>
      <c r="V52" s="49">
        <v>5000</v>
      </c>
      <c r="W52" s="49" t="s">
        <v>493</v>
      </c>
      <c r="X52" s="49" t="s">
        <v>494</v>
      </c>
      <c r="Y52" s="49">
        <v>2</v>
      </c>
      <c r="Z52" s="49">
        <v>4</v>
      </c>
      <c r="AA52" s="49">
        <f t="shared" si="9"/>
        <v>15</v>
      </c>
      <c r="AB52" s="49">
        <v>15</v>
      </c>
      <c r="AC52" s="49">
        <f t="shared" si="15"/>
        <v>7.3</v>
      </c>
      <c r="AD52" s="49">
        <v>7</v>
      </c>
      <c r="AE52" s="49"/>
      <c r="AF52" s="49"/>
      <c r="AG52" s="49">
        <v>21</v>
      </c>
      <c r="AH52" s="15">
        <f>INT(AI52*价值概述!$B$52*$O$18+AJ52*价值概述!$B$53*$P$18+AK52*价值概述!$B$54*$Q$18)</f>
        <v>339166</v>
      </c>
      <c r="AI52" s="15">
        <f t="shared" si="10"/>
        <v>100</v>
      </c>
      <c r="AJ52" s="15">
        <f t="shared" si="11"/>
        <v>46.666666666666671</v>
      </c>
      <c r="AK52" s="15">
        <f t="shared" si="12"/>
        <v>0</v>
      </c>
      <c r="AL52" s="49">
        <v>0.32</v>
      </c>
      <c r="AN52">
        <v>3</v>
      </c>
      <c r="AO52">
        <f>SUM(AN$27:AN52)</f>
        <v>48</v>
      </c>
    </row>
    <row r="53" spans="13:41" ht="16.5" x14ac:dyDescent="0.2">
      <c r="M53" s="45">
        <v>27</v>
      </c>
      <c r="N53" s="45">
        <v>85</v>
      </c>
      <c r="O53" s="45">
        <f t="shared" si="13"/>
        <v>100.17</v>
      </c>
      <c r="P53" s="45">
        <v>10</v>
      </c>
      <c r="Q53" s="45">
        <f t="shared" si="16"/>
        <v>48.64</v>
      </c>
      <c r="R53" s="45"/>
      <c r="S53" s="45"/>
      <c r="T53" s="45">
        <v>0.15</v>
      </c>
      <c r="U53" s="45"/>
      <c r="V53" s="49">
        <v>5000</v>
      </c>
      <c r="W53" s="49" t="s">
        <v>493</v>
      </c>
      <c r="X53" s="49" t="s">
        <v>494</v>
      </c>
      <c r="Y53" s="49">
        <v>2</v>
      </c>
      <c r="Z53" s="49">
        <v>4</v>
      </c>
      <c r="AA53" s="49">
        <f t="shared" si="9"/>
        <v>15</v>
      </c>
      <c r="AB53" s="49">
        <v>15</v>
      </c>
      <c r="AC53" s="49">
        <f t="shared" si="15"/>
        <v>7.3</v>
      </c>
      <c r="AD53" s="49">
        <v>7</v>
      </c>
      <c r="AE53" s="49"/>
      <c r="AF53" s="49"/>
      <c r="AG53" s="49">
        <v>22</v>
      </c>
      <c r="AH53" s="15">
        <f>INT(AI53*价值概述!$B$52*$O$18+AJ53*价值概述!$B$53*$P$18+AK53*价值概述!$B$54*$Q$18)</f>
        <v>339166</v>
      </c>
      <c r="AI53" s="15">
        <f t="shared" si="10"/>
        <v>100</v>
      </c>
      <c r="AJ53" s="15">
        <f t="shared" si="11"/>
        <v>46.666666666666671</v>
      </c>
      <c r="AK53" s="15">
        <f t="shared" si="12"/>
        <v>0</v>
      </c>
      <c r="AL53" s="49">
        <v>0.34</v>
      </c>
      <c r="AN53">
        <v>3</v>
      </c>
      <c r="AO53">
        <f>SUM(AN$27:AN53)</f>
        <v>51</v>
      </c>
    </row>
    <row r="54" spans="13:41" ht="16.5" x14ac:dyDescent="0.2">
      <c r="M54" s="45">
        <v>28</v>
      </c>
      <c r="N54" s="45">
        <v>85</v>
      </c>
      <c r="O54" s="45">
        <f t="shared" si="13"/>
        <v>100.17</v>
      </c>
      <c r="P54" s="45">
        <v>10</v>
      </c>
      <c r="Q54" s="45">
        <f t="shared" si="16"/>
        <v>48.64</v>
      </c>
      <c r="R54" s="45"/>
      <c r="S54" s="45"/>
      <c r="T54" s="45">
        <v>0.15</v>
      </c>
      <c r="U54" s="45"/>
      <c r="V54" s="49">
        <v>5000</v>
      </c>
      <c r="W54" s="49" t="s">
        <v>493</v>
      </c>
      <c r="X54" s="49" t="s">
        <v>494</v>
      </c>
      <c r="Y54" s="49">
        <v>2</v>
      </c>
      <c r="Z54" s="49">
        <v>4</v>
      </c>
      <c r="AA54" s="49">
        <f t="shared" si="9"/>
        <v>15</v>
      </c>
      <c r="AB54" s="49">
        <v>15</v>
      </c>
      <c r="AC54" s="49">
        <f t="shared" si="15"/>
        <v>7.3</v>
      </c>
      <c r="AD54" s="49">
        <v>7</v>
      </c>
      <c r="AE54" s="49"/>
      <c r="AF54" s="49"/>
      <c r="AG54" s="49">
        <v>23</v>
      </c>
      <c r="AH54" s="15">
        <f>INT(AI54*价值概述!$B$52*$O$18+AJ54*价值概述!$B$53*$P$18+AK54*价值概述!$B$54*$Q$18)</f>
        <v>339166</v>
      </c>
      <c r="AI54" s="15">
        <f t="shared" si="10"/>
        <v>100</v>
      </c>
      <c r="AJ54" s="15">
        <f t="shared" si="11"/>
        <v>46.666666666666671</v>
      </c>
      <c r="AK54" s="15">
        <f t="shared" si="12"/>
        <v>0</v>
      </c>
      <c r="AL54" s="49">
        <v>0.36</v>
      </c>
      <c r="AN54">
        <v>3</v>
      </c>
      <c r="AO54">
        <f>SUM(AN$27:AN54)</f>
        <v>54</v>
      </c>
    </row>
    <row r="55" spans="13:41" ht="16.5" x14ac:dyDescent="0.2">
      <c r="M55" s="45">
        <v>29</v>
      </c>
      <c r="N55" s="45">
        <v>85</v>
      </c>
      <c r="O55" s="45">
        <f t="shared" si="13"/>
        <v>100.17</v>
      </c>
      <c r="P55" s="45">
        <v>10</v>
      </c>
      <c r="Q55" s="45">
        <f t="shared" si="16"/>
        <v>48.64</v>
      </c>
      <c r="R55" s="45"/>
      <c r="S55" s="45"/>
      <c r="T55" s="45">
        <v>0.15</v>
      </c>
      <c r="U55" s="45"/>
      <c r="V55" s="49">
        <v>5000</v>
      </c>
      <c r="W55" s="49" t="s">
        <v>493</v>
      </c>
      <c r="X55" s="49" t="s">
        <v>494</v>
      </c>
      <c r="Y55" s="49">
        <v>2</v>
      </c>
      <c r="Z55" s="49">
        <v>4</v>
      </c>
      <c r="AA55" s="49">
        <f t="shared" si="9"/>
        <v>15</v>
      </c>
      <c r="AB55" s="49">
        <v>15</v>
      </c>
      <c r="AC55" s="49">
        <f t="shared" si="15"/>
        <v>7.3</v>
      </c>
      <c r="AD55" s="49">
        <v>7</v>
      </c>
      <c r="AE55" s="49"/>
      <c r="AF55" s="49"/>
      <c r="AG55" s="49">
        <v>25</v>
      </c>
      <c r="AH55" s="15">
        <f>INT(AI55*价值概述!$B$52*$O$18+AJ55*价值概述!$B$53*$P$18+AK55*价值概述!$B$54*$Q$18)</f>
        <v>339166</v>
      </c>
      <c r="AI55" s="15">
        <f t="shared" si="10"/>
        <v>100</v>
      </c>
      <c r="AJ55" s="15">
        <f t="shared" si="11"/>
        <v>46.666666666666671</v>
      </c>
      <c r="AK55" s="15">
        <f t="shared" si="12"/>
        <v>0</v>
      </c>
      <c r="AL55" s="49">
        <v>0.38</v>
      </c>
      <c r="AN55">
        <v>3</v>
      </c>
      <c r="AO55">
        <f>SUM(AN$27:AN55)</f>
        <v>57</v>
      </c>
    </row>
    <row r="56" spans="13:41" ht="16.5" x14ac:dyDescent="0.2">
      <c r="M56" s="45">
        <v>30</v>
      </c>
      <c r="N56" s="45"/>
      <c r="O56" s="45"/>
      <c r="P56" s="45">
        <v>15</v>
      </c>
      <c r="Q56" s="45">
        <f t="shared" si="16"/>
        <v>72.959999999999994</v>
      </c>
      <c r="R56" s="45">
        <v>10</v>
      </c>
      <c r="S56" s="45">
        <f>ROUND(R56/R$25*Q$20,2)</f>
        <v>32.67</v>
      </c>
      <c r="T56" s="45">
        <v>0.1</v>
      </c>
      <c r="U56" s="45"/>
      <c r="V56" s="49">
        <v>10000</v>
      </c>
      <c r="W56" s="49" t="s">
        <v>494</v>
      </c>
      <c r="X56" s="49" t="s">
        <v>495</v>
      </c>
      <c r="Y56" s="49">
        <v>4</v>
      </c>
      <c r="Z56" s="49">
        <v>6</v>
      </c>
      <c r="AA56" s="49"/>
      <c r="AB56" s="49"/>
      <c r="AC56" s="49">
        <f t="shared" si="15"/>
        <v>7.3</v>
      </c>
      <c r="AD56" s="49">
        <v>8</v>
      </c>
      <c r="AE56" s="49">
        <f t="shared" ref="AE56:AE76" si="17">ROUND(S56*T56,1)</f>
        <v>3.3</v>
      </c>
      <c r="AF56" s="49">
        <v>3</v>
      </c>
      <c r="AG56" s="49">
        <v>30</v>
      </c>
      <c r="AH56" s="15">
        <f>INT(AI56*价值概述!$B$52*$O$18+AJ56*价值概述!$B$53*$P$18+AK56*价值概述!$B$54*$Q$18)</f>
        <v>560000</v>
      </c>
      <c r="AI56" s="15">
        <f t="shared" si="10"/>
        <v>0</v>
      </c>
      <c r="AJ56" s="15">
        <f t="shared" si="11"/>
        <v>80</v>
      </c>
      <c r="AK56" s="15">
        <f t="shared" si="12"/>
        <v>30</v>
      </c>
      <c r="AL56" s="49">
        <v>0.4</v>
      </c>
      <c r="AN56">
        <v>3</v>
      </c>
      <c r="AO56">
        <f>SUM(AN$27:AN56)</f>
        <v>60</v>
      </c>
    </row>
    <row r="57" spans="13:41" ht="16.5" x14ac:dyDescent="0.2">
      <c r="M57" s="45">
        <v>31</v>
      </c>
      <c r="N57" s="45"/>
      <c r="O57" s="45"/>
      <c r="P57" s="45">
        <v>15</v>
      </c>
      <c r="Q57" s="45">
        <f t="shared" si="16"/>
        <v>72.959999999999994</v>
      </c>
      <c r="R57" s="45">
        <v>10</v>
      </c>
      <c r="S57" s="45">
        <f t="shared" ref="S57:S76" si="18">ROUND(R57/R$25*Q$20,2)</f>
        <v>32.67</v>
      </c>
      <c r="T57" s="45">
        <v>0.1</v>
      </c>
      <c r="U57" s="45"/>
      <c r="V57" s="49">
        <v>10000</v>
      </c>
      <c r="W57" s="49" t="s">
        <v>494</v>
      </c>
      <c r="X57" s="49" t="s">
        <v>495</v>
      </c>
      <c r="Y57" s="49">
        <v>4</v>
      </c>
      <c r="Z57" s="49">
        <v>6</v>
      </c>
      <c r="AA57" s="49"/>
      <c r="AB57" s="49"/>
      <c r="AC57" s="49">
        <f t="shared" si="15"/>
        <v>7.3</v>
      </c>
      <c r="AD57" s="49">
        <v>8</v>
      </c>
      <c r="AE57" s="49">
        <f t="shared" si="17"/>
        <v>3.3</v>
      </c>
      <c r="AF57" s="49">
        <v>3</v>
      </c>
      <c r="AG57" s="49">
        <v>30</v>
      </c>
      <c r="AH57" s="15">
        <f>INT(AI57*价值概述!$B$52*$O$18+AJ57*价值概述!$B$53*$P$18+AK57*价值概述!$B$54*$Q$18)</f>
        <v>560000</v>
      </c>
      <c r="AI57" s="15">
        <f t="shared" si="10"/>
        <v>0</v>
      </c>
      <c r="AJ57" s="15">
        <f t="shared" si="11"/>
        <v>80</v>
      </c>
      <c r="AK57" s="15">
        <f t="shared" si="12"/>
        <v>30</v>
      </c>
      <c r="AL57" s="49">
        <v>0.42670000000000002</v>
      </c>
      <c r="AN57">
        <v>4</v>
      </c>
      <c r="AO57">
        <f>SUM(AN$27:AN57)</f>
        <v>64</v>
      </c>
    </row>
    <row r="58" spans="13:41" ht="16.5" x14ac:dyDescent="0.2">
      <c r="M58" s="45">
        <v>32</v>
      </c>
      <c r="N58" s="45"/>
      <c r="O58" s="45"/>
      <c r="P58" s="45">
        <v>15</v>
      </c>
      <c r="Q58" s="45">
        <f t="shared" si="16"/>
        <v>72.959999999999994</v>
      </c>
      <c r="R58" s="45">
        <v>10</v>
      </c>
      <c r="S58" s="45">
        <f t="shared" si="18"/>
        <v>32.67</v>
      </c>
      <c r="T58" s="45">
        <v>0.1</v>
      </c>
      <c r="U58" s="45"/>
      <c r="V58" s="49">
        <v>10000</v>
      </c>
      <c r="W58" s="49" t="s">
        <v>494</v>
      </c>
      <c r="X58" s="49" t="s">
        <v>495</v>
      </c>
      <c r="Y58" s="49">
        <v>4</v>
      </c>
      <c r="Z58" s="49">
        <v>6</v>
      </c>
      <c r="AA58" s="49"/>
      <c r="AB58" s="49"/>
      <c r="AC58" s="49">
        <f t="shared" si="15"/>
        <v>7.3</v>
      </c>
      <c r="AD58" s="49">
        <v>8</v>
      </c>
      <c r="AE58" s="49">
        <f t="shared" si="17"/>
        <v>3.3</v>
      </c>
      <c r="AF58" s="49">
        <v>3</v>
      </c>
      <c r="AG58" s="49">
        <v>30</v>
      </c>
      <c r="AH58" s="15">
        <f>INT(AI58*价值概述!$B$52*$O$18+AJ58*价值概述!$B$53*$P$18+AK58*价值概述!$B$54*$Q$18)</f>
        <v>560000</v>
      </c>
      <c r="AI58" s="15">
        <f t="shared" si="10"/>
        <v>0</v>
      </c>
      <c r="AJ58" s="15">
        <f t="shared" si="11"/>
        <v>80</v>
      </c>
      <c r="AK58" s="15">
        <f t="shared" si="12"/>
        <v>30</v>
      </c>
      <c r="AL58" s="49">
        <v>0.45329999999999998</v>
      </c>
      <c r="AN58">
        <v>4</v>
      </c>
      <c r="AO58">
        <f>SUM(AN$27:AN58)</f>
        <v>68</v>
      </c>
    </row>
    <row r="59" spans="13:41" ht="16.5" x14ac:dyDescent="0.2">
      <c r="M59" s="45">
        <v>33</v>
      </c>
      <c r="N59" s="45"/>
      <c r="O59" s="45"/>
      <c r="P59" s="45">
        <v>15</v>
      </c>
      <c r="Q59" s="45">
        <f t="shared" si="16"/>
        <v>72.959999999999994</v>
      </c>
      <c r="R59" s="45">
        <v>10</v>
      </c>
      <c r="S59" s="45">
        <f t="shared" si="18"/>
        <v>32.67</v>
      </c>
      <c r="T59" s="45">
        <v>0.1</v>
      </c>
      <c r="U59" s="45"/>
      <c r="V59" s="49">
        <v>10000</v>
      </c>
      <c r="W59" s="49" t="s">
        <v>494</v>
      </c>
      <c r="X59" s="49" t="s">
        <v>495</v>
      </c>
      <c r="Y59" s="49">
        <v>4</v>
      </c>
      <c r="Z59" s="49">
        <v>6</v>
      </c>
      <c r="AA59" s="49"/>
      <c r="AB59" s="49"/>
      <c r="AC59" s="49">
        <f t="shared" si="15"/>
        <v>7.3</v>
      </c>
      <c r="AD59" s="49">
        <v>8</v>
      </c>
      <c r="AE59" s="49">
        <f t="shared" si="17"/>
        <v>3.3</v>
      </c>
      <c r="AF59" s="49">
        <v>3</v>
      </c>
      <c r="AG59" s="49">
        <v>30</v>
      </c>
      <c r="AH59" s="15">
        <f>INT(AI59*价值概述!$B$52*$O$18+AJ59*价值概述!$B$53*$P$18+AK59*价值概述!$B$54*$Q$18)</f>
        <v>560000</v>
      </c>
      <c r="AI59" s="15">
        <f t="shared" ref="AI59:AI76" si="19">AB59/T59</f>
        <v>0</v>
      </c>
      <c r="AJ59" s="15">
        <f t="shared" ref="AJ59:AJ76" si="20">AD59/T59</f>
        <v>80</v>
      </c>
      <c r="AK59" s="15">
        <f t="shared" ref="AK59:AK76" si="21">AF59/T59</f>
        <v>30</v>
      </c>
      <c r="AL59" s="49">
        <v>0.48</v>
      </c>
      <c r="AN59">
        <v>4</v>
      </c>
      <c r="AO59">
        <f>SUM(AN$27:AN59)</f>
        <v>72</v>
      </c>
    </row>
    <row r="60" spans="13:41" ht="16.5" x14ac:dyDescent="0.2">
      <c r="M60" s="45">
        <v>34</v>
      </c>
      <c r="N60" s="45"/>
      <c r="O60" s="45"/>
      <c r="P60" s="45">
        <v>15</v>
      </c>
      <c r="Q60" s="45">
        <f t="shared" si="16"/>
        <v>72.959999999999994</v>
      </c>
      <c r="R60" s="45">
        <v>10</v>
      </c>
      <c r="S60" s="45">
        <f t="shared" si="18"/>
        <v>32.67</v>
      </c>
      <c r="T60" s="45">
        <v>0.1</v>
      </c>
      <c r="U60" s="45"/>
      <c r="V60" s="49">
        <v>10000</v>
      </c>
      <c r="W60" s="49" t="s">
        <v>494</v>
      </c>
      <c r="X60" s="49" t="s">
        <v>495</v>
      </c>
      <c r="Y60" s="49">
        <v>4</v>
      </c>
      <c r="Z60" s="49">
        <v>6</v>
      </c>
      <c r="AA60" s="49"/>
      <c r="AB60" s="49"/>
      <c r="AC60" s="49">
        <f t="shared" si="15"/>
        <v>7.3</v>
      </c>
      <c r="AD60" s="49">
        <v>8</v>
      </c>
      <c r="AE60" s="49">
        <f t="shared" si="17"/>
        <v>3.3</v>
      </c>
      <c r="AF60" s="49">
        <v>3</v>
      </c>
      <c r="AG60" s="49">
        <v>30</v>
      </c>
      <c r="AH60" s="15">
        <f>INT(AI60*价值概述!$B$52*$O$18+AJ60*价值概述!$B$53*$P$18+AK60*价值概述!$B$54*$Q$18)</f>
        <v>560000</v>
      </c>
      <c r="AI60" s="15">
        <f t="shared" si="19"/>
        <v>0</v>
      </c>
      <c r="AJ60" s="15">
        <f t="shared" si="20"/>
        <v>80</v>
      </c>
      <c r="AK60" s="15">
        <f t="shared" si="21"/>
        <v>30</v>
      </c>
      <c r="AL60" s="49">
        <v>0.50670000000000004</v>
      </c>
      <c r="AN60">
        <v>4</v>
      </c>
      <c r="AO60">
        <f>SUM(AN$27:AN60)</f>
        <v>76</v>
      </c>
    </row>
    <row r="61" spans="13:41" ht="16.5" x14ac:dyDescent="0.2">
      <c r="M61" s="45">
        <v>35</v>
      </c>
      <c r="N61" s="45"/>
      <c r="O61" s="45"/>
      <c r="P61" s="45">
        <v>15</v>
      </c>
      <c r="Q61" s="45">
        <f t="shared" si="16"/>
        <v>72.959999999999994</v>
      </c>
      <c r="R61" s="45">
        <v>10</v>
      </c>
      <c r="S61" s="45">
        <f t="shared" si="18"/>
        <v>32.67</v>
      </c>
      <c r="T61" s="45">
        <v>0.1</v>
      </c>
      <c r="U61" s="45"/>
      <c r="V61" s="49">
        <v>10000</v>
      </c>
      <c r="W61" s="49" t="s">
        <v>494</v>
      </c>
      <c r="X61" s="49" t="s">
        <v>495</v>
      </c>
      <c r="Y61" s="49">
        <v>4</v>
      </c>
      <c r="Z61" s="49">
        <v>6</v>
      </c>
      <c r="AA61" s="49"/>
      <c r="AB61" s="49"/>
      <c r="AC61" s="49">
        <f t="shared" si="15"/>
        <v>7.3</v>
      </c>
      <c r="AD61" s="49">
        <v>8</v>
      </c>
      <c r="AE61" s="49">
        <f t="shared" si="17"/>
        <v>3.3</v>
      </c>
      <c r="AF61" s="49">
        <v>3</v>
      </c>
      <c r="AG61" s="49">
        <v>30</v>
      </c>
      <c r="AH61" s="15">
        <f>INT(AI61*价值概述!$B$52*$O$18+AJ61*价值概述!$B$53*$P$18+AK61*价值概述!$B$54*$Q$18)</f>
        <v>560000</v>
      </c>
      <c r="AI61" s="15">
        <f t="shared" si="19"/>
        <v>0</v>
      </c>
      <c r="AJ61" s="15">
        <f t="shared" si="20"/>
        <v>80</v>
      </c>
      <c r="AK61" s="15">
        <f t="shared" si="21"/>
        <v>30</v>
      </c>
      <c r="AL61" s="49">
        <v>0.5333</v>
      </c>
      <c r="AN61">
        <v>4</v>
      </c>
      <c r="AO61">
        <f>SUM(AN$27:AN61)</f>
        <v>80</v>
      </c>
    </row>
    <row r="62" spans="13:41" ht="16.5" x14ac:dyDescent="0.2">
      <c r="M62" s="45">
        <v>36</v>
      </c>
      <c r="N62" s="45"/>
      <c r="O62" s="45"/>
      <c r="P62" s="45">
        <v>15</v>
      </c>
      <c r="Q62" s="45">
        <f t="shared" si="16"/>
        <v>72.959999999999994</v>
      </c>
      <c r="R62" s="45">
        <v>10</v>
      </c>
      <c r="S62" s="45">
        <f t="shared" si="18"/>
        <v>32.67</v>
      </c>
      <c r="T62" s="45">
        <v>0.1</v>
      </c>
      <c r="U62" s="45"/>
      <c r="V62" s="49">
        <v>10000</v>
      </c>
      <c r="W62" s="49" t="s">
        <v>494</v>
      </c>
      <c r="X62" s="49" t="s">
        <v>495</v>
      </c>
      <c r="Y62" s="49">
        <v>4</v>
      </c>
      <c r="Z62" s="49">
        <v>6</v>
      </c>
      <c r="AA62" s="49"/>
      <c r="AB62" s="49"/>
      <c r="AC62" s="49">
        <f t="shared" si="15"/>
        <v>7.3</v>
      </c>
      <c r="AD62" s="49">
        <v>8</v>
      </c>
      <c r="AE62" s="49">
        <f t="shared" si="17"/>
        <v>3.3</v>
      </c>
      <c r="AF62" s="49">
        <v>3</v>
      </c>
      <c r="AG62" s="49">
        <v>30</v>
      </c>
      <c r="AH62" s="15">
        <f>INT(AI62*价值概述!$B$52*$O$18+AJ62*价值概述!$B$53*$P$18+AK62*价值概述!$B$54*$Q$18)</f>
        <v>560000</v>
      </c>
      <c r="AI62" s="15">
        <f t="shared" si="19"/>
        <v>0</v>
      </c>
      <c r="AJ62" s="15">
        <f t="shared" si="20"/>
        <v>80</v>
      </c>
      <c r="AK62" s="15">
        <f t="shared" si="21"/>
        <v>30</v>
      </c>
      <c r="AL62" s="49">
        <v>0.56000000000000005</v>
      </c>
      <c r="AN62">
        <v>4</v>
      </c>
      <c r="AO62">
        <f>SUM(AN$27:AN62)</f>
        <v>84</v>
      </c>
    </row>
    <row r="63" spans="13:41" ht="16.5" x14ac:dyDescent="0.2">
      <c r="M63" s="45">
        <v>37</v>
      </c>
      <c r="N63" s="45"/>
      <c r="O63" s="45"/>
      <c r="P63" s="45">
        <v>15</v>
      </c>
      <c r="Q63" s="45">
        <f t="shared" si="16"/>
        <v>72.959999999999994</v>
      </c>
      <c r="R63" s="45">
        <v>10</v>
      </c>
      <c r="S63" s="45">
        <f t="shared" si="18"/>
        <v>32.67</v>
      </c>
      <c r="T63" s="45">
        <v>0.1</v>
      </c>
      <c r="U63" s="45"/>
      <c r="V63" s="49">
        <v>10000</v>
      </c>
      <c r="W63" s="49" t="s">
        <v>494</v>
      </c>
      <c r="X63" s="49" t="s">
        <v>495</v>
      </c>
      <c r="Y63" s="49">
        <v>4</v>
      </c>
      <c r="Z63" s="49">
        <v>6</v>
      </c>
      <c r="AA63" s="49"/>
      <c r="AB63" s="49"/>
      <c r="AC63" s="49">
        <f t="shared" si="15"/>
        <v>7.3</v>
      </c>
      <c r="AD63" s="49">
        <v>8</v>
      </c>
      <c r="AE63" s="49">
        <f t="shared" si="17"/>
        <v>3.3</v>
      </c>
      <c r="AF63" s="49">
        <v>3</v>
      </c>
      <c r="AG63" s="49">
        <v>30</v>
      </c>
      <c r="AH63" s="15">
        <f>INT(AI63*价值概述!$B$52*$O$18+AJ63*价值概述!$B$53*$P$18+AK63*价值概述!$B$54*$Q$18)</f>
        <v>560000</v>
      </c>
      <c r="AI63" s="15">
        <f t="shared" si="19"/>
        <v>0</v>
      </c>
      <c r="AJ63" s="15">
        <f t="shared" si="20"/>
        <v>80</v>
      </c>
      <c r="AK63" s="15">
        <f t="shared" si="21"/>
        <v>30</v>
      </c>
      <c r="AL63" s="49">
        <v>0.5867</v>
      </c>
      <c r="AN63">
        <v>4</v>
      </c>
      <c r="AO63">
        <f>SUM(AN$27:AN63)</f>
        <v>88</v>
      </c>
    </row>
    <row r="64" spans="13:41" ht="16.5" x14ac:dyDescent="0.2">
      <c r="M64" s="45">
        <v>38</v>
      </c>
      <c r="N64" s="45"/>
      <c r="O64" s="45"/>
      <c r="P64" s="45">
        <v>15</v>
      </c>
      <c r="Q64" s="45">
        <f t="shared" si="16"/>
        <v>72.959999999999994</v>
      </c>
      <c r="R64" s="45">
        <v>10</v>
      </c>
      <c r="S64" s="45">
        <f t="shared" si="18"/>
        <v>32.67</v>
      </c>
      <c r="T64" s="45">
        <v>0.1</v>
      </c>
      <c r="U64" s="45"/>
      <c r="V64" s="49">
        <v>10000</v>
      </c>
      <c r="W64" s="49" t="s">
        <v>494</v>
      </c>
      <c r="X64" s="49" t="s">
        <v>495</v>
      </c>
      <c r="Y64" s="49">
        <v>4</v>
      </c>
      <c r="Z64" s="49">
        <v>6</v>
      </c>
      <c r="AA64" s="49"/>
      <c r="AB64" s="49"/>
      <c r="AC64" s="49">
        <f t="shared" si="15"/>
        <v>7.3</v>
      </c>
      <c r="AD64" s="49">
        <v>8</v>
      </c>
      <c r="AE64" s="49">
        <f t="shared" si="17"/>
        <v>3.3</v>
      </c>
      <c r="AF64" s="49">
        <v>3</v>
      </c>
      <c r="AG64" s="49">
        <v>30</v>
      </c>
      <c r="AH64" s="15">
        <f>INT(AI64*价值概述!$B$52*$O$18+AJ64*价值概述!$B$53*$P$18+AK64*价值概述!$B$54*$Q$18)</f>
        <v>560000</v>
      </c>
      <c r="AI64" s="15">
        <f t="shared" si="19"/>
        <v>0</v>
      </c>
      <c r="AJ64" s="15">
        <f t="shared" si="20"/>
        <v>80</v>
      </c>
      <c r="AK64" s="15">
        <f t="shared" si="21"/>
        <v>30</v>
      </c>
      <c r="AL64" s="49">
        <v>0.61329999999999996</v>
      </c>
      <c r="AN64">
        <v>4</v>
      </c>
      <c r="AO64">
        <f>SUM(AN$27:AN64)</f>
        <v>92</v>
      </c>
    </row>
    <row r="65" spans="13:41" ht="16.5" x14ac:dyDescent="0.2">
      <c r="M65" s="45">
        <v>39</v>
      </c>
      <c r="N65" s="45"/>
      <c r="O65" s="45"/>
      <c r="P65" s="45">
        <v>15</v>
      </c>
      <c r="Q65" s="45">
        <f t="shared" si="16"/>
        <v>72.959999999999994</v>
      </c>
      <c r="R65" s="45">
        <v>10</v>
      </c>
      <c r="S65" s="45">
        <f t="shared" si="18"/>
        <v>32.67</v>
      </c>
      <c r="T65" s="45">
        <v>0.1</v>
      </c>
      <c r="U65" s="45"/>
      <c r="V65" s="49">
        <v>10000</v>
      </c>
      <c r="W65" s="49" t="s">
        <v>494</v>
      </c>
      <c r="X65" s="49" t="s">
        <v>495</v>
      </c>
      <c r="Y65" s="49">
        <v>4</v>
      </c>
      <c r="Z65" s="49">
        <v>6</v>
      </c>
      <c r="AA65" s="49"/>
      <c r="AB65" s="49"/>
      <c r="AC65" s="49">
        <f t="shared" si="15"/>
        <v>7.3</v>
      </c>
      <c r="AD65" s="49">
        <v>8</v>
      </c>
      <c r="AE65" s="49">
        <f t="shared" si="17"/>
        <v>3.3</v>
      </c>
      <c r="AF65" s="49">
        <v>3</v>
      </c>
      <c r="AG65" s="49">
        <v>30</v>
      </c>
      <c r="AH65" s="15">
        <f>INT(AI65*价值概述!$B$52*$O$18+AJ65*价值概述!$B$53*$P$18+AK65*价值概述!$B$54*$Q$18)</f>
        <v>560000</v>
      </c>
      <c r="AI65" s="15">
        <f t="shared" si="19"/>
        <v>0</v>
      </c>
      <c r="AJ65" s="15">
        <f t="shared" si="20"/>
        <v>80</v>
      </c>
      <c r="AK65" s="15">
        <f t="shared" si="21"/>
        <v>30</v>
      </c>
      <c r="AL65" s="49">
        <v>0.64</v>
      </c>
      <c r="AN65">
        <v>4</v>
      </c>
      <c r="AO65">
        <f>SUM(AN$27:AN65)</f>
        <v>96</v>
      </c>
    </row>
    <row r="66" spans="13:41" ht="16.5" x14ac:dyDescent="0.2">
      <c r="M66" s="45">
        <v>40</v>
      </c>
      <c r="N66" s="45"/>
      <c r="O66" s="45"/>
      <c r="P66" s="45"/>
      <c r="Q66" s="45"/>
      <c r="R66" s="45">
        <v>11</v>
      </c>
      <c r="S66" s="45">
        <f t="shared" si="18"/>
        <v>35.94</v>
      </c>
      <c r="T66" s="49">
        <v>0.1</v>
      </c>
      <c r="U66" s="45"/>
      <c r="V66" s="49">
        <v>20000</v>
      </c>
      <c r="W66" s="49" t="s">
        <v>495</v>
      </c>
      <c r="X66" s="49"/>
      <c r="Y66" s="49">
        <v>6</v>
      </c>
      <c r="Z66" s="49"/>
      <c r="AA66" s="49"/>
      <c r="AB66" s="49"/>
      <c r="AC66" s="49"/>
      <c r="AD66" s="49"/>
      <c r="AE66" s="49">
        <f t="shared" si="17"/>
        <v>3.6</v>
      </c>
      <c r="AF66" s="49">
        <v>5</v>
      </c>
      <c r="AG66" s="49">
        <v>35</v>
      </c>
      <c r="AH66" s="15">
        <f>INT(AI66*价值概述!$B$52*$O$18+AJ66*价值概述!$B$53*$P$18+AK66*价值概述!$B$54*$Q$18)</f>
        <v>500000</v>
      </c>
      <c r="AI66" s="15">
        <f t="shared" si="19"/>
        <v>0</v>
      </c>
      <c r="AJ66" s="15">
        <f t="shared" si="20"/>
        <v>0</v>
      </c>
      <c r="AK66" s="15">
        <f t="shared" si="21"/>
        <v>50</v>
      </c>
      <c r="AL66" s="49">
        <v>0.66669999999999996</v>
      </c>
      <c r="AN66">
        <v>4</v>
      </c>
      <c r="AO66">
        <f>SUM(AN$27:AN66)</f>
        <v>100</v>
      </c>
    </row>
    <row r="67" spans="13:41" ht="16.5" x14ac:dyDescent="0.2">
      <c r="M67" s="45">
        <v>41</v>
      </c>
      <c r="N67" s="45"/>
      <c r="O67" s="45"/>
      <c r="P67" s="45"/>
      <c r="Q67" s="45"/>
      <c r="R67" s="45">
        <v>12</v>
      </c>
      <c r="S67" s="45">
        <f t="shared" si="18"/>
        <v>39.21</v>
      </c>
      <c r="T67" s="49">
        <v>0.1</v>
      </c>
      <c r="U67" s="45"/>
      <c r="V67" s="49">
        <v>20000</v>
      </c>
      <c r="W67" s="49" t="s">
        <v>495</v>
      </c>
      <c r="X67" s="49"/>
      <c r="Y67" s="49">
        <v>6</v>
      </c>
      <c r="Z67" s="49"/>
      <c r="AA67" s="49"/>
      <c r="AB67" s="49"/>
      <c r="AC67" s="49"/>
      <c r="AD67" s="49"/>
      <c r="AE67" s="49">
        <f t="shared" si="17"/>
        <v>3.9</v>
      </c>
      <c r="AF67" s="49">
        <v>5</v>
      </c>
      <c r="AG67" s="49">
        <v>40</v>
      </c>
      <c r="AH67" s="15">
        <f>INT(AI67*价值概述!$B$52*$O$18+AJ67*价值概述!$B$53*$P$18+AK67*价值概述!$B$54*$Q$18)</f>
        <v>500000</v>
      </c>
      <c r="AI67" s="15">
        <f t="shared" si="19"/>
        <v>0</v>
      </c>
      <c r="AJ67" s="15">
        <f t="shared" si="20"/>
        <v>0</v>
      </c>
      <c r="AK67" s="15">
        <f t="shared" si="21"/>
        <v>50</v>
      </c>
      <c r="AL67" s="49">
        <v>0.7</v>
      </c>
      <c r="AN67">
        <v>5</v>
      </c>
      <c r="AO67">
        <f>SUM(AN$27:AN67)</f>
        <v>105</v>
      </c>
    </row>
    <row r="68" spans="13:41" ht="16.5" x14ac:dyDescent="0.2">
      <c r="M68" s="45">
        <v>42</v>
      </c>
      <c r="N68" s="45"/>
      <c r="O68" s="45"/>
      <c r="P68" s="45"/>
      <c r="Q68" s="45"/>
      <c r="R68" s="45">
        <v>13</v>
      </c>
      <c r="S68" s="45">
        <f t="shared" si="18"/>
        <v>42.47</v>
      </c>
      <c r="T68" s="49">
        <v>0.1</v>
      </c>
      <c r="U68" s="45"/>
      <c r="V68" s="49">
        <v>20000</v>
      </c>
      <c r="W68" s="49" t="s">
        <v>495</v>
      </c>
      <c r="X68" s="49"/>
      <c r="Y68" s="49">
        <v>6</v>
      </c>
      <c r="Z68" s="49"/>
      <c r="AA68" s="49"/>
      <c r="AB68" s="49"/>
      <c r="AC68" s="49"/>
      <c r="AD68" s="49"/>
      <c r="AE68" s="49">
        <f t="shared" si="17"/>
        <v>4.2</v>
      </c>
      <c r="AF68" s="49">
        <v>5</v>
      </c>
      <c r="AG68" s="49">
        <v>45</v>
      </c>
      <c r="AH68" s="15">
        <f>INT(AI68*价值概述!$B$52*$O$18+AJ68*价值概述!$B$53*$P$18+AK68*价值概述!$B$54*$Q$18)</f>
        <v>500000</v>
      </c>
      <c r="AI68" s="15">
        <f t="shared" si="19"/>
        <v>0</v>
      </c>
      <c r="AJ68" s="15">
        <f t="shared" si="20"/>
        <v>0</v>
      </c>
      <c r="AK68" s="15">
        <f t="shared" si="21"/>
        <v>50</v>
      </c>
      <c r="AL68" s="49">
        <v>0.73329999999999995</v>
      </c>
      <c r="AN68">
        <v>5</v>
      </c>
      <c r="AO68">
        <f>SUM(AN$27:AN68)</f>
        <v>110</v>
      </c>
    </row>
    <row r="69" spans="13:41" ht="16.5" x14ac:dyDescent="0.2">
      <c r="M69" s="45">
        <v>43</v>
      </c>
      <c r="N69" s="45"/>
      <c r="O69" s="45"/>
      <c r="P69" s="45"/>
      <c r="Q69" s="45"/>
      <c r="R69" s="45">
        <v>14</v>
      </c>
      <c r="S69" s="45">
        <f t="shared" si="18"/>
        <v>45.74</v>
      </c>
      <c r="T69" s="49">
        <v>0.1</v>
      </c>
      <c r="U69" s="45"/>
      <c r="V69" s="49">
        <v>20000</v>
      </c>
      <c r="W69" s="49" t="s">
        <v>495</v>
      </c>
      <c r="X69" s="49"/>
      <c r="Y69" s="49">
        <v>6</v>
      </c>
      <c r="Z69" s="49"/>
      <c r="AA69" s="49"/>
      <c r="AB69" s="49"/>
      <c r="AC69" s="49"/>
      <c r="AD69" s="49"/>
      <c r="AE69" s="49">
        <f t="shared" si="17"/>
        <v>4.5999999999999996</v>
      </c>
      <c r="AF69" s="49">
        <v>5</v>
      </c>
      <c r="AG69" s="49">
        <v>50</v>
      </c>
      <c r="AH69" s="15">
        <f>INT(AI69*价值概述!$B$52*$O$18+AJ69*价值概述!$B$53*$P$18+AK69*价值概述!$B$54*$Q$18)</f>
        <v>500000</v>
      </c>
      <c r="AI69" s="15">
        <f t="shared" si="19"/>
        <v>0</v>
      </c>
      <c r="AJ69" s="15">
        <f t="shared" si="20"/>
        <v>0</v>
      </c>
      <c r="AK69" s="15">
        <f t="shared" si="21"/>
        <v>50</v>
      </c>
      <c r="AL69" s="49">
        <v>0.76670000000000005</v>
      </c>
      <c r="AN69">
        <v>5</v>
      </c>
      <c r="AO69">
        <f>SUM(AN$27:AN69)</f>
        <v>115</v>
      </c>
    </row>
    <row r="70" spans="13:41" ht="16.5" x14ac:dyDescent="0.2">
      <c r="M70" s="45">
        <v>44</v>
      </c>
      <c r="N70" s="45"/>
      <c r="O70" s="45"/>
      <c r="P70" s="45"/>
      <c r="Q70" s="45"/>
      <c r="R70" s="45">
        <v>15</v>
      </c>
      <c r="S70" s="45">
        <f t="shared" si="18"/>
        <v>49.01</v>
      </c>
      <c r="T70" s="49">
        <v>0.1</v>
      </c>
      <c r="U70" s="45"/>
      <c r="V70" s="49">
        <v>20000</v>
      </c>
      <c r="W70" s="49" t="s">
        <v>495</v>
      </c>
      <c r="X70" s="49"/>
      <c r="Y70" s="49">
        <v>6</v>
      </c>
      <c r="Z70" s="49"/>
      <c r="AA70" s="49"/>
      <c r="AB70" s="49"/>
      <c r="AC70" s="49"/>
      <c r="AD70" s="49"/>
      <c r="AE70" s="49">
        <f t="shared" si="17"/>
        <v>4.9000000000000004</v>
      </c>
      <c r="AF70" s="49">
        <v>5</v>
      </c>
      <c r="AG70" s="49">
        <v>55</v>
      </c>
      <c r="AH70" s="15">
        <f>INT(AI70*价值概述!$B$52*$O$18+AJ70*价值概述!$B$53*$P$18+AK70*价值概述!$B$54*$Q$18)</f>
        <v>500000</v>
      </c>
      <c r="AI70" s="15">
        <f t="shared" si="19"/>
        <v>0</v>
      </c>
      <c r="AJ70" s="15">
        <f t="shared" si="20"/>
        <v>0</v>
      </c>
      <c r="AK70" s="15">
        <f t="shared" si="21"/>
        <v>50</v>
      </c>
      <c r="AL70" s="49">
        <v>0.8</v>
      </c>
      <c r="AN70">
        <v>5</v>
      </c>
      <c r="AO70">
        <f>SUM(AN$27:AN70)</f>
        <v>120</v>
      </c>
    </row>
    <row r="71" spans="13:41" ht="16.5" x14ac:dyDescent="0.2">
      <c r="M71" s="45">
        <v>45</v>
      </c>
      <c r="N71" s="45"/>
      <c r="O71" s="45"/>
      <c r="P71" s="45"/>
      <c r="Q71" s="45"/>
      <c r="R71" s="45">
        <v>16</v>
      </c>
      <c r="S71" s="45">
        <f t="shared" si="18"/>
        <v>52.27</v>
      </c>
      <c r="T71" s="49">
        <v>0.1</v>
      </c>
      <c r="U71" s="45"/>
      <c r="V71" s="49">
        <v>20000</v>
      </c>
      <c r="W71" s="49" t="s">
        <v>495</v>
      </c>
      <c r="X71" s="49"/>
      <c r="Y71" s="49">
        <v>6</v>
      </c>
      <c r="Z71" s="49"/>
      <c r="AA71" s="49"/>
      <c r="AB71" s="49"/>
      <c r="AC71" s="49"/>
      <c r="AD71" s="49"/>
      <c r="AE71" s="49">
        <f t="shared" si="17"/>
        <v>5.2</v>
      </c>
      <c r="AF71" s="49">
        <v>6</v>
      </c>
      <c r="AG71" s="49">
        <v>60</v>
      </c>
      <c r="AH71" s="15">
        <f>INT(AI71*价值概述!$B$52*$O$18+AJ71*价值概述!$B$53*$P$18+AK71*价值概述!$B$54*$Q$18)</f>
        <v>600000</v>
      </c>
      <c r="AI71" s="15">
        <f t="shared" si="19"/>
        <v>0</v>
      </c>
      <c r="AJ71" s="15">
        <f t="shared" si="20"/>
        <v>0</v>
      </c>
      <c r="AK71" s="15">
        <f t="shared" si="21"/>
        <v>60</v>
      </c>
      <c r="AL71" s="49">
        <v>0.83330000000000004</v>
      </c>
      <c r="AN71">
        <v>5</v>
      </c>
      <c r="AO71">
        <f>SUM(AN$27:AN71)</f>
        <v>125</v>
      </c>
    </row>
    <row r="72" spans="13:41" ht="16.5" x14ac:dyDescent="0.2">
      <c r="M72" s="45">
        <v>46</v>
      </c>
      <c r="N72" s="45"/>
      <c r="O72" s="45"/>
      <c r="P72" s="45"/>
      <c r="Q72" s="45"/>
      <c r="R72" s="45">
        <v>17</v>
      </c>
      <c r="S72" s="45">
        <f t="shared" si="18"/>
        <v>55.54</v>
      </c>
      <c r="T72" s="49">
        <v>0.1</v>
      </c>
      <c r="U72" s="45"/>
      <c r="V72" s="49">
        <v>20000</v>
      </c>
      <c r="W72" s="49" t="s">
        <v>495</v>
      </c>
      <c r="X72" s="49"/>
      <c r="Y72" s="49">
        <v>6</v>
      </c>
      <c r="Z72" s="49"/>
      <c r="AA72" s="49"/>
      <c r="AB72" s="49"/>
      <c r="AC72" s="49"/>
      <c r="AD72" s="49"/>
      <c r="AE72" s="49">
        <f t="shared" si="17"/>
        <v>5.6</v>
      </c>
      <c r="AF72" s="49">
        <v>7</v>
      </c>
      <c r="AG72" s="49">
        <v>70</v>
      </c>
      <c r="AH72" s="15">
        <f>INT(AI72*价值概述!$B$52*$O$18+AJ72*价值概述!$B$53*$P$18+AK72*价值概述!$B$54*$Q$18)</f>
        <v>700000</v>
      </c>
      <c r="AI72" s="15">
        <f t="shared" si="19"/>
        <v>0</v>
      </c>
      <c r="AJ72" s="15">
        <f t="shared" si="20"/>
        <v>0</v>
      </c>
      <c r="AK72" s="15">
        <f t="shared" si="21"/>
        <v>70</v>
      </c>
      <c r="AL72" s="49">
        <v>0.86670000000000003</v>
      </c>
      <c r="AN72">
        <v>5</v>
      </c>
      <c r="AO72">
        <f>SUM(AN$27:AN72)</f>
        <v>130</v>
      </c>
    </row>
    <row r="73" spans="13:41" ht="16.5" x14ac:dyDescent="0.2">
      <c r="M73" s="45">
        <v>47</v>
      </c>
      <c r="N73" s="45"/>
      <c r="O73" s="45"/>
      <c r="P73" s="45"/>
      <c r="Q73" s="45"/>
      <c r="R73" s="45">
        <v>18</v>
      </c>
      <c r="S73" s="45">
        <f t="shared" si="18"/>
        <v>58.81</v>
      </c>
      <c r="T73" s="49">
        <v>0.1</v>
      </c>
      <c r="U73" s="45"/>
      <c r="V73" s="49">
        <v>20000</v>
      </c>
      <c r="W73" s="49" t="s">
        <v>495</v>
      </c>
      <c r="X73" s="49"/>
      <c r="Y73" s="49">
        <v>6</v>
      </c>
      <c r="Z73" s="49"/>
      <c r="AA73" s="49"/>
      <c r="AB73" s="49"/>
      <c r="AC73" s="49"/>
      <c r="AD73" s="49"/>
      <c r="AE73" s="49">
        <f t="shared" si="17"/>
        <v>5.9</v>
      </c>
      <c r="AF73" s="49">
        <v>8</v>
      </c>
      <c r="AG73" s="49">
        <v>80</v>
      </c>
      <c r="AH73" s="15">
        <f>INT(AI73*价值概述!$B$52*$O$18+AJ73*价值概述!$B$53*$P$18+AK73*价值概述!$B$54*$Q$18)</f>
        <v>800000</v>
      </c>
      <c r="AI73" s="15">
        <f t="shared" si="19"/>
        <v>0</v>
      </c>
      <c r="AJ73" s="15">
        <f t="shared" si="20"/>
        <v>0</v>
      </c>
      <c r="AK73" s="15">
        <f t="shared" si="21"/>
        <v>80</v>
      </c>
      <c r="AL73" s="49">
        <v>0.9</v>
      </c>
      <c r="AN73">
        <v>5</v>
      </c>
      <c r="AO73">
        <f>SUM(AN$27:AN73)</f>
        <v>135</v>
      </c>
    </row>
    <row r="74" spans="13:41" ht="16.5" x14ac:dyDescent="0.2">
      <c r="M74" s="45">
        <v>48</v>
      </c>
      <c r="N74" s="45"/>
      <c r="O74" s="45"/>
      <c r="P74" s="45"/>
      <c r="Q74" s="45"/>
      <c r="R74" s="45">
        <v>19</v>
      </c>
      <c r="S74" s="45">
        <f t="shared" si="18"/>
        <v>62.08</v>
      </c>
      <c r="T74" s="49">
        <v>0.1</v>
      </c>
      <c r="U74" s="45"/>
      <c r="V74" s="49">
        <v>20000</v>
      </c>
      <c r="W74" s="49" t="s">
        <v>495</v>
      </c>
      <c r="X74" s="49"/>
      <c r="Y74" s="49">
        <v>6</v>
      </c>
      <c r="Z74" s="49"/>
      <c r="AA74" s="49"/>
      <c r="AB74" s="49"/>
      <c r="AC74" s="49"/>
      <c r="AD74" s="49"/>
      <c r="AE74" s="49">
        <f t="shared" si="17"/>
        <v>6.2</v>
      </c>
      <c r="AF74" s="49">
        <v>9</v>
      </c>
      <c r="AG74" s="49">
        <v>100</v>
      </c>
      <c r="AH74" s="15">
        <f>INT(AI74*价值概述!$B$52*$O$18+AJ74*价值概述!$B$53*$P$18+AK74*价值概述!$B$54*$Q$18)</f>
        <v>900000</v>
      </c>
      <c r="AI74" s="15">
        <f t="shared" si="19"/>
        <v>0</v>
      </c>
      <c r="AJ74" s="15">
        <f t="shared" si="20"/>
        <v>0</v>
      </c>
      <c r="AK74" s="15">
        <f t="shared" si="21"/>
        <v>90</v>
      </c>
      <c r="AL74" s="49">
        <v>0.93330000000000002</v>
      </c>
      <c r="AN74">
        <v>5</v>
      </c>
      <c r="AO74">
        <f>SUM(AN$27:AN74)</f>
        <v>140</v>
      </c>
    </row>
    <row r="75" spans="13:41" ht="16.5" x14ac:dyDescent="0.2">
      <c r="M75" s="45">
        <v>49</v>
      </c>
      <c r="N75" s="45"/>
      <c r="O75" s="45"/>
      <c r="P75" s="45"/>
      <c r="Q75" s="45"/>
      <c r="R75" s="45">
        <v>20</v>
      </c>
      <c r="S75" s="45">
        <f t="shared" si="18"/>
        <v>65.34</v>
      </c>
      <c r="T75" s="49">
        <v>0.1</v>
      </c>
      <c r="U75" s="45"/>
      <c r="V75" s="49">
        <v>20000</v>
      </c>
      <c r="W75" s="49" t="s">
        <v>495</v>
      </c>
      <c r="X75" s="49"/>
      <c r="Y75" s="49">
        <v>6</v>
      </c>
      <c r="Z75" s="49"/>
      <c r="AA75" s="49"/>
      <c r="AB75" s="49"/>
      <c r="AC75" s="49"/>
      <c r="AD75" s="49"/>
      <c r="AE75" s="49">
        <f t="shared" si="17"/>
        <v>6.5</v>
      </c>
      <c r="AF75" s="49">
        <v>10</v>
      </c>
      <c r="AG75" s="49">
        <v>120</v>
      </c>
      <c r="AH75" s="15">
        <f>INT(AI75*价值概述!$B$52*$O$18+AJ75*价值概述!$B$53*$P$18+AK75*价值概述!$B$54*$Q$18)</f>
        <v>1000000</v>
      </c>
      <c r="AI75" s="15">
        <f t="shared" si="19"/>
        <v>0</v>
      </c>
      <c r="AJ75" s="15">
        <f t="shared" si="20"/>
        <v>0</v>
      </c>
      <c r="AK75" s="15">
        <f t="shared" si="21"/>
        <v>100</v>
      </c>
      <c r="AL75" s="49">
        <v>0.9667</v>
      </c>
      <c r="AN75">
        <v>5</v>
      </c>
      <c r="AO75">
        <f>SUM(AN$27:AN75)</f>
        <v>145</v>
      </c>
    </row>
    <row r="76" spans="13:41" ht="16.5" x14ac:dyDescent="0.2">
      <c r="M76" s="45">
        <v>50</v>
      </c>
      <c r="N76" s="45"/>
      <c r="O76" s="45"/>
      <c r="P76" s="45"/>
      <c r="Q76" s="45"/>
      <c r="R76" s="45">
        <v>22</v>
      </c>
      <c r="S76" s="45">
        <f t="shared" si="18"/>
        <v>71.88</v>
      </c>
      <c r="T76" s="49">
        <v>0.1</v>
      </c>
      <c r="U76" s="45"/>
      <c r="V76" s="49">
        <v>20000</v>
      </c>
      <c r="W76" s="49" t="s">
        <v>495</v>
      </c>
      <c r="X76" s="49"/>
      <c r="Y76" s="49">
        <v>6</v>
      </c>
      <c r="Z76" s="49"/>
      <c r="AA76" s="49"/>
      <c r="AB76" s="49"/>
      <c r="AC76" s="49"/>
      <c r="AD76" s="49"/>
      <c r="AE76" s="49">
        <f t="shared" si="17"/>
        <v>7.2</v>
      </c>
      <c r="AF76" s="49">
        <v>15</v>
      </c>
      <c r="AG76" s="49">
        <v>150</v>
      </c>
      <c r="AH76" s="15">
        <f>INT(AI76*价值概述!$B$52*$O$18+AJ76*价值概述!$B$53*$P$18+AK76*价值概述!$B$54*$Q$18)</f>
        <v>1500000</v>
      </c>
      <c r="AI76" s="15">
        <f t="shared" si="19"/>
        <v>0</v>
      </c>
      <c r="AJ76" s="15">
        <f t="shared" si="20"/>
        <v>0</v>
      </c>
      <c r="AK76" s="15">
        <f t="shared" si="21"/>
        <v>150</v>
      </c>
      <c r="AL76" s="49">
        <v>1</v>
      </c>
      <c r="AN76">
        <v>5</v>
      </c>
      <c r="AO76">
        <f>SUM(AN$27:AN76)</f>
        <v>150</v>
      </c>
    </row>
    <row r="79" spans="13:41" ht="17.25" x14ac:dyDescent="0.2">
      <c r="M79" s="12" t="s">
        <v>474</v>
      </c>
      <c r="N79" s="12" t="s">
        <v>478</v>
      </c>
      <c r="O79" s="12" t="s">
        <v>476</v>
      </c>
      <c r="P79" s="12" t="s">
        <v>479</v>
      </c>
      <c r="Q79" s="12" t="s">
        <v>477</v>
      </c>
      <c r="R79" s="12" t="s">
        <v>481</v>
      </c>
      <c r="S79" s="12" t="s">
        <v>482</v>
      </c>
      <c r="T79" s="12" t="s">
        <v>483</v>
      </c>
      <c r="U79" s="12" t="s">
        <v>484</v>
      </c>
      <c r="V79" s="12" t="s">
        <v>485</v>
      </c>
      <c r="W79" s="12" t="s">
        <v>486</v>
      </c>
      <c r="X79" s="12" t="s">
        <v>487</v>
      </c>
      <c r="Y79" s="12" t="s">
        <v>488</v>
      </c>
      <c r="Z79" s="12" t="s">
        <v>489</v>
      </c>
      <c r="AA79" s="12" t="s">
        <v>490</v>
      </c>
    </row>
    <row r="80" spans="13:41" ht="16.5" x14ac:dyDescent="0.2">
      <c r="M80" s="15">
        <v>1</v>
      </c>
      <c r="N80" s="15">
        <f>INT((M80-1)/51)+1</f>
        <v>1</v>
      </c>
      <c r="O80" s="15">
        <f>INDEX(卡牌消耗!$H$13:$H$33,世界BOSS专属武器!N80)</f>
        <v>1501001</v>
      </c>
      <c r="P80" s="49" t="s">
        <v>480</v>
      </c>
      <c r="Q80" s="15">
        <f>MOD(M80-1,51)</f>
        <v>0</v>
      </c>
      <c r="R80" s="49" t="str">
        <f>IF(Q80&gt;0,"金币","[x]")</f>
        <v>[x]</v>
      </c>
      <c r="S80" s="15" t="str">
        <f>IF(Q80&gt;0,INDEX($V$27:$V$76,Q80),"[x]")</f>
        <v>[x]</v>
      </c>
      <c r="T80" s="15" t="str">
        <f>IF(Q80&gt;0,INDEX($W$27:$W$76,Q80),"[x]")</f>
        <v>[x]</v>
      </c>
      <c r="U80" s="15" t="str">
        <f>IF(Q80&gt;0,INDEX($AA$27:$AF$76,Q80,INDEX($Y$27:$Y$76,Q80)),"[x]")</f>
        <v>[x]</v>
      </c>
      <c r="V80" s="15" t="str">
        <f>IF(AND(Q80&gt;=20,Q80&lt;40),INDEX($X$27:$X$76,Q80),"[x]")</f>
        <v>[x]</v>
      </c>
      <c r="W80" s="15" t="str">
        <f>IF(AND(Q80&gt;=20,Q80&lt;40),INDEX($AA$27:$AF$76,Q80,INDEX($Z$27:$Z$76,Q80)),"[x]")</f>
        <v>[x]</v>
      </c>
      <c r="X80" s="15" t="str">
        <f>IF(Q80&gt;0,INDEX($T$27:$T$76,Q80),"[x]")</f>
        <v>[x]</v>
      </c>
      <c r="Y80" s="15" t="str">
        <f>IF(Q80&gt;0,1,"[x]")</f>
        <v>[x]</v>
      </c>
      <c r="Z80" s="15" t="str">
        <f>IF(Q80&gt;0,INDEX($AG$27:$AG$76,Q80),"[x]")</f>
        <v>[x]</v>
      </c>
      <c r="AA80" s="15" t="str">
        <f>IF(Q80&gt;0,INDEX($AL$27:$AL$76,Q80),"[x]")</f>
        <v>[x]</v>
      </c>
    </row>
    <row r="81" spans="13:27" ht="16.5" x14ac:dyDescent="0.2">
      <c r="M81" s="15">
        <v>2</v>
      </c>
      <c r="N81" s="15">
        <f t="shared" ref="N81:N144" si="22">INT((M81-1)/51)+1</f>
        <v>1</v>
      </c>
      <c r="O81" s="15">
        <f>INDEX(卡牌消耗!$H$13:$H$33,世界BOSS专属武器!N81)</f>
        <v>1501001</v>
      </c>
      <c r="P81" s="49" t="s">
        <v>480</v>
      </c>
      <c r="Q81" s="15">
        <f t="shared" ref="Q81:Q144" si="23">MOD(M81-1,51)</f>
        <v>1</v>
      </c>
      <c r="R81" s="49" t="str">
        <f t="shared" ref="R81:R144" si="24">IF(Q81&gt;0,"金币","[x]")</f>
        <v>金币</v>
      </c>
      <c r="S81" s="15">
        <f t="shared" ref="S81:S144" si="25">IF(Q81&gt;0,INDEX($V$27:$V$76,Q81),"[x]")</f>
        <v>100</v>
      </c>
      <c r="T81" s="15" t="str">
        <f t="shared" ref="T81:T144" si="26">IF(Q81&gt;0,INDEX($W$27:$W$76,Q81),"[x]")</f>
        <v>低级专属强化石</v>
      </c>
      <c r="U81" s="15">
        <f t="shared" ref="U81:U144" si="27">IF(Q81&gt;0,INDEX($AA$27:$AF$76,Q81,INDEX($Y$27:$Y$76,Q81)),"[x]")</f>
        <v>1</v>
      </c>
      <c r="V81" s="15" t="str">
        <f t="shared" ref="V81:V144" si="28">IF(AND(Q81&gt;=20,Q81&lt;40),INDEX($X$27:$X$76,Q81),"[x]")</f>
        <v>[x]</v>
      </c>
      <c r="W81" s="15" t="str">
        <f t="shared" ref="W81:W144" si="29">IF(AND(Q81&gt;=20,Q81&lt;40),INDEX($AA$27:$AF$76,Q81,INDEX($Z$27:$Z$76,Q81)),"[x]")</f>
        <v>[x]</v>
      </c>
      <c r="X81" s="15">
        <f t="shared" ref="X81:X144" si="30">IF(Q81&gt;0,INDEX($T$27:$T$76,Q81),"[x]")</f>
        <v>1</v>
      </c>
      <c r="Y81" s="15">
        <f t="shared" ref="Y81:Y144" si="31">IF(Q81&gt;0,1,"[x]")</f>
        <v>1</v>
      </c>
      <c r="Z81" s="15">
        <f t="shared" ref="Z81:Z144" si="32">IF(Q81&gt;0,INDEX($AG$27:$AG$76,Q81),"[x]")</f>
        <v>1</v>
      </c>
      <c r="AA81" s="15">
        <f t="shared" ref="AA81:AA144" si="33">IF(Q81&gt;0,INDEX($AL$27:$AL$76,Q81),"[x]")</f>
        <v>6.7000000000000002E-3</v>
      </c>
    </row>
    <row r="82" spans="13:27" ht="16.5" x14ac:dyDescent="0.2">
      <c r="M82" s="15">
        <v>3</v>
      </c>
      <c r="N82" s="15">
        <f t="shared" si="22"/>
        <v>1</v>
      </c>
      <c r="O82" s="15">
        <f>INDEX(卡牌消耗!$H$13:$H$33,世界BOSS专属武器!N82)</f>
        <v>1501001</v>
      </c>
      <c r="P82" s="49" t="s">
        <v>480</v>
      </c>
      <c r="Q82" s="15">
        <f t="shared" si="23"/>
        <v>2</v>
      </c>
      <c r="R82" s="49" t="str">
        <f t="shared" si="24"/>
        <v>金币</v>
      </c>
      <c r="S82" s="15">
        <f t="shared" si="25"/>
        <v>200</v>
      </c>
      <c r="T82" s="15" t="str">
        <f t="shared" si="26"/>
        <v>低级专属强化石</v>
      </c>
      <c r="U82" s="15">
        <f t="shared" si="27"/>
        <v>1</v>
      </c>
      <c r="V82" s="15" t="str">
        <f t="shared" si="28"/>
        <v>[x]</v>
      </c>
      <c r="W82" s="15" t="str">
        <f t="shared" si="29"/>
        <v>[x]</v>
      </c>
      <c r="X82" s="15">
        <f t="shared" si="30"/>
        <v>0.5</v>
      </c>
      <c r="Y82" s="15">
        <f t="shared" si="31"/>
        <v>1</v>
      </c>
      <c r="Z82" s="15">
        <f t="shared" si="32"/>
        <v>2</v>
      </c>
      <c r="AA82" s="15">
        <f t="shared" si="33"/>
        <v>1.3299999999999999E-2</v>
      </c>
    </row>
    <row r="83" spans="13:27" ht="16.5" x14ac:dyDescent="0.2">
      <c r="M83" s="15">
        <v>4</v>
      </c>
      <c r="N83" s="15">
        <f t="shared" si="22"/>
        <v>1</v>
      </c>
      <c r="O83" s="15">
        <f>INDEX(卡牌消耗!$H$13:$H$33,世界BOSS专属武器!N83)</f>
        <v>1501001</v>
      </c>
      <c r="P83" s="49" t="s">
        <v>480</v>
      </c>
      <c r="Q83" s="15">
        <f t="shared" si="23"/>
        <v>3</v>
      </c>
      <c r="R83" s="49" t="str">
        <f t="shared" si="24"/>
        <v>金币</v>
      </c>
      <c r="S83" s="15">
        <f t="shared" si="25"/>
        <v>300</v>
      </c>
      <c r="T83" s="15" t="str">
        <f t="shared" si="26"/>
        <v>低级专属强化石</v>
      </c>
      <c r="U83" s="15">
        <f t="shared" si="27"/>
        <v>2</v>
      </c>
      <c r="V83" s="15" t="str">
        <f t="shared" si="28"/>
        <v>[x]</v>
      </c>
      <c r="W83" s="15" t="str">
        <f t="shared" si="29"/>
        <v>[x]</v>
      </c>
      <c r="X83" s="15">
        <f t="shared" si="30"/>
        <v>0.48</v>
      </c>
      <c r="Y83" s="15">
        <f t="shared" si="31"/>
        <v>1</v>
      </c>
      <c r="Z83" s="15">
        <f t="shared" si="32"/>
        <v>3</v>
      </c>
      <c r="AA83" s="15">
        <f t="shared" si="33"/>
        <v>0.02</v>
      </c>
    </row>
    <row r="84" spans="13:27" ht="16.5" x14ac:dyDescent="0.2">
      <c r="M84" s="15">
        <v>5</v>
      </c>
      <c r="N84" s="15">
        <f t="shared" si="22"/>
        <v>1</v>
      </c>
      <c r="O84" s="15">
        <f>INDEX(卡牌消耗!$H$13:$H$33,世界BOSS专属武器!N84)</f>
        <v>1501001</v>
      </c>
      <c r="P84" s="49" t="s">
        <v>480</v>
      </c>
      <c r="Q84" s="15">
        <f t="shared" si="23"/>
        <v>4</v>
      </c>
      <c r="R84" s="49" t="str">
        <f t="shared" si="24"/>
        <v>金币</v>
      </c>
      <c r="S84" s="15">
        <f t="shared" si="25"/>
        <v>400</v>
      </c>
      <c r="T84" s="15" t="str">
        <f t="shared" si="26"/>
        <v>低级专属强化石</v>
      </c>
      <c r="U84" s="15">
        <f t="shared" si="27"/>
        <v>3</v>
      </c>
      <c r="V84" s="15" t="str">
        <f t="shared" si="28"/>
        <v>[x]</v>
      </c>
      <c r="W84" s="15" t="str">
        <f t="shared" si="29"/>
        <v>[x]</v>
      </c>
      <c r="X84" s="15">
        <f t="shared" si="30"/>
        <v>0.46</v>
      </c>
      <c r="Y84" s="15">
        <f t="shared" si="31"/>
        <v>1</v>
      </c>
      <c r="Z84" s="15">
        <f t="shared" si="32"/>
        <v>3</v>
      </c>
      <c r="AA84" s="15">
        <f t="shared" si="33"/>
        <v>2.6700000000000002E-2</v>
      </c>
    </row>
    <row r="85" spans="13:27" ht="16.5" x14ac:dyDescent="0.2">
      <c r="M85" s="15">
        <v>6</v>
      </c>
      <c r="N85" s="15">
        <f t="shared" si="22"/>
        <v>1</v>
      </c>
      <c r="O85" s="15">
        <f>INDEX(卡牌消耗!$H$13:$H$33,世界BOSS专属武器!N85)</f>
        <v>1501001</v>
      </c>
      <c r="P85" s="49" t="s">
        <v>480</v>
      </c>
      <c r="Q85" s="15">
        <f t="shared" si="23"/>
        <v>5</v>
      </c>
      <c r="R85" s="49" t="str">
        <f t="shared" si="24"/>
        <v>金币</v>
      </c>
      <c r="S85" s="15">
        <f t="shared" si="25"/>
        <v>500</v>
      </c>
      <c r="T85" s="15" t="str">
        <f t="shared" si="26"/>
        <v>低级专属强化石</v>
      </c>
      <c r="U85" s="15">
        <f t="shared" si="27"/>
        <v>4</v>
      </c>
      <c r="V85" s="15" t="str">
        <f t="shared" si="28"/>
        <v>[x]</v>
      </c>
      <c r="W85" s="15" t="str">
        <f t="shared" si="29"/>
        <v>[x]</v>
      </c>
      <c r="X85" s="15">
        <f t="shared" si="30"/>
        <v>0.44</v>
      </c>
      <c r="Y85" s="15">
        <f t="shared" si="31"/>
        <v>1</v>
      </c>
      <c r="Z85" s="15">
        <f t="shared" si="32"/>
        <v>3</v>
      </c>
      <c r="AA85" s="15">
        <f t="shared" si="33"/>
        <v>3.3300000000000003E-2</v>
      </c>
    </row>
    <row r="86" spans="13:27" ht="16.5" x14ac:dyDescent="0.2">
      <c r="M86" s="15">
        <v>7</v>
      </c>
      <c r="N86" s="15">
        <f t="shared" si="22"/>
        <v>1</v>
      </c>
      <c r="O86" s="15">
        <f>INDEX(卡牌消耗!$H$13:$H$33,世界BOSS专属武器!N86)</f>
        <v>1501001</v>
      </c>
      <c r="P86" s="49" t="s">
        <v>480</v>
      </c>
      <c r="Q86" s="15">
        <f t="shared" si="23"/>
        <v>6</v>
      </c>
      <c r="R86" s="49" t="str">
        <f t="shared" si="24"/>
        <v>金币</v>
      </c>
      <c r="S86" s="15">
        <f t="shared" si="25"/>
        <v>600</v>
      </c>
      <c r="T86" s="15" t="str">
        <f t="shared" si="26"/>
        <v>低级专属强化石</v>
      </c>
      <c r="U86" s="15">
        <f t="shared" si="27"/>
        <v>5</v>
      </c>
      <c r="V86" s="15" t="str">
        <f t="shared" si="28"/>
        <v>[x]</v>
      </c>
      <c r="W86" s="15" t="str">
        <f t="shared" si="29"/>
        <v>[x]</v>
      </c>
      <c r="X86" s="15">
        <f t="shared" si="30"/>
        <v>0.42</v>
      </c>
      <c r="Y86" s="15">
        <f t="shared" si="31"/>
        <v>1</v>
      </c>
      <c r="Z86" s="15">
        <f t="shared" si="32"/>
        <v>4</v>
      </c>
      <c r="AA86" s="15">
        <f t="shared" si="33"/>
        <v>0.04</v>
      </c>
    </row>
    <row r="87" spans="13:27" ht="16.5" x14ac:dyDescent="0.2">
      <c r="M87" s="15">
        <v>8</v>
      </c>
      <c r="N87" s="15">
        <f t="shared" si="22"/>
        <v>1</v>
      </c>
      <c r="O87" s="15">
        <f>INDEX(卡牌消耗!$H$13:$H$33,世界BOSS专属武器!N87)</f>
        <v>1501001</v>
      </c>
      <c r="P87" s="49" t="s">
        <v>480</v>
      </c>
      <c r="Q87" s="15">
        <f t="shared" si="23"/>
        <v>7</v>
      </c>
      <c r="R87" s="49" t="str">
        <f t="shared" si="24"/>
        <v>金币</v>
      </c>
      <c r="S87" s="15">
        <f t="shared" si="25"/>
        <v>700</v>
      </c>
      <c r="T87" s="15" t="str">
        <f t="shared" si="26"/>
        <v>低级专属强化石</v>
      </c>
      <c r="U87" s="15">
        <f t="shared" si="27"/>
        <v>5</v>
      </c>
      <c r="V87" s="15" t="str">
        <f t="shared" si="28"/>
        <v>[x]</v>
      </c>
      <c r="W87" s="15" t="str">
        <f t="shared" si="29"/>
        <v>[x]</v>
      </c>
      <c r="X87" s="15">
        <f t="shared" si="30"/>
        <v>0.4</v>
      </c>
      <c r="Y87" s="15">
        <f t="shared" si="31"/>
        <v>1</v>
      </c>
      <c r="Z87" s="15">
        <f t="shared" si="32"/>
        <v>4</v>
      </c>
      <c r="AA87" s="15">
        <f t="shared" si="33"/>
        <v>4.6699999999999998E-2</v>
      </c>
    </row>
    <row r="88" spans="13:27" ht="16.5" x14ac:dyDescent="0.2">
      <c r="M88" s="15">
        <v>9</v>
      </c>
      <c r="N88" s="15">
        <f t="shared" si="22"/>
        <v>1</v>
      </c>
      <c r="O88" s="15">
        <f>INDEX(卡牌消耗!$H$13:$H$33,世界BOSS专属武器!N88)</f>
        <v>1501001</v>
      </c>
      <c r="P88" s="49" t="s">
        <v>480</v>
      </c>
      <c r="Q88" s="15">
        <f t="shared" si="23"/>
        <v>8</v>
      </c>
      <c r="R88" s="49" t="str">
        <f t="shared" si="24"/>
        <v>金币</v>
      </c>
      <c r="S88" s="15">
        <f t="shared" si="25"/>
        <v>800</v>
      </c>
      <c r="T88" s="15" t="str">
        <f t="shared" si="26"/>
        <v>低级专属强化石</v>
      </c>
      <c r="U88" s="15">
        <f t="shared" si="27"/>
        <v>5</v>
      </c>
      <c r="V88" s="15" t="str">
        <f t="shared" si="28"/>
        <v>[x]</v>
      </c>
      <c r="W88" s="15" t="str">
        <f t="shared" si="29"/>
        <v>[x]</v>
      </c>
      <c r="X88" s="15">
        <f t="shared" si="30"/>
        <v>0.38</v>
      </c>
      <c r="Y88" s="15">
        <f t="shared" si="31"/>
        <v>1</v>
      </c>
      <c r="Z88" s="15">
        <f t="shared" si="32"/>
        <v>5</v>
      </c>
      <c r="AA88" s="15">
        <f t="shared" si="33"/>
        <v>5.33E-2</v>
      </c>
    </row>
    <row r="89" spans="13:27" ht="16.5" x14ac:dyDescent="0.2">
      <c r="M89" s="15">
        <v>10</v>
      </c>
      <c r="N89" s="15">
        <f t="shared" si="22"/>
        <v>1</v>
      </c>
      <c r="O89" s="15">
        <f>INDEX(卡牌消耗!$H$13:$H$33,世界BOSS专属武器!N89)</f>
        <v>1501001</v>
      </c>
      <c r="P89" s="49" t="s">
        <v>480</v>
      </c>
      <c r="Q89" s="15">
        <f t="shared" si="23"/>
        <v>9</v>
      </c>
      <c r="R89" s="49" t="str">
        <f t="shared" si="24"/>
        <v>金币</v>
      </c>
      <c r="S89" s="15">
        <f t="shared" si="25"/>
        <v>900</v>
      </c>
      <c r="T89" s="15" t="str">
        <f t="shared" si="26"/>
        <v>低级专属强化石</v>
      </c>
      <c r="U89" s="15">
        <f t="shared" si="27"/>
        <v>5</v>
      </c>
      <c r="V89" s="15" t="str">
        <f t="shared" si="28"/>
        <v>[x]</v>
      </c>
      <c r="W89" s="15" t="str">
        <f t="shared" si="29"/>
        <v>[x]</v>
      </c>
      <c r="X89" s="15">
        <f t="shared" si="30"/>
        <v>0.36</v>
      </c>
      <c r="Y89" s="15">
        <f t="shared" si="31"/>
        <v>1</v>
      </c>
      <c r="Z89" s="15">
        <f t="shared" si="32"/>
        <v>5</v>
      </c>
      <c r="AA89" s="15">
        <f t="shared" si="33"/>
        <v>0.06</v>
      </c>
    </row>
    <row r="90" spans="13:27" ht="16.5" x14ac:dyDescent="0.2">
      <c r="M90" s="15">
        <v>11</v>
      </c>
      <c r="N90" s="15">
        <f t="shared" si="22"/>
        <v>1</v>
      </c>
      <c r="O90" s="15">
        <f>INDEX(卡牌消耗!$H$13:$H$33,世界BOSS专属武器!N90)</f>
        <v>1501001</v>
      </c>
      <c r="P90" s="49" t="s">
        <v>480</v>
      </c>
      <c r="Q90" s="15">
        <f t="shared" si="23"/>
        <v>10</v>
      </c>
      <c r="R90" s="49" t="str">
        <f t="shared" si="24"/>
        <v>金币</v>
      </c>
      <c r="S90" s="15">
        <f t="shared" si="25"/>
        <v>1000</v>
      </c>
      <c r="T90" s="15" t="str">
        <f t="shared" si="26"/>
        <v>低级专属强化石</v>
      </c>
      <c r="U90" s="15">
        <f t="shared" si="27"/>
        <v>7</v>
      </c>
      <c r="V90" s="15" t="str">
        <f t="shared" si="28"/>
        <v>[x]</v>
      </c>
      <c r="W90" s="15" t="str">
        <f t="shared" si="29"/>
        <v>[x]</v>
      </c>
      <c r="X90" s="15">
        <f t="shared" si="30"/>
        <v>0.35</v>
      </c>
      <c r="Y90" s="15">
        <f t="shared" si="31"/>
        <v>1</v>
      </c>
      <c r="Z90" s="15">
        <f t="shared" si="32"/>
        <v>5</v>
      </c>
      <c r="AA90" s="15">
        <f t="shared" si="33"/>
        <v>6.6699999999999995E-2</v>
      </c>
    </row>
    <row r="91" spans="13:27" ht="16.5" x14ac:dyDescent="0.2">
      <c r="M91" s="15">
        <v>12</v>
      </c>
      <c r="N91" s="15">
        <f t="shared" si="22"/>
        <v>1</v>
      </c>
      <c r="O91" s="15">
        <f>INDEX(卡牌消耗!$H$13:$H$33,世界BOSS专属武器!N91)</f>
        <v>1501001</v>
      </c>
      <c r="P91" s="49" t="s">
        <v>480</v>
      </c>
      <c r="Q91" s="15">
        <f t="shared" si="23"/>
        <v>11</v>
      </c>
      <c r="R91" s="49" t="str">
        <f t="shared" si="24"/>
        <v>金币</v>
      </c>
      <c r="S91" s="15">
        <f t="shared" si="25"/>
        <v>1000</v>
      </c>
      <c r="T91" s="15" t="str">
        <f t="shared" si="26"/>
        <v>低级专属强化石</v>
      </c>
      <c r="U91" s="15">
        <f t="shared" si="27"/>
        <v>7</v>
      </c>
      <c r="V91" s="15" t="str">
        <f t="shared" si="28"/>
        <v>[x]</v>
      </c>
      <c r="W91" s="15" t="str">
        <f t="shared" si="29"/>
        <v>[x]</v>
      </c>
      <c r="X91" s="15">
        <f t="shared" si="30"/>
        <v>0.33</v>
      </c>
      <c r="Y91" s="15">
        <f t="shared" si="31"/>
        <v>1</v>
      </c>
      <c r="Z91" s="15">
        <f t="shared" si="32"/>
        <v>6</v>
      </c>
      <c r="AA91" s="15">
        <f t="shared" si="33"/>
        <v>0.08</v>
      </c>
    </row>
    <row r="92" spans="13:27" ht="16.5" x14ac:dyDescent="0.2">
      <c r="M92" s="15">
        <v>13</v>
      </c>
      <c r="N92" s="15">
        <f t="shared" si="22"/>
        <v>1</v>
      </c>
      <c r="O92" s="15">
        <f>INDEX(卡牌消耗!$H$13:$H$33,世界BOSS专属武器!N92)</f>
        <v>1501001</v>
      </c>
      <c r="P92" s="49" t="s">
        <v>480</v>
      </c>
      <c r="Q92" s="15">
        <f t="shared" si="23"/>
        <v>12</v>
      </c>
      <c r="R92" s="49" t="str">
        <f t="shared" si="24"/>
        <v>金币</v>
      </c>
      <c r="S92" s="15">
        <f t="shared" si="25"/>
        <v>1000</v>
      </c>
      <c r="T92" s="15" t="str">
        <f t="shared" si="26"/>
        <v>低级专属强化石</v>
      </c>
      <c r="U92" s="15">
        <f t="shared" si="27"/>
        <v>7</v>
      </c>
      <c r="V92" s="15" t="str">
        <f t="shared" si="28"/>
        <v>[x]</v>
      </c>
      <c r="W92" s="15" t="str">
        <f t="shared" si="29"/>
        <v>[x]</v>
      </c>
      <c r="X92" s="15">
        <f t="shared" si="30"/>
        <v>0.31</v>
      </c>
      <c r="Y92" s="15">
        <f t="shared" si="31"/>
        <v>1</v>
      </c>
      <c r="Z92" s="15">
        <f t="shared" si="32"/>
        <v>6</v>
      </c>
      <c r="AA92" s="15">
        <f t="shared" si="33"/>
        <v>9.3299999999999994E-2</v>
      </c>
    </row>
    <row r="93" spans="13:27" ht="16.5" x14ac:dyDescent="0.2">
      <c r="M93" s="15">
        <v>14</v>
      </c>
      <c r="N93" s="15">
        <f t="shared" si="22"/>
        <v>1</v>
      </c>
      <c r="O93" s="15">
        <f>INDEX(卡牌消耗!$H$13:$H$33,世界BOSS专属武器!N93)</f>
        <v>1501001</v>
      </c>
      <c r="P93" s="49" t="s">
        <v>480</v>
      </c>
      <c r="Q93" s="15">
        <f t="shared" si="23"/>
        <v>13</v>
      </c>
      <c r="R93" s="49" t="str">
        <f t="shared" si="24"/>
        <v>金币</v>
      </c>
      <c r="S93" s="15">
        <f t="shared" si="25"/>
        <v>1000</v>
      </c>
      <c r="T93" s="15" t="str">
        <f t="shared" si="26"/>
        <v>低级专属强化石</v>
      </c>
      <c r="U93" s="15">
        <f t="shared" si="27"/>
        <v>7</v>
      </c>
      <c r="V93" s="15" t="str">
        <f t="shared" si="28"/>
        <v>[x]</v>
      </c>
      <c r="W93" s="15" t="str">
        <f t="shared" si="29"/>
        <v>[x]</v>
      </c>
      <c r="X93" s="15">
        <f t="shared" si="30"/>
        <v>0.28999999999999998</v>
      </c>
      <c r="Y93" s="15">
        <f t="shared" si="31"/>
        <v>1</v>
      </c>
      <c r="Z93" s="15">
        <f t="shared" si="32"/>
        <v>7</v>
      </c>
      <c r="AA93" s="15">
        <f t="shared" si="33"/>
        <v>0.1067</v>
      </c>
    </row>
    <row r="94" spans="13:27" ht="16.5" x14ac:dyDescent="0.2">
      <c r="M94" s="15">
        <v>15</v>
      </c>
      <c r="N94" s="15">
        <f t="shared" si="22"/>
        <v>1</v>
      </c>
      <c r="O94" s="15">
        <f>INDEX(卡牌消耗!$H$13:$H$33,世界BOSS专属武器!N94)</f>
        <v>1501001</v>
      </c>
      <c r="P94" s="49" t="s">
        <v>480</v>
      </c>
      <c r="Q94" s="15">
        <f t="shared" si="23"/>
        <v>14</v>
      </c>
      <c r="R94" s="49" t="str">
        <f t="shared" si="24"/>
        <v>金币</v>
      </c>
      <c r="S94" s="15">
        <f t="shared" si="25"/>
        <v>1000</v>
      </c>
      <c r="T94" s="15" t="str">
        <f t="shared" si="26"/>
        <v>低级专属强化石</v>
      </c>
      <c r="U94" s="15">
        <f t="shared" si="27"/>
        <v>7</v>
      </c>
      <c r="V94" s="15" t="str">
        <f t="shared" si="28"/>
        <v>[x]</v>
      </c>
      <c r="W94" s="15" t="str">
        <f t="shared" si="29"/>
        <v>[x]</v>
      </c>
      <c r="X94" s="15">
        <f t="shared" si="30"/>
        <v>0.27</v>
      </c>
      <c r="Y94" s="15">
        <f t="shared" si="31"/>
        <v>1</v>
      </c>
      <c r="Z94" s="15">
        <f t="shared" si="32"/>
        <v>7</v>
      </c>
      <c r="AA94" s="15">
        <f t="shared" si="33"/>
        <v>0.12</v>
      </c>
    </row>
    <row r="95" spans="13:27" ht="16.5" x14ac:dyDescent="0.2">
      <c r="M95" s="15">
        <v>16</v>
      </c>
      <c r="N95" s="15">
        <f t="shared" si="22"/>
        <v>1</v>
      </c>
      <c r="O95" s="15">
        <f>INDEX(卡牌消耗!$H$13:$H$33,世界BOSS专属武器!N95)</f>
        <v>1501001</v>
      </c>
      <c r="P95" s="49" t="s">
        <v>480</v>
      </c>
      <c r="Q95" s="15">
        <f t="shared" si="23"/>
        <v>15</v>
      </c>
      <c r="R95" s="49" t="str">
        <f t="shared" si="24"/>
        <v>金币</v>
      </c>
      <c r="S95" s="15">
        <f t="shared" si="25"/>
        <v>1000</v>
      </c>
      <c r="T95" s="15" t="str">
        <f t="shared" si="26"/>
        <v>低级专属强化石</v>
      </c>
      <c r="U95" s="15">
        <f t="shared" si="27"/>
        <v>10</v>
      </c>
      <c r="V95" s="15" t="str">
        <f t="shared" si="28"/>
        <v>[x]</v>
      </c>
      <c r="W95" s="15" t="str">
        <f t="shared" si="29"/>
        <v>[x]</v>
      </c>
      <c r="X95" s="15">
        <f t="shared" si="30"/>
        <v>0.25</v>
      </c>
      <c r="Y95" s="15">
        <f t="shared" si="31"/>
        <v>1</v>
      </c>
      <c r="Z95" s="15">
        <f t="shared" si="32"/>
        <v>8</v>
      </c>
      <c r="AA95" s="15">
        <f t="shared" si="33"/>
        <v>0.1333</v>
      </c>
    </row>
    <row r="96" spans="13:27" ht="16.5" x14ac:dyDescent="0.2">
      <c r="M96" s="15">
        <v>17</v>
      </c>
      <c r="N96" s="15">
        <f t="shared" si="22"/>
        <v>1</v>
      </c>
      <c r="O96" s="15">
        <f>INDEX(卡牌消耗!$H$13:$H$33,世界BOSS专属武器!N96)</f>
        <v>1501001</v>
      </c>
      <c r="P96" s="49" t="s">
        <v>480</v>
      </c>
      <c r="Q96" s="15">
        <f t="shared" si="23"/>
        <v>16</v>
      </c>
      <c r="R96" s="49" t="str">
        <f t="shared" si="24"/>
        <v>金币</v>
      </c>
      <c r="S96" s="15">
        <f t="shared" si="25"/>
        <v>1000</v>
      </c>
      <c r="T96" s="15" t="str">
        <f t="shared" si="26"/>
        <v>低级专属强化石</v>
      </c>
      <c r="U96" s="15">
        <f t="shared" si="27"/>
        <v>10</v>
      </c>
      <c r="V96" s="15" t="str">
        <f t="shared" si="28"/>
        <v>[x]</v>
      </c>
      <c r="W96" s="15" t="str">
        <f t="shared" si="29"/>
        <v>[x]</v>
      </c>
      <c r="X96" s="15">
        <f t="shared" si="30"/>
        <v>0.23</v>
      </c>
      <c r="Y96" s="15">
        <f t="shared" si="31"/>
        <v>1</v>
      </c>
      <c r="Z96" s="15">
        <f t="shared" si="32"/>
        <v>9</v>
      </c>
      <c r="AA96" s="15">
        <f t="shared" si="33"/>
        <v>0.1467</v>
      </c>
    </row>
    <row r="97" spans="13:27" ht="16.5" x14ac:dyDescent="0.2">
      <c r="M97" s="15">
        <v>18</v>
      </c>
      <c r="N97" s="15">
        <f t="shared" si="22"/>
        <v>1</v>
      </c>
      <c r="O97" s="15">
        <f>INDEX(卡牌消耗!$H$13:$H$33,世界BOSS专属武器!N97)</f>
        <v>1501001</v>
      </c>
      <c r="P97" s="49" t="s">
        <v>480</v>
      </c>
      <c r="Q97" s="15">
        <f t="shared" si="23"/>
        <v>17</v>
      </c>
      <c r="R97" s="49" t="str">
        <f t="shared" si="24"/>
        <v>金币</v>
      </c>
      <c r="S97" s="15">
        <f t="shared" si="25"/>
        <v>1000</v>
      </c>
      <c r="T97" s="15" t="str">
        <f t="shared" si="26"/>
        <v>低级专属强化石</v>
      </c>
      <c r="U97" s="15">
        <f t="shared" si="27"/>
        <v>10</v>
      </c>
      <c r="V97" s="15" t="str">
        <f t="shared" si="28"/>
        <v>[x]</v>
      </c>
      <c r="W97" s="15" t="str">
        <f t="shared" si="29"/>
        <v>[x]</v>
      </c>
      <c r="X97" s="15">
        <f t="shared" si="30"/>
        <v>0.21</v>
      </c>
      <c r="Y97" s="15">
        <f t="shared" si="31"/>
        <v>1</v>
      </c>
      <c r="Z97" s="15">
        <f t="shared" si="32"/>
        <v>10</v>
      </c>
      <c r="AA97" s="15">
        <f t="shared" si="33"/>
        <v>0.16</v>
      </c>
    </row>
    <row r="98" spans="13:27" ht="16.5" x14ac:dyDescent="0.2">
      <c r="M98" s="15">
        <v>19</v>
      </c>
      <c r="N98" s="15">
        <f t="shared" si="22"/>
        <v>1</v>
      </c>
      <c r="O98" s="15">
        <f>INDEX(卡牌消耗!$H$13:$H$33,世界BOSS专属武器!N98)</f>
        <v>1501001</v>
      </c>
      <c r="P98" s="49" t="s">
        <v>480</v>
      </c>
      <c r="Q98" s="15">
        <f t="shared" si="23"/>
        <v>18</v>
      </c>
      <c r="R98" s="49" t="str">
        <f t="shared" si="24"/>
        <v>金币</v>
      </c>
      <c r="S98" s="15">
        <f t="shared" si="25"/>
        <v>1000</v>
      </c>
      <c r="T98" s="15" t="str">
        <f t="shared" si="26"/>
        <v>低级专属强化石</v>
      </c>
      <c r="U98" s="15">
        <f t="shared" si="27"/>
        <v>10</v>
      </c>
      <c r="V98" s="15" t="str">
        <f t="shared" si="28"/>
        <v>[x]</v>
      </c>
      <c r="W98" s="15" t="str">
        <f t="shared" si="29"/>
        <v>[x]</v>
      </c>
      <c r="X98" s="15">
        <f t="shared" si="30"/>
        <v>0.19</v>
      </c>
      <c r="Y98" s="15">
        <f t="shared" si="31"/>
        <v>1</v>
      </c>
      <c r="Z98" s="15">
        <f t="shared" si="32"/>
        <v>11</v>
      </c>
      <c r="AA98" s="15">
        <f t="shared" si="33"/>
        <v>0.17330000000000001</v>
      </c>
    </row>
    <row r="99" spans="13:27" ht="16.5" x14ac:dyDescent="0.2">
      <c r="M99" s="15">
        <v>20</v>
      </c>
      <c r="N99" s="15">
        <f t="shared" si="22"/>
        <v>1</v>
      </c>
      <c r="O99" s="15">
        <f>INDEX(卡牌消耗!$H$13:$H$33,世界BOSS专属武器!N99)</f>
        <v>1501001</v>
      </c>
      <c r="P99" s="49" t="s">
        <v>480</v>
      </c>
      <c r="Q99" s="15">
        <f t="shared" si="23"/>
        <v>19</v>
      </c>
      <c r="R99" s="49" t="str">
        <f t="shared" si="24"/>
        <v>金币</v>
      </c>
      <c r="S99" s="15">
        <f t="shared" si="25"/>
        <v>1000</v>
      </c>
      <c r="T99" s="15" t="str">
        <f t="shared" si="26"/>
        <v>低级专属强化石</v>
      </c>
      <c r="U99" s="15">
        <f t="shared" si="27"/>
        <v>10</v>
      </c>
      <c r="V99" s="15" t="str">
        <f t="shared" si="28"/>
        <v>[x]</v>
      </c>
      <c r="W99" s="15" t="str">
        <f t="shared" si="29"/>
        <v>[x]</v>
      </c>
      <c r="X99" s="15">
        <f t="shared" si="30"/>
        <v>0.17</v>
      </c>
      <c r="Y99" s="15">
        <f t="shared" si="31"/>
        <v>1</v>
      </c>
      <c r="Z99" s="15">
        <f t="shared" si="32"/>
        <v>12</v>
      </c>
      <c r="AA99" s="15">
        <f t="shared" si="33"/>
        <v>0.1867</v>
      </c>
    </row>
    <row r="100" spans="13:27" ht="16.5" x14ac:dyDescent="0.2">
      <c r="M100" s="15">
        <v>21</v>
      </c>
      <c r="N100" s="15">
        <f t="shared" si="22"/>
        <v>1</v>
      </c>
      <c r="O100" s="15">
        <f>INDEX(卡牌消耗!$H$13:$H$33,世界BOSS专属武器!N100)</f>
        <v>1501001</v>
      </c>
      <c r="P100" s="49" t="s">
        <v>480</v>
      </c>
      <c r="Q100" s="15">
        <f t="shared" si="23"/>
        <v>20</v>
      </c>
      <c r="R100" s="49" t="str">
        <f t="shared" si="24"/>
        <v>金币</v>
      </c>
      <c r="S100" s="15">
        <f t="shared" si="25"/>
        <v>5000</v>
      </c>
      <c r="T100" s="15" t="str">
        <f t="shared" si="26"/>
        <v>低级专属强化石</v>
      </c>
      <c r="U100" s="15">
        <f t="shared" si="27"/>
        <v>15</v>
      </c>
      <c r="V100" s="15" t="str">
        <f t="shared" si="28"/>
        <v>中级专属强化石</v>
      </c>
      <c r="W100" s="15">
        <f t="shared" si="29"/>
        <v>7</v>
      </c>
      <c r="X100" s="15">
        <f t="shared" si="30"/>
        <v>0.15</v>
      </c>
      <c r="Y100" s="15">
        <f t="shared" si="31"/>
        <v>1</v>
      </c>
      <c r="Z100" s="15">
        <f t="shared" si="32"/>
        <v>15</v>
      </c>
      <c r="AA100" s="15">
        <f t="shared" si="33"/>
        <v>0.2</v>
      </c>
    </row>
    <row r="101" spans="13:27" ht="16.5" x14ac:dyDescent="0.2">
      <c r="M101" s="15">
        <v>22</v>
      </c>
      <c r="N101" s="15">
        <f t="shared" si="22"/>
        <v>1</v>
      </c>
      <c r="O101" s="15">
        <f>INDEX(卡牌消耗!$H$13:$H$33,世界BOSS专属武器!N101)</f>
        <v>1501001</v>
      </c>
      <c r="P101" s="49" t="s">
        <v>480</v>
      </c>
      <c r="Q101" s="15">
        <f t="shared" si="23"/>
        <v>21</v>
      </c>
      <c r="R101" s="49" t="str">
        <f t="shared" si="24"/>
        <v>金币</v>
      </c>
      <c r="S101" s="15">
        <f t="shared" si="25"/>
        <v>5000</v>
      </c>
      <c r="T101" s="15" t="str">
        <f t="shared" si="26"/>
        <v>低级专属强化石</v>
      </c>
      <c r="U101" s="15">
        <f t="shared" si="27"/>
        <v>15</v>
      </c>
      <c r="V101" s="15" t="str">
        <f t="shared" si="28"/>
        <v>中级专属强化石</v>
      </c>
      <c r="W101" s="15">
        <f t="shared" si="29"/>
        <v>7</v>
      </c>
      <c r="X101" s="15">
        <f t="shared" si="30"/>
        <v>0.15</v>
      </c>
      <c r="Y101" s="15">
        <f t="shared" si="31"/>
        <v>1</v>
      </c>
      <c r="Z101" s="15">
        <f t="shared" si="32"/>
        <v>15</v>
      </c>
      <c r="AA101" s="15">
        <f t="shared" si="33"/>
        <v>0.22</v>
      </c>
    </row>
    <row r="102" spans="13:27" ht="16.5" x14ac:dyDescent="0.2">
      <c r="M102" s="15">
        <v>23</v>
      </c>
      <c r="N102" s="15">
        <f t="shared" si="22"/>
        <v>1</v>
      </c>
      <c r="O102" s="15">
        <f>INDEX(卡牌消耗!$H$13:$H$33,世界BOSS专属武器!N102)</f>
        <v>1501001</v>
      </c>
      <c r="P102" s="49" t="s">
        <v>480</v>
      </c>
      <c r="Q102" s="15">
        <f t="shared" si="23"/>
        <v>22</v>
      </c>
      <c r="R102" s="49" t="str">
        <f t="shared" si="24"/>
        <v>金币</v>
      </c>
      <c r="S102" s="15">
        <f t="shared" si="25"/>
        <v>5000</v>
      </c>
      <c r="T102" s="15" t="str">
        <f t="shared" si="26"/>
        <v>低级专属强化石</v>
      </c>
      <c r="U102" s="15">
        <f t="shared" si="27"/>
        <v>15</v>
      </c>
      <c r="V102" s="15" t="str">
        <f t="shared" si="28"/>
        <v>中级专属强化石</v>
      </c>
      <c r="W102" s="15">
        <f t="shared" si="29"/>
        <v>7</v>
      </c>
      <c r="X102" s="15">
        <f t="shared" si="30"/>
        <v>0.15</v>
      </c>
      <c r="Y102" s="15">
        <f t="shared" si="31"/>
        <v>1</v>
      </c>
      <c r="Z102" s="15">
        <f t="shared" si="32"/>
        <v>15</v>
      </c>
      <c r="AA102" s="15">
        <f t="shared" si="33"/>
        <v>0.24</v>
      </c>
    </row>
    <row r="103" spans="13:27" ht="16.5" x14ac:dyDescent="0.2">
      <c r="M103" s="15">
        <v>24</v>
      </c>
      <c r="N103" s="15">
        <f t="shared" si="22"/>
        <v>1</v>
      </c>
      <c r="O103" s="15">
        <f>INDEX(卡牌消耗!$H$13:$H$33,世界BOSS专属武器!N103)</f>
        <v>1501001</v>
      </c>
      <c r="P103" s="49" t="s">
        <v>480</v>
      </c>
      <c r="Q103" s="15">
        <f t="shared" si="23"/>
        <v>23</v>
      </c>
      <c r="R103" s="49" t="str">
        <f t="shared" si="24"/>
        <v>金币</v>
      </c>
      <c r="S103" s="15">
        <f t="shared" si="25"/>
        <v>5000</v>
      </c>
      <c r="T103" s="15" t="str">
        <f t="shared" si="26"/>
        <v>低级专属强化石</v>
      </c>
      <c r="U103" s="15">
        <f t="shared" si="27"/>
        <v>15</v>
      </c>
      <c r="V103" s="15" t="str">
        <f t="shared" si="28"/>
        <v>中级专属强化石</v>
      </c>
      <c r="W103" s="15">
        <f t="shared" si="29"/>
        <v>7</v>
      </c>
      <c r="X103" s="15">
        <f t="shared" si="30"/>
        <v>0.15</v>
      </c>
      <c r="Y103" s="15">
        <f t="shared" si="31"/>
        <v>1</v>
      </c>
      <c r="Z103" s="15">
        <f t="shared" si="32"/>
        <v>18</v>
      </c>
      <c r="AA103" s="15">
        <f t="shared" si="33"/>
        <v>0.26</v>
      </c>
    </row>
    <row r="104" spans="13:27" ht="16.5" x14ac:dyDescent="0.2">
      <c r="M104" s="15">
        <v>25</v>
      </c>
      <c r="N104" s="15">
        <f t="shared" si="22"/>
        <v>1</v>
      </c>
      <c r="O104" s="15">
        <f>INDEX(卡牌消耗!$H$13:$H$33,世界BOSS专属武器!N104)</f>
        <v>1501001</v>
      </c>
      <c r="P104" s="49" t="s">
        <v>480</v>
      </c>
      <c r="Q104" s="15">
        <f t="shared" si="23"/>
        <v>24</v>
      </c>
      <c r="R104" s="49" t="str">
        <f t="shared" si="24"/>
        <v>金币</v>
      </c>
      <c r="S104" s="15">
        <f t="shared" si="25"/>
        <v>5000</v>
      </c>
      <c r="T104" s="15" t="str">
        <f t="shared" si="26"/>
        <v>低级专属强化石</v>
      </c>
      <c r="U104" s="15">
        <f t="shared" si="27"/>
        <v>15</v>
      </c>
      <c r="V104" s="15" t="str">
        <f t="shared" si="28"/>
        <v>中级专属强化石</v>
      </c>
      <c r="W104" s="15">
        <f t="shared" si="29"/>
        <v>7</v>
      </c>
      <c r="X104" s="15">
        <f t="shared" si="30"/>
        <v>0.15</v>
      </c>
      <c r="Y104" s="15">
        <f t="shared" si="31"/>
        <v>1</v>
      </c>
      <c r="Z104" s="15">
        <f t="shared" si="32"/>
        <v>18</v>
      </c>
      <c r="AA104" s="15">
        <f t="shared" si="33"/>
        <v>0.28000000000000003</v>
      </c>
    </row>
    <row r="105" spans="13:27" ht="16.5" x14ac:dyDescent="0.2">
      <c r="M105" s="15">
        <v>26</v>
      </c>
      <c r="N105" s="15">
        <f t="shared" si="22"/>
        <v>1</v>
      </c>
      <c r="O105" s="15">
        <f>INDEX(卡牌消耗!$H$13:$H$33,世界BOSS专属武器!N105)</f>
        <v>1501001</v>
      </c>
      <c r="P105" s="49" t="s">
        <v>480</v>
      </c>
      <c r="Q105" s="15">
        <f t="shared" si="23"/>
        <v>25</v>
      </c>
      <c r="R105" s="49" t="str">
        <f t="shared" si="24"/>
        <v>金币</v>
      </c>
      <c r="S105" s="15">
        <f t="shared" si="25"/>
        <v>5000</v>
      </c>
      <c r="T105" s="15" t="str">
        <f t="shared" si="26"/>
        <v>低级专属强化石</v>
      </c>
      <c r="U105" s="15">
        <f t="shared" si="27"/>
        <v>15</v>
      </c>
      <c r="V105" s="15" t="str">
        <f t="shared" si="28"/>
        <v>中级专属强化石</v>
      </c>
      <c r="W105" s="15">
        <f t="shared" si="29"/>
        <v>7</v>
      </c>
      <c r="X105" s="15">
        <f t="shared" si="30"/>
        <v>0.15</v>
      </c>
      <c r="Y105" s="15">
        <f t="shared" si="31"/>
        <v>1</v>
      </c>
      <c r="Z105" s="15">
        <f t="shared" si="32"/>
        <v>18</v>
      </c>
      <c r="AA105" s="15">
        <f t="shared" si="33"/>
        <v>0.3</v>
      </c>
    </row>
    <row r="106" spans="13:27" ht="16.5" x14ac:dyDescent="0.2">
      <c r="M106" s="15">
        <v>27</v>
      </c>
      <c r="N106" s="15">
        <f t="shared" si="22"/>
        <v>1</v>
      </c>
      <c r="O106" s="15">
        <f>INDEX(卡牌消耗!$H$13:$H$33,世界BOSS专属武器!N106)</f>
        <v>1501001</v>
      </c>
      <c r="P106" s="49" t="s">
        <v>480</v>
      </c>
      <c r="Q106" s="15">
        <f t="shared" si="23"/>
        <v>26</v>
      </c>
      <c r="R106" s="49" t="str">
        <f t="shared" si="24"/>
        <v>金币</v>
      </c>
      <c r="S106" s="15">
        <f t="shared" si="25"/>
        <v>5000</v>
      </c>
      <c r="T106" s="15" t="str">
        <f t="shared" si="26"/>
        <v>低级专属强化石</v>
      </c>
      <c r="U106" s="15">
        <f t="shared" si="27"/>
        <v>15</v>
      </c>
      <c r="V106" s="15" t="str">
        <f t="shared" si="28"/>
        <v>中级专属强化石</v>
      </c>
      <c r="W106" s="15">
        <f t="shared" si="29"/>
        <v>7</v>
      </c>
      <c r="X106" s="15">
        <f t="shared" si="30"/>
        <v>0.15</v>
      </c>
      <c r="Y106" s="15">
        <f t="shared" si="31"/>
        <v>1</v>
      </c>
      <c r="Z106" s="15">
        <f t="shared" si="32"/>
        <v>21</v>
      </c>
      <c r="AA106" s="15">
        <f t="shared" si="33"/>
        <v>0.32</v>
      </c>
    </row>
    <row r="107" spans="13:27" ht="16.5" x14ac:dyDescent="0.2">
      <c r="M107" s="15">
        <v>28</v>
      </c>
      <c r="N107" s="15">
        <f t="shared" si="22"/>
        <v>1</v>
      </c>
      <c r="O107" s="15">
        <f>INDEX(卡牌消耗!$H$13:$H$33,世界BOSS专属武器!N107)</f>
        <v>1501001</v>
      </c>
      <c r="P107" s="49" t="s">
        <v>480</v>
      </c>
      <c r="Q107" s="15">
        <f t="shared" si="23"/>
        <v>27</v>
      </c>
      <c r="R107" s="49" t="str">
        <f t="shared" si="24"/>
        <v>金币</v>
      </c>
      <c r="S107" s="15">
        <f t="shared" si="25"/>
        <v>5000</v>
      </c>
      <c r="T107" s="15" t="str">
        <f t="shared" si="26"/>
        <v>低级专属强化石</v>
      </c>
      <c r="U107" s="15">
        <f t="shared" si="27"/>
        <v>15</v>
      </c>
      <c r="V107" s="15" t="str">
        <f t="shared" si="28"/>
        <v>中级专属强化石</v>
      </c>
      <c r="W107" s="15">
        <f t="shared" si="29"/>
        <v>7</v>
      </c>
      <c r="X107" s="15">
        <f t="shared" si="30"/>
        <v>0.15</v>
      </c>
      <c r="Y107" s="15">
        <f t="shared" si="31"/>
        <v>1</v>
      </c>
      <c r="Z107" s="15">
        <f t="shared" si="32"/>
        <v>22</v>
      </c>
      <c r="AA107" s="15">
        <f t="shared" si="33"/>
        <v>0.34</v>
      </c>
    </row>
    <row r="108" spans="13:27" ht="16.5" x14ac:dyDescent="0.2">
      <c r="M108" s="15">
        <v>29</v>
      </c>
      <c r="N108" s="15">
        <f t="shared" si="22"/>
        <v>1</v>
      </c>
      <c r="O108" s="15">
        <f>INDEX(卡牌消耗!$H$13:$H$33,世界BOSS专属武器!N108)</f>
        <v>1501001</v>
      </c>
      <c r="P108" s="49" t="s">
        <v>480</v>
      </c>
      <c r="Q108" s="15">
        <f t="shared" si="23"/>
        <v>28</v>
      </c>
      <c r="R108" s="49" t="str">
        <f t="shared" si="24"/>
        <v>金币</v>
      </c>
      <c r="S108" s="15">
        <f t="shared" si="25"/>
        <v>5000</v>
      </c>
      <c r="T108" s="15" t="str">
        <f t="shared" si="26"/>
        <v>低级专属强化石</v>
      </c>
      <c r="U108" s="15">
        <f t="shared" si="27"/>
        <v>15</v>
      </c>
      <c r="V108" s="15" t="str">
        <f t="shared" si="28"/>
        <v>中级专属强化石</v>
      </c>
      <c r="W108" s="15">
        <f t="shared" si="29"/>
        <v>7</v>
      </c>
      <c r="X108" s="15">
        <f t="shared" si="30"/>
        <v>0.15</v>
      </c>
      <c r="Y108" s="15">
        <f t="shared" si="31"/>
        <v>1</v>
      </c>
      <c r="Z108" s="15">
        <f t="shared" si="32"/>
        <v>23</v>
      </c>
      <c r="AA108" s="15">
        <f t="shared" si="33"/>
        <v>0.36</v>
      </c>
    </row>
    <row r="109" spans="13:27" ht="16.5" x14ac:dyDescent="0.2">
      <c r="M109" s="15">
        <v>30</v>
      </c>
      <c r="N109" s="15">
        <f t="shared" si="22"/>
        <v>1</v>
      </c>
      <c r="O109" s="15">
        <f>INDEX(卡牌消耗!$H$13:$H$33,世界BOSS专属武器!N109)</f>
        <v>1501001</v>
      </c>
      <c r="P109" s="49" t="s">
        <v>480</v>
      </c>
      <c r="Q109" s="15">
        <f t="shared" si="23"/>
        <v>29</v>
      </c>
      <c r="R109" s="49" t="str">
        <f t="shared" si="24"/>
        <v>金币</v>
      </c>
      <c r="S109" s="15">
        <f t="shared" si="25"/>
        <v>5000</v>
      </c>
      <c r="T109" s="15" t="str">
        <f t="shared" si="26"/>
        <v>低级专属强化石</v>
      </c>
      <c r="U109" s="15">
        <f t="shared" si="27"/>
        <v>15</v>
      </c>
      <c r="V109" s="15" t="str">
        <f t="shared" si="28"/>
        <v>中级专属强化石</v>
      </c>
      <c r="W109" s="15">
        <f t="shared" si="29"/>
        <v>7</v>
      </c>
      <c r="X109" s="15">
        <f t="shared" si="30"/>
        <v>0.15</v>
      </c>
      <c r="Y109" s="15">
        <f t="shared" si="31"/>
        <v>1</v>
      </c>
      <c r="Z109" s="15">
        <f t="shared" si="32"/>
        <v>25</v>
      </c>
      <c r="AA109" s="15">
        <f t="shared" si="33"/>
        <v>0.38</v>
      </c>
    </row>
    <row r="110" spans="13:27" ht="16.5" x14ac:dyDescent="0.2">
      <c r="M110" s="15">
        <v>31</v>
      </c>
      <c r="N110" s="15">
        <f t="shared" si="22"/>
        <v>1</v>
      </c>
      <c r="O110" s="15">
        <f>INDEX(卡牌消耗!$H$13:$H$33,世界BOSS专属武器!N110)</f>
        <v>1501001</v>
      </c>
      <c r="P110" s="49" t="s">
        <v>480</v>
      </c>
      <c r="Q110" s="15">
        <f t="shared" si="23"/>
        <v>30</v>
      </c>
      <c r="R110" s="49" t="str">
        <f t="shared" si="24"/>
        <v>金币</v>
      </c>
      <c r="S110" s="15">
        <f t="shared" si="25"/>
        <v>10000</v>
      </c>
      <c r="T110" s="15" t="str">
        <f t="shared" si="26"/>
        <v>中级专属强化石</v>
      </c>
      <c r="U110" s="15">
        <f t="shared" si="27"/>
        <v>8</v>
      </c>
      <c r="V110" s="15" t="str">
        <f t="shared" si="28"/>
        <v>高级专属强化石</v>
      </c>
      <c r="W110" s="15">
        <f t="shared" si="29"/>
        <v>3</v>
      </c>
      <c r="X110" s="15">
        <f t="shared" si="30"/>
        <v>0.1</v>
      </c>
      <c r="Y110" s="15">
        <f t="shared" si="31"/>
        <v>1</v>
      </c>
      <c r="Z110" s="15">
        <f t="shared" si="32"/>
        <v>30</v>
      </c>
      <c r="AA110" s="15">
        <f t="shared" si="33"/>
        <v>0.4</v>
      </c>
    </row>
    <row r="111" spans="13:27" ht="16.5" x14ac:dyDescent="0.2">
      <c r="M111" s="15">
        <v>32</v>
      </c>
      <c r="N111" s="15">
        <f t="shared" si="22"/>
        <v>1</v>
      </c>
      <c r="O111" s="15">
        <f>INDEX(卡牌消耗!$H$13:$H$33,世界BOSS专属武器!N111)</f>
        <v>1501001</v>
      </c>
      <c r="P111" s="49" t="s">
        <v>480</v>
      </c>
      <c r="Q111" s="15">
        <f t="shared" si="23"/>
        <v>31</v>
      </c>
      <c r="R111" s="49" t="str">
        <f t="shared" si="24"/>
        <v>金币</v>
      </c>
      <c r="S111" s="15">
        <f t="shared" si="25"/>
        <v>10000</v>
      </c>
      <c r="T111" s="15" t="str">
        <f t="shared" si="26"/>
        <v>中级专属强化石</v>
      </c>
      <c r="U111" s="15">
        <f t="shared" si="27"/>
        <v>8</v>
      </c>
      <c r="V111" s="15" t="str">
        <f t="shared" si="28"/>
        <v>高级专属强化石</v>
      </c>
      <c r="W111" s="15">
        <f t="shared" si="29"/>
        <v>3</v>
      </c>
      <c r="X111" s="15">
        <f t="shared" si="30"/>
        <v>0.1</v>
      </c>
      <c r="Y111" s="15">
        <f t="shared" si="31"/>
        <v>1</v>
      </c>
      <c r="Z111" s="15">
        <f t="shared" si="32"/>
        <v>30</v>
      </c>
      <c r="AA111" s="15">
        <f t="shared" si="33"/>
        <v>0.42670000000000002</v>
      </c>
    </row>
    <row r="112" spans="13:27" ht="16.5" x14ac:dyDescent="0.2">
      <c r="M112" s="15">
        <v>33</v>
      </c>
      <c r="N112" s="15">
        <f t="shared" si="22"/>
        <v>1</v>
      </c>
      <c r="O112" s="15">
        <f>INDEX(卡牌消耗!$H$13:$H$33,世界BOSS专属武器!N112)</f>
        <v>1501001</v>
      </c>
      <c r="P112" s="49" t="s">
        <v>480</v>
      </c>
      <c r="Q112" s="15">
        <f t="shared" si="23"/>
        <v>32</v>
      </c>
      <c r="R112" s="49" t="str">
        <f t="shared" si="24"/>
        <v>金币</v>
      </c>
      <c r="S112" s="15">
        <f t="shared" si="25"/>
        <v>10000</v>
      </c>
      <c r="T112" s="15" t="str">
        <f t="shared" si="26"/>
        <v>中级专属强化石</v>
      </c>
      <c r="U112" s="15">
        <f t="shared" si="27"/>
        <v>8</v>
      </c>
      <c r="V112" s="15" t="str">
        <f t="shared" si="28"/>
        <v>高级专属强化石</v>
      </c>
      <c r="W112" s="15">
        <f t="shared" si="29"/>
        <v>3</v>
      </c>
      <c r="X112" s="15">
        <f t="shared" si="30"/>
        <v>0.1</v>
      </c>
      <c r="Y112" s="15">
        <f t="shared" si="31"/>
        <v>1</v>
      </c>
      <c r="Z112" s="15">
        <f t="shared" si="32"/>
        <v>30</v>
      </c>
      <c r="AA112" s="15">
        <f t="shared" si="33"/>
        <v>0.45329999999999998</v>
      </c>
    </row>
    <row r="113" spans="13:27" ht="16.5" x14ac:dyDescent="0.2">
      <c r="M113" s="15">
        <v>34</v>
      </c>
      <c r="N113" s="15">
        <f t="shared" si="22"/>
        <v>1</v>
      </c>
      <c r="O113" s="15">
        <f>INDEX(卡牌消耗!$H$13:$H$33,世界BOSS专属武器!N113)</f>
        <v>1501001</v>
      </c>
      <c r="P113" s="49" t="s">
        <v>480</v>
      </c>
      <c r="Q113" s="15">
        <f t="shared" si="23"/>
        <v>33</v>
      </c>
      <c r="R113" s="49" t="str">
        <f t="shared" si="24"/>
        <v>金币</v>
      </c>
      <c r="S113" s="15">
        <f t="shared" si="25"/>
        <v>10000</v>
      </c>
      <c r="T113" s="15" t="str">
        <f t="shared" si="26"/>
        <v>中级专属强化石</v>
      </c>
      <c r="U113" s="15">
        <f t="shared" si="27"/>
        <v>8</v>
      </c>
      <c r="V113" s="15" t="str">
        <f t="shared" si="28"/>
        <v>高级专属强化石</v>
      </c>
      <c r="W113" s="15">
        <f t="shared" si="29"/>
        <v>3</v>
      </c>
      <c r="X113" s="15">
        <f t="shared" si="30"/>
        <v>0.1</v>
      </c>
      <c r="Y113" s="15">
        <f t="shared" si="31"/>
        <v>1</v>
      </c>
      <c r="Z113" s="15">
        <f t="shared" si="32"/>
        <v>30</v>
      </c>
      <c r="AA113" s="15">
        <f t="shared" si="33"/>
        <v>0.48</v>
      </c>
    </row>
    <row r="114" spans="13:27" ht="16.5" x14ac:dyDescent="0.2">
      <c r="M114" s="15">
        <v>35</v>
      </c>
      <c r="N114" s="15">
        <f t="shared" si="22"/>
        <v>1</v>
      </c>
      <c r="O114" s="15">
        <f>INDEX(卡牌消耗!$H$13:$H$33,世界BOSS专属武器!N114)</f>
        <v>1501001</v>
      </c>
      <c r="P114" s="49" t="s">
        <v>480</v>
      </c>
      <c r="Q114" s="15">
        <f t="shared" si="23"/>
        <v>34</v>
      </c>
      <c r="R114" s="49" t="str">
        <f t="shared" si="24"/>
        <v>金币</v>
      </c>
      <c r="S114" s="15">
        <f t="shared" si="25"/>
        <v>10000</v>
      </c>
      <c r="T114" s="15" t="str">
        <f t="shared" si="26"/>
        <v>中级专属强化石</v>
      </c>
      <c r="U114" s="15">
        <f t="shared" si="27"/>
        <v>8</v>
      </c>
      <c r="V114" s="15" t="str">
        <f t="shared" si="28"/>
        <v>高级专属强化石</v>
      </c>
      <c r="W114" s="15">
        <f t="shared" si="29"/>
        <v>3</v>
      </c>
      <c r="X114" s="15">
        <f t="shared" si="30"/>
        <v>0.1</v>
      </c>
      <c r="Y114" s="15">
        <f t="shared" si="31"/>
        <v>1</v>
      </c>
      <c r="Z114" s="15">
        <f t="shared" si="32"/>
        <v>30</v>
      </c>
      <c r="AA114" s="15">
        <f t="shared" si="33"/>
        <v>0.50670000000000004</v>
      </c>
    </row>
    <row r="115" spans="13:27" ht="16.5" x14ac:dyDescent="0.2">
      <c r="M115" s="15">
        <v>36</v>
      </c>
      <c r="N115" s="15">
        <f t="shared" si="22"/>
        <v>1</v>
      </c>
      <c r="O115" s="15">
        <f>INDEX(卡牌消耗!$H$13:$H$33,世界BOSS专属武器!N115)</f>
        <v>1501001</v>
      </c>
      <c r="P115" s="49" t="s">
        <v>480</v>
      </c>
      <c r="Q115" s="15">
        <f t="shared" si="23"/>
        <v>35</v>
      </c>
      <c r="R115" s="49" t="str">
        <f t="shared" si="24"/>
        <v>金币</v>
      </c>
      <c r="S115" s="15">
        <f t="shared" si="25"/>
        <v>10000</v>
      </c>
      <c r="T115" s="15" t="str">
        <f t="shared" si="26"/>
        <v>中级专属强化石</v>
      </c>
      <c r="U115" s="15">
        <f t="shared" si="27"/>
        <v>8</v>
      </c>
      <c r="V115" s="15" t="str">
        <f t="shared" si="28"/>
        <v>高级专属强化石</v>
      </c>
      <c r="W115" s="15">
        <f t="shared" si="29"/>
        <v>3</v>
      </c>
      <c r="X115" s="15">
        <f t="shared" si="30"/>
        <v>0.1</v>
      </c>
      <c r="Y115" s="15">
        <f t="shared" si="31"/>
        <v>1</v>
      </c>
      <c r="Z115" s="15">
        <f t="shared" si="32"/>
        <v>30</v>
      </c>
      <c r="AA115" s="15">
        <f t="shared" si="33"/>
        <v>0.5333</v>
      </c>
    </row>
    <row r="116" spans="13:27" ht="16.5" x14ac:dyDescent="0.2">
      <c r="M116" s="15">
        <v>37</v>
      </c>
      <c r="N116" s="15">
        <f t="shared" si="22"/>
        <v>1</v>
      </c>
      <c r="O116" s="15">
        <f>INDEX(卡牌消耗!$H$13:$H$33,世界BOSS专属武器!N116)</f>
        <v>1501001</v>
      </c>
      <c r="P116" s="49" t="s">
        <v>480</v>
      </c>
      <c r="Q116" s="15">
        <f t="shared" si="23"/>
        <v>36</v>
      </c>
      <c r="R116" s="49" t="str">
        <f t="shared" si="24"/>
        <v>金币</v>
      </c>
      <c r="S116" s="15">
        <f t="shared" si="25"/>
        <v>10000</v>
      </c>
      <c r="T116" s="15" t="str">
        <f t="shared" si="26"/>
        <v>中级专属强化石</v>
      </c>
      <c r="U116" s="15">
        <f t="shared" si="27"/>
        <v>8</v>
      </c>
      <c r="V116" s="15" t="str">
        <f t="shared" si="28"/>
        <v>高级专属强化石</v>
      </c>
      <c r="W116" s="15">
        <f t="shared" si="29"/>
        <v>3</v>
      </c>
      <c r="X116" s="15">
        <f t="shared" si="30"/>
        <v>0.1</v>
      </c>
      <c r="Y116" s="15">
        <f t="shared" si="31"/>
        <v>1</v>
      </c>
      <c r="Z116" s="15">
        <f t="shared" si="32"/>
        <v>30</v>
      </c>
      <c r="AA116" s="15">
        <f t="shared" si="33"/>
        <v>0.56000000000000005</v>
      </c>
    </row>
    <row r="117" spans="13:27" ht="16.5" x14ac:dyDescent="0.2">
      <c r="M117" s="15">
        <v>38</v>
      </c>
      <c r="N117" s="15">
        <f t="shared" si="22"/>
        <v>1</v>
      </c>
      <c r="O117" s="15">
        <f>INDEX(卡牌消耗!$H$13:$H$33,世界BOSS专属武器!N117)</f>
        <v>1501001</v>
      </c>
      <c r="P117" s="49" t="s">
        <v>480</v>
      </c>
      <c r="Q117" s="15">
        <f t="shared" si="23"/>
        <v>37</v>
      </c>
      <c r="R117" s="49" t="str">
        <f t="shared" si="24"/>
        <v>金币</v>
      </c>
      <c r="S117" s="15">
        <f t="shared" si="25"/>
        <v>10000</v>
      </c>
      <c r="T117" s="15" t="str">
        <f t="shared" si="26"/>
        <v>中级专属强化石</v>
      </c>
      <c r="U117" s="15">
        <f t="shared" si="27"/>
        <v>8</v>
      </c>
      <c r="V117" s="15" t="str">
        <f t="shared" si="28"/>
        <v>高级专属强化石</v>
      </c>
      <c r="W117" s="15">
        <f t="shared" si="29"/>
        <v>3</v>
      </c>
      <c r="X117" s="15">
        <f t="shared" si="30"/>
        <v>0.1</v>
      </c>
      <c r="Y117" s="15">
        <f t="shared" si="31"/>
        <v>1</v>
      </c>
      <c r="Z117" s="15">
        <f t="shared" si="32"/>
        <v>30</v>
      </c>
      <c r="AA117" s="15">
        <f t="shared" si="33"/>
        <v>0.5867</v>
      </c>
    </row>
    <row r="118" spans="13:27" ht="16.5" x14ac:dyDescent="0.2">
      <c r="M118" s="15">
        <v>39</v>
      </c>
      <c r="N118" s="15">
        <f t="shared" si="22"/>
        <v>1</v>
      </c>
      <c r="O118" s="15">
        <f>INDEX(卡牌消耗!$H$13:$H$33,世界BOSS专属武器!N118)</f>
        <v>1501001</v>
      </c>
      <c r="P118" s="49" t="s">
        <v>480</v>
      </c>
      <c r="Q118" s="15">
        <f t="shared" si="23"/>
        <v>38</v>
      </c>
      <c r="R118" s="49" t="str">
        <f t="shared" si="24"/>
        <v>金币</v>
      </c>
      <c r="S118" s="15">
        <f t="shared" si="25"/>
        <v>10000</v>
      </c>
      <c r="T118" s="15" t="str">
        <f t="shared" si="26"/>
        <v>中级专属强化石</v>
      </c>
      <c r="U118" s="15">
        <f t="shared" si="27"/>
        <v>8</v>
      </c>
      <c r="V118" s="15" t="str">
        <f t="shared" si="28"/>
        <v>高级专属强化石</v>
      </c>
      <c r="W118" s="15">
        <f>IF(AND(Q118&gt;=20,Q118&lt;40),INDEX($AA$27:$AF$76,Q118,INDEX($Z$27:$Z$76,Q118)),"[x]")</f>
        <v>3</v>
      </c>
      <c r="X118" s="15">
        <f t="shared" si="30"/>
        <v>0.1</v>
      </c>
      <c r="Y118" s="15">
        <f t="shared" si="31"/>
        <v>1</v>
      </c>
      <c r="Z118" s="15">
        <f t="shared" si="32"/>
        <v>30</v>
      </c>
      <c r="AA118" s="15">
        <f t="shared" si="33"/>
        <v>0.61329999999999996</v>
      </c>
    </row>
    <row r="119" spans="13:27" ht="16.5" x14ac:dyDescent="0.2">
      <c r="M119" s="15">
        <v>40</v>
      </c>
      <c r="N119" s="15">
        <f t="shared" si="22"/>
        <v>1</v>
      </c>
      <c r="O119" s="15">
        <f>INDEX(卡牌消耗!$H$13:$H$33,世界BOSS专属武器!N119)</f>
        <v>1501001</v>
      </c>
      <c r="P119" s="49" t="s">
        <v>480</v>
      </c>
      <c r="Q119" s="15">
        <f t="shared" si="23"/>
        <v>39</v>
      </c>
      <c r="R119" s="49" t="str">
        <f t="shared" si="24"/>
        <v>金币</v>
      </c>
      <c r="S119" s="15">
        <f t="shared" si="25"/>
        <v>10000</v>
      </c>
      <c r="T119" s="15" t="str">
        <f t="shared" si="26"/>
        <v>中级专属强化石</v>
      </c>
      <c r="U119" s="15">
        <f t="shared" si="27"/>
        <v>8</v>
      </c>
      <c r="V119" s="15" t="str">
        <f t="shared" si="28"/>
        <v>高级专属强化石</v>
      </c>
      <c r="W119" s="15">
        <f t="shared" si="29"/>
        <v>3</v>
      </c>
      <c r="X119" s="15">
        <f t="shared" si="30"/>
        <v>0.1</v>
      </c>
      <c r="Y119" s="15">
        <f t="shared" si="31"/>
        <v>1</v>
      </c>
      <c r="Z119" s="15">
        <f t="shared" si="32"/>
        <v>30</v>
      </c>
      <c r="AA119" s="15">
        <f t="shared" si="33"/>
        <v>0.64</v>
      </c>
    </row>
    <row r="120" spans="13:27" ht="16.5" x14ac:dyDescent="0.2">
      <c r="M120" s="15">
        <v>41</v>
      </c>
      <c r="N120" s="15">
        <f t="shared" si="22"/>
        <v>1</v>
      </c>
      <c r="O120" s="15">
        <f>INDEX(卡牌消耗!$H$13:$H$33,世界BOSS专属武器!N120)</f>
        <v>1501001</v>
      </c>
      <c r="P120" s="49" t="s">
        <v>480</v>
      </c>
      <c r="Q120" s="15">
        <f t="shared" si="23"/>
        <v>40</v>
      </c>
      <c r="R120" s="49" t="str">
        <f t="shared" si="24"/>
        <v>金币</v>
      </c>
      <c r="S120" s="15">
        <f t="shared" si="25"/>
        <v>20000</v>
      </c>
      <c r="T120" s="15" t="str">
        <f t="shared" si="26"/>
        <v>高级专属强化石</v>
      </c>
      <c r="U120" s="15">
        <f t="shared" si="27"/>
        <v>5</v>
      </c>
      <c r="V120" s="15" t="str">
        <f t="shared" si="28"/>
        <v>[x]</v>
      </c>
      <c r="W120" s="15" t="str">
        <f t="shared" si="29"/>
        <v>[x]</v>
      </c>
      <c r="X120" s="15">
        <f t="shared" si="30"/>
        <v>0.1</v>
      </c>
      <c r="Y120" s="15">
        <f t="shared" si="31"/>
        <v>1</v>
      </c>
      <c r="Z120" s="15">
        <f t="shared" si="32"/>
        <v>35</v>
      </c>
      <c r="AA120" s="15">
        <f t="shared" si="33"/>
        <v>0.66669999999999996</v>
      </c>
    </row>
    <row r="121" spans="13:27" ht="16.5" x14ac:dyDescent="0.2">
      <c r="M121" s="15">
        <v>42</v>
      </c>
      <c r="N121" s="15">
        <f t="shared" si="22"/>
        <v>1</v>
      </c>
      <c r="O121" s="15">
        <f>INDEX(卡牌消耗!$H$13:$H$33,世界BOSS专属武器!N121)</f>
        <v>1501001</v>
      </c>
      <c r="P121" s="49" t="s">
        <v>480</v>
      </c>
      <c r="Q121" s="15">
        <f t="shared" si="23"/>
        <v>41</v>
      </c>
      <c r="R121" s="49" t="str">
        <f t="shared" si="24"/>
        <v>金币</v>
      </c>
      <c r="S121" s="15">
        <f t="shared" si="25"/>
        <v>20000</v>
      </c>
      <c r="T121" s="15" t="str">
        <f t="shared" si="26"/>
        <v>高级专属强化石</v>
      </c>
      <c r="U121" s="15">
        <f t="shared" si="27"/>
        <v>5</v>
      </c>
      <c r="V121" s="15" t="str">
        <f t="shared" si="28"/>
        <v>[x]</v>
      </c>
      <c r="W121" s="15" t="str">
        <f t="shared" si="29"/>
        <v>[x]</v>
      </c>
      <c r="X121" s="15">
        <f t="shared" si="30"/>
        <v>0.1</v>
      </c>
      <c r="Y121" s="15">
        <f t="shared" si="31"/>
        <v>1</v>
      </c>
      <c r="Z121" s="15">
        <f t="shared" si="32"/>
        <v>40</v>
      </c>
      <c r="AA121" s="15">
        <f t="shared" si="33"/>
        <v>0.7</v>
      </c>
    </row>
    <row r="122" spans="13:27" ht="16.5" x14ac:dyDescent="0.2">
      <c r="M122" s="15">
        <v>43</v>
      </c>
      <c r="N122" s="15">
        <f t="shared" si="22"/>
        <v>1</v>
      </c>
      <c r="O122" s="15">
        <f>INDEX(卡牌消耗!$H$13:$H$33,世界BOSS专属武器!N122)</f>
        <v>1501001</v>
      </c>
      <c r="P122" s="49" t="s">
        <v>480</v>
      </c>
      <c r="Q122" s="15">
        <f t="shared" si="23"/>
        <v>42</v>
      </c>
      <c r="R122" s="49" t="str">
        <f t="shared" si="24"/>
        <v>金币</v>
      </c>
      <c r="S122" s="15">
        <f t="shared" si="25"/>
        <v>20000</v>
      </c>
      <c r="T122" s="15" t="str">
        <f t="shared" si="26"/>
        <v>高级专属强化石</v>
      </c>
      <c r="U122" s="15">
        <f t="shared" si="27"/>
        <v>5</v>
      </c>
      <c r="V122" s="15" t="str">
        <f t="shared" si="28"/>
        <v>[x]</v>
      </c>
      <c r="W122" s="15" t="str">
        <f t="shared" si="29"/>
        <v>[x]</v>
      </c>
      <c r="X122" s="15">
        <f t="shared" si="30"/>
        <v>0.1</v>
      </c>
      <c r="Y122" s="15">
        <f t="shared" si="31"/>
        <v>1</v>
      </c>
      <c r="Z122" s="15">
        <f t="shared" si="32"/>
        <v>45</v>
      </c>
      <c r="AA122" s="15">
        <f t="shared" si="33"/>
        <v>0.73329999999999995</v>
      </c>
    </row>
    <row r="123" spans="13:27" ht="16.5" x14ac:dyDescent="0.2">
      <c r="M123" s="15">
        <v>44</v>
      </c>
      <c r="N123" s="15">
        <f t="shared" si="22"/>
        <v>1</v>
      </c>
      <c r="O123" s="15">
        <f>INDEX(卡牌消耗!$H$13:$H$33,世界BOSS专属武器!N123)</f>
        <v>1501001</v>
      </c>
      <c r="P123" s="49" t="s">
        <v>480</v>
      </c>
      <c r="Q123" s="15">
        <f t="shared" si="23"/>
        <v>43</v>
      </c>
      <c r="R123" s="49" t="str">
        <f t="shared" si="24"/>
        <v>金币</v>
      </c>
      <c r="S123" s="15">
        <f t="shared" si="25"/>
        <v>20000</v>
      </c>
      <c r="T123" s="15" t="str">
        <f t="shared" si="26"/>
        <v>高级专属强化石</v>
      </c>
      <c r="U123" s="15">
        <f t="shared" si="27"/>
        <v>5</v>
      </c>
      <c r="V123" s="15" t="str">
        <f t="shared" si="28"/>
        <v>[x]</v>
      </c>
      <c r="W123" s="15" t="str">
        <f t="shared" si="29"/>
        <v>[x]</v>
      </c>
      <c r="X123" s="15">
        <f t="shared" si="30"/>
        <v>0.1</v>
      </c>
      <c r="Y123" s="15">
        <f t="shared" si="31"/>
        <v>1</v>
      </c>
      <c r="Z123" s="15">
        <f t="shared" si="32"/>
        <v>50</v>
      </c>
      <c r="AA123" s="15">
        <f t="shared" si="33"/>
        <v>0.76670000000000005</v>
      </c>
    </row>
    <row r="124" spans="13:27" ht="16.5" x14ac:dyDescent="0.2">
      <c r="M124" s="15">
        <v>45</v>
      </c>
      <c r="N124" s="15">
        <f t="shared" si="22"/>
        <v>1</v>
      </c>
      <c r="O124" s="15">
        <f>INDEX(卡牌消耗!$H$13:$H$33,世界BOSS专属武器!N124)</f>
        <v>1501001</v>
      </c>
      <c r="P124" s="49" t="s">
        <v>480</v>
      </c>
      <c r="Q124" s="15">
        <f t="shared" si="23"/>
        <v>44</v>
      </c>
      <c r="R124" s="49" t="str">
        <f t="shared" si="24"/>
        <v>金币</v>
      </c>
      <c r="S124" s="15">
        <f t="shared" si="25"/>
        <v>20000</v>
      </c>
      <c r="T124" s="15" t="str">
        <f t="shared" si="26"/>
        <v>高级专属强化石</v>
      </c>
      <c r="U124" s="15">
        <f t="shared" si="27"/>
        <v>5</v>
      </c>
      <c r="V124" s="15" t="str">
        <f t="shared" si="28"/>
        <v>[x]</v>
      </c>
      <c r="W124" s="15" t="str">
        <f t="shared" si="29"/>
        <v>[x]</v>
      </c>
      <c r="X124" s="15">
        <f t="shared" si="30"/>
        <v>0.1</v>
      </c>
      <c r="Y124" s="15">
        <f t="shared" si="31"/>
        <v>1</v>
      </c>
      <c r="Z124" s="15">
        <f t="shared" si="32"/>
        <v>55</v>
      </c>
      <c r="AA124" s="15">
        <f t="shared" si="33"/>
        <v>0.8</v>
      </c>
    </row>
    <row r="125" spans="13:27" ht="16.5" x14ac:dyDescent="0.2">
      <c r="M125" s="15">
        <v>46</v>
      </c>
      <c r="N125" s="15">
        <f t="shared" si="22"/>
        <v>1</v>
      </c>
      <c r="O125" s="15">
        <f>INDEX(卡牌消耗!$H$13:$H$33,世界BOSS专属武器!N125)</f>
        <v>1501001</v>
      </c>
      <c r="P125" s="49" t="s">
        <v>480</v>
      </c>
      <c r="Q125" s="15">
        <f t="shared" si="23"/>
        <v>45</v>
      </c>
      <c r="R125" s="49" t="str">
        <f t="shared" si="24"/>
        <v>金币</v>
      </c>
      <c r="S125" s="15">
        <f t="shared" si="25"/>
        <v>20000</v>
      </c>
      <c r="T125" s="15" t="str">
        <f t="shared" si="26"/>
        <v>高级专属强化石</v>
      </c>
      <c r="U125" s="15">
        <f t="shared" si="27"/>
        <v>6</v>
      </c>
      <c r="V125" s="15" t="str">
        <f t="shared" si="28"/>
        <v>[x]</v>
      </c>
      <c r="W125" s="15" t="str">
        <f t="shared" si="29"/>
        <v>[x]</v>
      </c>
      <c r="X125" s="15">
        <f t="shared" si="30"/>
        <v>0.1</v>
      </c>
      <c r="Y125" s="15">
        <f t="shared" si="31"/>
        <v>1</v>
      </c>
      <c r="Z125" s="15">
        <f t="shared" si="32"/>
        <v>60</v>
      </c>
      <c r="AA125" s="15">
        <f t="shared" si="33"/>
        <v>0.83330000000000004</v>
      </c>
    </row>
    <row r="126" spans="13:27" ht="16.5" x14ac:dyDescent="0.2">
      <c r="M126" s="15">
        <v>47</v>
      </c>
      <c r="N126" s="15">
        <f t="shared" si="22"/>
        <v>1</v>
      </c>
      <c r="O126" s="15">
        <f>INDEX(卡牌消耗!$H$13:$H$33,世界BOSS专属武器!N126)</f>
        <v>1501001</v>
      </c>
      <c r="P126" s="49" t="s">
        <v>480</v>
      </c>
      <c r="Q126" s="15">
        <f t="shared" si="23"/>
        <v>46</v>
      </c>
      <c r="R126" s="49" t="str">
        <f t="shared" si="24"/>
        <v>金币</v>
      </c>
      <c r="S126" s="15">
        <f t="shared" si="25"/>
        <v>20000</v>
      </c>
      <c r="T126" s="15" t="str">
        <f t="shared" si="26"/>
        <v>高级专属强化石</v>
      </c>
      <c r="U126" s="15">
        <f t="shared" si="27"/>
        <v>7</v>
      </c>
      <c r="V126" s="15" t="str">
        <f t="shared" si="28"/>
        <v>[x]</v>
      </c>
      <c r="W126" s="15" t="str">
        <f t="shared" si="29"/>
        <v>[x]</v>
      </c>
      <c r="X126" s="15">
        <f t="shared" si="30"/>
        <v>0.1</v>
      </c>
      <c r="Y126" s="15">
        <f t="shared" si="31"/>
        <v>1</v>
      </c>
      <c r="Z126" s="15">
        <f t="shared" si="32"/>
        <v>70</v>
      </c>
      <c r="AA126" s="15">
        <f t="shared" si="33"/>
        <v>0.86670000000000003</v>
      </c>
    </row>
    <row r="127" spans="13:27" ht="16.5" x14ac:dyDescent="0.2">
      <c r="M127" s="15">
        <v>48</v>
      </c>
      <c r="N127" s="15">
        <f t="shared" si="22"/>
        <v>1</v>
      </c>
      <c r="O127" s="15">
        <f>INDEX(卡牌消耗!$H$13:$H$33,世界BOSS专属武器!N127)</f>
        <v>1501001</v>
      </c>
      <c r="P127" s="49" t="s">
        <v>480</v>
      </c>
      <c r="Q127" s="15">
        <f t="shared" si="23"/>
        <v>47</v>
      </c>
      <c r="R127" s="49" t="str">
        <f t="shared" si="24"/>
        <v>金币</v>
      </c>
      <c r="S127" s="15">
        <f t="shared" si="25"/>
        <v>20000</v>
      </c>
      <c r="T127" s="15" t="str">
        <f t="shared" si="26"/>
        <v>高级专属强化石</v>
      </c>
      <c r="U127" s="15">
        <f t="shared" si="27"/>
        <v>8</v>
      </c>
      <c r="V127" s="15" t="str">
        <f t="shared" si="28"/>
        <v>[x]</v>
      </c>
      <c r="W127" s="15" t="str">
        <f t="shared" si="29"/>
        <v>[x]</v>
      </c>
      <c r="X127" s="15">
        <f t="shared" si="30"/>
        <v>0.1</v>
      </c>
      <c r="Y127" s="15">
        <f t="shared" si="31"/>
        <v>1</v>
      </c>
      <c r="Z127" s="15">
        <f t="shared" si="32"/>
        <v>80</v>
      </c>
      <c r="AA127" s="15">
        <f t="shared" si="33"/>
        <v>0.9</v>
      </c>
    </row>
    <row r="128" spans="13:27" ht="16.5" x14ac:dyDescent="0.2">
      <c r="M128" s="15">
        <v>49</v>
      </c>
      <c r="N128" s="15">
        <f t="shared" si="22"/>
        <v>1</v>
      </c>
      <c r="O128" s="15">
        <f>INDEX(卡牌消耗!$H$13:$H$33,世界BOSS专属武器!N128)</f>
        <v>1501001</v>
      </c>
      <c r="P128" s="49" t="s">
        <v>480</v>
      </c>
      <c r="Q128" s="15">
        <f t="shared" si="23"/>
        <v>48</v>
      </c>
      <c r="R128" s="49" t="str">
        <f t="shared" si="24"/>
        <v>金币</v>
      </c>
      <c r="S128" s="15">
        <f t="shared" si="25"/>
        <v>20000</v>
      </c>
      <c r="T128" s="15" t="str">
        <f t="shared" si="26"/>
        <v>高级专属强化石</v>
      </c>
      <c r="U128" s="15">
        <f t="shared" si="27"/>
        <v>9</v>
      </c>
      <c r="V128" s="15" t="str">
        <f t="shared" si="28"/>
        <v>[x]</v>
      </c>
      <c r="W128" s="15" t="str">
        <f t="shared" si="29"/>
        <v>[x]</v>
      </c>
      <c r="X128" s="15">
        <f t="shared" si="30"/>
        <v>0.1</v>
      </c>
      <c r="Y128" s="15">
        <f t="shared" si="31"/>
        <v>1</v>
      </c>
      <c r="Z128" s="15">
        <f t="shared" si="32"/>
        <v>100</v>
      </c>
      <c r="AA128" s="15">
        <f t="shared" si="33"/>
        <v>0.93330000000000002</v>
      </c>
    </row>
    <row r="129" spans="13:27" ht="16.5" x14ac:dyDescent="0.2">
      <c r="M129" s="15">
        <v>50</v>
      </c>
      <c r="N129" s="15">
        <f t="shared" si="22"/>
        <v>1</v>
      </c>
      <c r="O129" s="15">
        <f>INDEX(卡牌消耗!$H$13:$H$33,世界BOSS专属武器!N129)</f>
        <v>1501001</v>
      </c>
      <c r="P129" s="49" t="s">
        <v>480</v>
      </c>
      <c r="Q129" s="15">
        <f t="shared" si="23"/>
        <v>49</v>
      </c>
      <c r="R129" s="49" t="str">
        <f t="shared" si="24"/>
        <v>金币</v>
      </c>
      <c r="S129" s="15">
        <f t="shared" si="25"/>
        <v>20000</v>
      </c>
      <c r="T129" s="15" t="str">
        <f t="shared" si="26"/>
        <v>高级专属强化石</v>
      </c>
      <c r="U129" s="15">
        <f t="shared" si="27"/>
        <v>10</v>
      </c>
      <c r="V129" s="15" t="str">
        <f t="shared" si="28"/>
        <v>[x]</v>
      </c>
      <c r="W129" s="15" t="str">
        <f t="shared" si="29"/>
        <v>[x]</v>
      </c>
      <c r="X129" s="15">
        <f t="shared" si="30"/>
        <v>0.1</v>
      </c>
      <c r="Y129" s="15">
        <f t="shared" si="31"/>
        <v>1</v>
      </c>
      <c r="Z129" s="15">
        <f t="shared" si="32"/>
        <v>120</v>
      </c>
      <c r="AA129" s="15">
        <f t="shared" si="33"/>
        <v>0.9667</v>
      </c>
    </row>
    <row r="130" spans="13:27" ht="16.5" x14ac:dyDescent="0.2">
      <c r="M130" s="15">
        <v>51</v>
      </c>
      <c r="N130" s="15">
        <f t="shared" si="22"/>
        <v>1</v>
      </c>
      <c r="O130" s="15">
        <f>INDEX(卡牌消耗!$H$13:$H$33,世界BOSS专属武器!N130)</f>
        <v>1501001</v>
      </c>
      <c r="P130" s="49" t="s">
        <v>480</v>
      </c>
      <c r="Q130" s="15">
        <f t="shared" si="23"/>
        <v>50</v>
      </c>
      <c r="R130" s="49" t="str">
        <f t="shared" si="24"/>
        <v>金币</v>
      </c>
      <c r="S130" s="15">
        <f t="shared" si="25"/>
        <v>20000</v>
      </c>
      <c r="T130" s="15" t="str">
        <f t="shared" si="26"/>
        <v>高级专属强化石</v>
      </c>
      <c r="U130" s="15">
        <f t="shared" si="27"/>
        <v>15</v>
      </c>
      <c r="V130" s="15" t="str">
        <f t="shared" si="28"/>
        <v>[x]</v>
      </c>
      <c r="W130" s="15" t="str">
        <f t="shared" si="29"/>
        <v>[x]</v>
      </c>
      <c r="X130" s="15">
        <f t="shared" si="30"/>
        <v>0.1</v>
      </c>
      <c r="Y130" s="15">
        <f t="shared" si="31"/>
        <v>1</v>
      </c>
      <c r="Z130" s="15">
        <f t="shared" si="32"/>
        <v>150</v>
      </c>
      <c r="AA130" s="15">
        <f t="shared" si="33"/>
        <v>1</v>
      </c>
    </row>
    <row r="131" spans="13:27" ht="16.5" x14ac:dyDescent="0.2">
      <c r="M131" s="15">
        <v>52</v>
      </c>
      <c r="N131" s="15">
        <f t="shared" si="22"/>
        <v>2</v>
      </c>
      <c r="O131" s="15">
        <f>INDEX(卡牌消耗!$H$13:$H$33,世界BOSS专属武器!N131)</f>
        <v>1501002</v>
      </c>
      <c r="P131" s="49" t="s">
        <v>480</v>
      </c>
      <c r="Q131" s="15">
        <f t="shared" si="23"/>
        <v>0</v>
      </c>
      <c r="R131" s="49" t="str">
        <f t="shared" si="24"/>
        <v>[x]</v>
      </c>
      <c r="S131" s="15" t="str">
        <f t="shared" si="25"/>
        <v>[x]</v>
      </c>
      <c r="T131" s="15" t="str">
        <f t="shared" si="26"/>
        <v>[x]</v>
      </c>
      <c r="U131" s="15" t="str">
        <f t="shared" si="27"/>
        <v>[x]</v>
      </c>
      <c r="V131" s="15" t="str">
        <f t="shared" si="28"/>
        <v>[x]</v>
      </c>
      <c r="W131" s="15" t="str">
        <f t="shared" si="29"/>
        <v>[x]</v>
      </c>
      <c r="X131" s="15" t="str">
        <f t="shared" si="30"/>
        <v>[x]</v>
      </c>
      <c r="Y131" s="15" t="str">
        <f t="shared" si="31"/>
        <v>[x]</v>
      </c>
      <c r="Z131" s="15" t="str">
        <f t="shared" si="32"/>
        <v>[x]</v>
      </c>
      <c r="AA131" s="15" t="str">
        <f t="shared" si="33"/>
        <v>[x]</v>
      </c>
    </row>
    <row r="132" spans="13:27" ht="16.5" x14ac:dyDescent="0.2">
      <c r="M132" s="15">
        <v>53</v>
      </c>
      <c r="N132" s="15">
        <f t="shared" si="22"/>
        <v>2</v>
      </c>
      <c r="O132" s="15">
        <f>INDEX(卡牌消耗!$H$13:$H$33,世界BOSS专属武器!N132)</f>
        <v>1501002</v>
      </c>
      <c r="P132" s="49" t="s">
        <v>480</v>
      </c>
      <c r="Q132" s="15">
        <f t="shared" si="23"/>
        <v>1</v>
      </c>
      <c r="R132" s="49" t="str">
        <f t="shared" si="24"/>
        <v>金币</v>
      </c>
      <c r="S132" s="15">
        <f t="shared" si="25"/>
        <v>100</v>
      </c>
      <c r="T132" s="15" t="str">
        <f t="shared" si="26"/>
        <v>低级专属强化石</v>
      </c>
      <c r="U132" s="15">
        <f t="shared" si="27"/>
        <v>1</v>
      </c>
      <c r="V132" s="15" t="str">
        <f t="shared" si="28"/>
        <v>[x]</v>
      </c>
      <c r="W132" s="15" t="str">
        <f t="shared" si="29"/>
        <v>[x]</v>
      </c>
      <c r="X132" s="15">
        <f t="shared" si="30"/>
        <v>1</v>
      </c>
      <c r="Y132" s="15">
        <f t="shared" si="31"/>
        <v>1</v>
      </c>
      <c r="Z132" s="15">
        <f t="shared" si="32"/>
        <v>1</v>
      </c>
      <c r="AA132" s="15">
        <f t="shared" si="33"/>
        <v>6.7000000000000002E-3</v>
      </c>
    </row>
    <row r="133" spans="13:27" ht="16.5" x14ac:dyDescent="0.2">
      <c r="M133" s="15">
        <v>54</v>
      </c>
      <c r="N133" s="15">
        <f t="shared" si="22"/>
        <v>2</v>
      </c>
      <c r="O133" s="15">
        <f>INDEX(卡牌消耗!$H$13:$H$33,世界BOSS专属武器!N133)</f>
        <v>1501002</v>
      </c>
      <c r="P133" s="49" t="s">
        <v>480</v>
      </c>
      <c r="Q133" s="15">
        <f t="shared" si="23"/>
        <v>2</v>
      </c>
      <c r="R133" s="49" t="str">
        <f t="shared" si="24"/>
        <v>金币</v>
      </c>
      <c r="S133" s="15">
        <f t="shared" si="25"/>
        <v>200</v>
      </c>
      <c r="T133" s="15" t="str">
        <f t="shared" si="26"/>
        <v>低级专属强化石</v>
      </c>
      <c r="U133" s="15">
        <f t="shared" si="27"/>
        <v>1</v>
      </c>
      <c r="V133" s="15" t="str">
        <f t="shared" si="28"/>
        <v>[x]</v>
      </c>
      <c r="W133" s="15" t="str">
        <f t="shared" si="29"/>
        <v>[x]</v>
      </c>
      <c r="X133" s="15">
        <f t="shared" si="30"/>
        <v>0.5</v>
      </c>
      <c r="Y133" s="15">
        <f t="shared" si="31"/>
        <v>1</v>
      </c>
      <c r="Z133" s="15">
        <f t="shared" si="32"/>
        <v>2</v>
      </c>
      <c r="AA133" s="15">
        <f t="shared" si="33"/>
        <v>1.3299999999999999E-2</v>
      </c>
    </row>
    <row r="134" spans="13:27" ht="16.5" x14ac:dyDescent="0.2">
      <c r="M134" s="15">
        <v>55</v>
      </c>
      <c r="N134" s="15">
        <f t="shared" si="22"/>
        <v>2</v>
      </c>
      <c r="O134" s="15">
        <f>INDEX(卡牌消耗!$H$13:$H$33,世界BOSS专属武器!N134)</f>
        <v>1501002</v>
      </c>
      <c r="P134" s="49" t="s">
        <v>480</v>
      </c>
      <c r="Q134" s="15">
        <f t="shared" si="23"/>
        <v>3</v>
      </c>
      <c r="R134" s="49" t="str">
        <f t="shared" si="24"/>
        <v>金币</v>
      </c>
      <c r="S134" s="15">
        <f t="shared" si="25"/>
        <v>300</v>
      </c>
      <c r="T134" s="15" t="str">
        <f t="shared" si="26"/>
        <v>低级专属强化石</v>
      </c>
      <c r="U134" s="15">
        <f t="shared" si="27"/>
        <v>2</v>
      </c>
      <c r="V134" s="15" t="str">
        <f t="shared" si="28"/>
        <v>[x]</v>
      </c>
      <c r="W134" s="15" t="str">
        <f t="shared" si="29"/>
        <v>[x]</v>
      </c>
      <c r="X134" s="15">
        <f t="shared" si="30"/>
        <v>0.48</v>
      </c>
      <c r="Y134" s="15">
        <f t="shared" si="31"/>
        <v>1</v>
      </c>
      <c r="Z134" s="15">
        <f t="shared" si="32"/>
        <v>3</v>
      </c>
      <c r="AA134" s="15">
        <f t="shared" si="33"/>
        <v>0.02</v>
      </c>
    </row>
    <row r="135" spans="13:27" ht="16.5" x14ac:dyDescent="0.2">
      <c r="M135" s="15">
        <v>56</v>
      </c>
      <c r="N135" s="15">
        <f t="shared" si="22"/>
        <v>2</v>
      </c>
      <c r="O135" s="15">
        <f>INDEX(卡牌消耗!$H$13:$H$33,世界BOSS专属武器!N135)</f>
        <v>1501002</v>
      </c>
      <c r="P135" s="49" t="s">
        <v>480</v>
      </c>
      <c r="Q135" s="15">
        <f t="shared" si="23"/>
        <v>4</v>
      </c>
      <c r="R135" s="49" t="str">
        <f t="shared" si="24"/>
        <v>金币</v>
      </c>
      <c r="S135" s="15">
        <f t="shared" si="25"/>
        <v>400</v>
      </c>
      <c r="T135" s="15" t="str">
        <f t="shared" si="26"/>
        <v>低级专属强化石</v>
      </c>
      <c r="U135" s="15">
        <f t="shared" si="27"/>
        <v>3</v>
      </c>
      <c r="V135" s="15" t="str">
        <f t="shared" si="28"/>
        <v>[x]</v>
      </c>
      <c r="W135" s="15" t="str">
        <f t="shared" si="29"/>
        <v>[x]</v>
      </c>
      <c r="X135" s="15">
        <f t="shared" si="30"/>
        <v>0.46</v>
      </c>
      <c r="Y135" s="15">
        <f t="shared" si="31"/>
        <v>1</v>
      </c>
      <c r="Z135" s="15">
        <f t="shared" si="32"/>
        <v>3</v>
      </c>
      <c r="AA135" s="15">
        <f t="shared" si="33"/>
        <v>2.6700000000000002E-2</v>
      </c>
    </row>
    <row r="136" spans="13:27" ht="16.5" x14ac:dyDescent="0.2">
      <c r="M136" s="15">
        <v>57</v>
      </c>
      <c r="N136" s="15">
        <f t="shared" si="22"/>
        <v>2</v>
      </c>
      <c r="O136" s="15">
        <f>INDEX(卡牌消耗!$H$13:$H$33,世界BOSS专属武器!N136)</f>
        <v>1501002</v>
      </c>
      <c r="P136" s="49" t="s">
        <v>480</v>
      </c>
      <c r="Q136" s="15">
        <f t="shared" si="23"/>
        <v>5</v>
      </c>
      <c r="R136" s="49" t="str">
        <f t="shared" si="24"/>
        <v>金币</v>
      </c>
      <c r="S136" s="15">
        <f t="shared" si="25"/>
        <v>500</v>
      </c>
      <c r="T136" s="15" t="str">
        <f t="shared" si="26"/>
        <v>低级专属强化石</v>
      </c>
      <c r="U136" s="15">
        <f t="shared" si="27"/>
        <v>4</v>
      </c>
      <c r="V136" s="15" t="str">
        <f t="shared" si="28"/>
        <v>[x]</v>
      </c>
      <c r="W136" s="15" t="str">
        <f t="shared" si="29"/>
        <v>[x]</v>
      </c>
      <c r="X136" s="15">
        <f t="shared" si="30"/>
        <v>0.44</v>
      </c>
      <c r="Y136" s="15">
        <f t="shared" si="31"/>
        <v>1</v>
      </c>
      <c r="Z136" s="15">
        <f t="shared" si="32"/>
        <v>3</v>
      </c>
      <c r="AA136" s="15">
        <f t="shared" si="33"/>
        <v>3.3300000000000003E-2</v>
      </c>
    </row>
    <row r="137" spans="13:27" ht="16.5" x14ac:dyDescent="0.2">
      <c r="M137" s="15">
        <v>58</v>
      </c>
      <c r="N137" s="15">
        <f t="shared" si="22"/>
        <v>2</v>
      </c>
      <c r="O137" s="15">
        <f>INDEX(卡牌消耗!$H$13:$H$33,世界BOSS专属武器!N137)</f>
        <v>1501002</v>
      </c>
      <c r="P137" s="49" t="s">
        <v>480</v>
      </c>
      <c r="Q137" s="15">
        <f t="shared" si="23"/>
        <v>6</v>
      </c>
      <c r="R137" s="49" t="str">
        <f t="shared" si="24"/>
        <v>金币</v>
      </c>
      <c r="S137" s="15">
        <f t="shared" si="25"/>
        <v>600</v>
      </c>
      <c r="T137" s="15" t="str">
        <f t="shared" si="26"/>
        <v>低级专属强化石</v>
      </c>
      <c r="U137" s="15">
        <f t="shared" si="27"/>
        <v>5</v>
      </c>
      <c r="V137" s="15" t="str">
        <f t="shared" si="28"/>
        <v>[x]</v>
      </c>
      <c r="W137" s="15" t="str">
        <f t="shared" si="29"/>
        <v>[x]</v>
      </c>
      <c r="X137" s="15">
        <f t="shared" si="30"/>
        <v>0.42</v>
      </c>
      <c r="Y137" s="15">
        <f t="shared" si="31"/>
        <v>1</v>
      </c>
      <c r="Z137" s="15">
        <f t="shared" si="32"/>
        <v>4</v>
      </c>
      <c r="AA137" s="15">
        <f t="shared" si="33"/>
        <v>0.04</v>
      </c>
    </row>
    <row r="138" spans="13:27" ht="16.5" x14ac:dyDescent="0.2">
      <c r="M138" s="15">
        <v>59</v>
      </c>
      <c r="N138" s="15">
        <f t="shared" si="22"/>
        <v>2</v>
      </c>
      <c r="O138" s="15">
        <f>INDEX(卡牌消耗!$H$13:$H$33,世界BOSS专属武器!N138)</f>
        <v>1501002</v>
      </c>
      <c r="P138" s="49" t="s">
        <v>480</v>
      </c>
      <c r="Q138" s="15">
        <f t="shared" si="23"/>
        <v>7</v>
      </c>
      <c r="R138" s="49" t="str">
        <f t="shared" si="24"/>
        <v>金币</v>
      </c>
      <c r="S138" s="15">
        <f t="shared" si="25"/>
        <v>700</v>
      </c>
      <c r="T138" s="15" t="str">
        <f t="shared" si="26"/>
        <v>低级专属强化石</v>
      </c>
      <c r="U138" s="15">
        <f t="shared" si="27"/>
        <v>5</v>
      </c>
      <c r="V138" s="15" t="str">
        <f t="shared" si="28"/>
        <v>[x]</v>
      </c>
      <c r="W138" s="15" t="str">
        <f t="shared" si="29"/>
        <v>[x]</v>
      </c>
      <c r="X138" s="15">
        <f t="shared" si="30"/>
        <v>0.4</v>
      </c>
      <c r="Y138" s="15">
        <f t="shared" si="31"/>
        <v>1</v>
      </c>
      <c r="Z138" s="15">
        <f t="shared" si="32"/>
        <v>4</v>
      </c>
      <c r="AA138" s="15">
        <f t="shared" si="33"/>
        <v>4.6699999999999998E-2</v>
      </c>
    </row>
    <row r="139" spans="13:27" ht="16.5" x14ac:dyDescent="0.2">
      <c r="M139" s="15">
        <v>60</v>
      </c>
      <c r="N139" s="15">
        <f t="shared" si="22"/>
        <v>2</v>
      </c>
      <c r="O139" s="15">
        <f>INDEX(卡牌消耗!$H$13:$H$33,世界BOSS专属武器!N139)</f>
        <v>1501002</v>
      </c>
      <c r="P139" s="49" t="s">
        <v>480</v>
      </c>
      <c r="Q139" s="15">
        <f t="shared" si="23"/>
        <v>8</v>
      </c>
      <c r="R139" s="49" t="str">
        <f t="shared" si="24"/>
        <v>金币</v>
      </c>
      <c r="S139" s="15">
        <f t="shared" si="25"/>
        <v>800</v>
      </c>
      <c r="T139" s="15" t="str">
        <f t="shared" si="26"/>
        <v>低级专属强化石</v>
      </c>
      <c r="U139" s="15">
        <f t="shared" si="27"/>
        <v>5</v>
      </c>
      <c r="V139" s="15" t="str">
        <f t="shared" si="28"/>
        <v>[x]</v>
      </c>
      <c r="W139" s="15" t="str">
        <f t="shared" si="29"/>
        <v>[x]</v>
      </c>
      <c r="X139" s="15">
        <f t="shared" si="30"/>
        <v>0.38</v>
      </c>
      <c r="Y139" s="15">
        <f t="shared" si="31"/>
        <v>1</v>
      </c>
      <c r="Z139" s="15">
        <f t="shared" si="32"/>
        <v>5</v>
      </c>
      <c r="AA139" s="15">
        <f t="shared" si="33"/>
        <v>5.33E-2</v>
      </c>
    </row>
    <row r="140" spans="13:27" ht="16.5" x14ac:dyDescent="0.2">
      <c r="M140" s="15">
        <v>61</v>
      </c>
      <c r="N140" s="15">
        <f t="shared" si="22"/>
        <v>2</v>
      </c>
      <c r="O140" s="15">
        <f>INDEX(卡牌消耗!$H$13:$H$33,世界BOSS专属武器!N140)</f>
        <v>1501002</v>
      </c>
      <c r="P140" s="49" t="s">
        <v>480</v>
      </c>
      <c r="Q140" s="15">
        <f t="shared" si="23"/>
        <v>9</v>
      </c>
      <c r="R140" s="49" t="str">
        <f t="shared" si="24"/>
        <v>金币</v>
      </c>
      <c r="S140" s="15">
        <f t="shared" si="25"/>
        <v>900</v>
      </c>
      <c r="T140" s="15" t="str">
        <f t="shared" si="26"/>
        <v>低级专属强化石</v>
      </c>
      <c r="U140" s="15">
        <f t="shared" si="27"/>
        <v>5</v>
      </c>
      <c r="V140" s="15" t="str">
        <f t="shared" si="28"/>
        <v>[x]</v>
      </c>
      <c r="W140" s="15" t="str">
        <f t="shared" si="29"/>
        <v>[x]</v>
      </c>
      <c r="X140" s="15">
        <f t="shared" si="30"/>
        <v>0.36</v>
      </c>
      <c r="Y140" s="15">
        <f t="shared" si="31"/>
        <v>1</v>
      </c>
      <c r="Z140" s="15">
        <f t="shared" si="32"/>
        <v>5</v>
      </c>
      <c r="AA140" s="15">
        <f t="shared" si="33"/>
        <v>0.06</v>
      </c>
    </row>
    <row r="141" spans="13:27" ht="16.5" x14ac:dyDescent="0.2">
      <c r="M141" s="15">
        <v>62</v>
      </c>
      <c r="N141" s="15">
        <f t="shared" si="22"/>
        <v>2</v>
      </c>
      <c r="O141" s="15">
        <f>INDEX(卡牌消耗!$H$13:$H$33,世界BOSS专属武器!N141)</f>
        <v>1501002</v>
      </c>
      <c r="P141" s="49" t="s">
        <v>480</v>
      </c>
      <c r="Q141" s="15">
        <f t="shared" si="23"/>
        <v>10</v>
      </c>
      <c r="R141" s="49" t="str">
        <f t="shared" si="24"/>
        <v>金币</v>
      </c>
      <c r="S141" s="15">
        <f t="shared" si="25"/>
        <v>1000</v>
      </c>
      <c r="T141" s="15" t="str">
        <f t="shared" si="26"/>
        <v>低级专属强化石</v>
      </c>
      <c r="U141" s="15">
        <f t="shared" si="27"/>
        <v>7</v>
      </c>
      <c r="V141" s="15" t="str">
        <f t="shared" si="28"/>
        <v>[x]</v>
      </c>
      <c r="W141" s="15" t="str">
        <f t="shared" si="29"/>
        <v>[x]</v>
      </c>
      <c r="X141" s="15">
        <f t="shared" si="30"/>
        <v>0.35</v>
      </c>
      <c r="Y141" s="15">
        <f t="shared" si="31"/>
        <v>1</v>
      </c>
      <c r="Z141" s="15">
        <f t="shared" si="32"/>
        <v>5</v>
      </c>
      <c r="AA141" s="15">
        <f t="shared" si="33"/>
        <v>6.6699999999999995E-2</v>
      </c>
    </row>
    <row r="142" spans="13:27" ht="16.5" x14ac:dyDescent="0.2">
      <c r="M142" s="15">
        <v>63</v>
      </c>
      <c r="N142" s="15">
        <f t="shared" si="22"/>
        <v>2</v>
      </c>
      <c r="O142" s="15">
        <f>INDEX(卡牌消耗!$H$13:$H$33,世界BOSS专属武器!N142)</f>
        <v>1501002</v>
      </c>
      <c r="P142" s="49" t="s">
        <v>480</v>
      </c>
      <c r="Q142" s="15">
        <f t="shared" si="23"/>
        <v>11</v>
      </c>
      <c r="R142" s="49" t="str">
        <f t="shared" si="24"/>
        <v>金币</v>
      </c>
      <c r="S142" s="15">
        <f t="shared" si="25"/>
        <v>1000</v>
      </c>
      <c r="T142" s="15" t="str">
        <f t="shared" si="26"/>
        <v>低级专属强化石</v>
      </c>
      <c r="U142" s="15">
        <f t="shared" si="27"/>
        <v>7</v>
      </c>
      <c r="V142" s="15" t="str">
        <f t="shared" si="28"/>
        <v>[x]</v>
      </c>
      <c r="W142" s="15" t="str">
        <f t="shared" si="29"/>
        <v>[x]</v>
      </c>
      <c r="X142" s="15">
        <f t="shared" si="30"/>
        <v>0.33</v>
      </c>
      <c r="Y142" s="15">
        <f t="shared" si="31"/>
        <v>1</v>
      </c>
      <c r="Z142" s="15">
        <f t="shared" si="32"/>
        <v>6</v>
      </c>
      <c r="AA142" s="15">
        <f t="shared" si="33"/>
        <v>0.08</v>
      </c>
    </row>
    <row r="143" spans="13:27" ht="16.5" x14ac:dyDescent="0.2">
      <c r="M143" s="15">
        <v>64</v>
      </c>
      <c r="N143" s="15">
        <f t="shared" si="22"/>
        <v>2</v>
      </c>
      <c r="O143" s="15">
        <f>INDEX(卡牌消耗!$H$13:$H$33,世界BOSS专属武器!N143)</f>
        <v>1501002</v>
      </c>
      <c r="P143" s="49" t="s">
        <v>480</v>
      </c>
      <c r="Q143" s="15">
        <f t="shared" si="23"/>
        <v>12</v>
      </c>
      <c r="R143" s="49" t="str">
        <f t="shared" si="24"/>
        <v>金币</v>
      </c>
      <c r="S143" s="15">
        <f t="shared" si="25"/>
        <v>1000</v>
      </c>
      <c r="T143" s="15" t="str">
        <f t="shared" si="26"/>
        <v>低级专属强化石</v>
      </c>
      <c r="U143" s="15">
        <f t="shared" si="27"/>
        <v>7</v>
      </c>
      <c r="V143" s="15" t="str">
        <f t="shared" si="28"/>
        <v>[x]</v>
      </c>
      <c r="W143" s="15" t="str">
        <f t="shared" si="29"/>
        <v>[x]</v>
      </c>
      <c r="X143" s="15">
        <f t="shared" si="30"/>
        <v>0.31</v>
      </c>
      <c r="Y143" s="15">
        <f t="shared" si="31"/>
        <v>1</v>
      </c>
      <c r="Z143" s="15">
        <f t="shared" si="32"/>
        <v>6</v>
      </c>
      <c r="AA143" s="15">
        <f t="shared" si="33"/>
        <v>9.3299999999999994E-2</v>
      </c>
    </row>
    <row r="144" spans="13:27" ht="16.5" x14ac:dyDescent="0.2">
      <c r="M144" s="15">
        <v>65</v>
      </c>
      <c r="N144" s="15">
        <f t="shared" si="22"/>
        <v>2</v>
      </c>
      <c r="O144" s="15">
        <f>INDEX(卡牌消耗!$H$13:$H$33,世界BOSS专属武器!N144)</f>
        <v>1501002</v>
      </c>
      <c r="P144" s="49" t="s">
        <v>480</v>
      </c>
      <c r="Q144" s="15">
        <f t="shared" si="23"/>
        <v>13</v>
      </c>
      <c r="R144" s="49" t="str">
        <f t="shared" si="24"/>
        <v>金币</v>
      </c>
      <c r="S144" s="15">
        <f t="shared" si="25"/>
        <v>1000</v>
      </c>
      <c r="T144" s="15" t="str">
        <f t="shared" si="26"/>
        <v>低级专属强化石</v>
      </c>
      <c r="U144" s="15">
        <f t="shared" si="27"/>
        <v>7</v>
      </c>
      <c r="V144" s="15" t="str">
        <f t="shared" si="28"/>
        <v>[x]</v>
      </c>
      <c r="W144" s="15" t="str">
        <f t="shared" si="29"/>
        <v>[x]</v>
      </c>
      <c r="X144" s="15">
        <f t="shared" si="30"/>
        <v>0.28999999999999998</v>
      </c>
      <c r="Y144" s="15">
        <f t="shared" si="31"/>
        <v>1</v>
      </c>
      <c r="Z144" s="15">
        <f t="shared" si="32"/>
        <v>7</v>
      </c>
      <c r="AA144" s="15">
        <f t="shared" si="33"/>
        <v>0.1067</v>
      </c>
    </row>
    <row r="145" spans="13:27" ht="16.5" x14ac:dyDescent="0.2">
      <c r="M145" s="15">
        <v>66</v>
      </c>
      <c r="N145" s="15">
        <f t="shared" ref="N145:N208" si="34">INT((M145-1)/51)+1</f>
        <v>2</v>
      </c>
      <c r="O145" s="15">
        <f>INDEX(卡牌消耗!$H$13:$H$33,世界BOSS专属武器!N145)</f>
        <v>1501002</v>
      </c>
      <c r="P145" s="49" t="s">
        <v>480</v>
      </c>
      <c r="Q145" s="15">
        <f t="shared" ref="Q145:Q208" si="35">MOD(M145-1,51)</f>
        <v>14</v>
      </c>
      <c r="R145" s="49" t="str">
        <f t="shared" ref="R145:R208" si="36">IF(Q145&gt;0,"金币","[x]")</f>
        <v>金币</v>
      </c>
      <c r="S145" s="15">
        <f t="shared" ref="S145:S208" si="37">IF(Q145&gt;0,INDEX($V$27:$V$76,Q145),"[x]")</f>
        <v>1000</v>
      </c>
      <c r="T145" s="15" t="str">
        <f t="shared" ref="T145:T208" si="38">IF(Q145&gt;0,INDEX($W$27:$W$76,Q145),"[x]")</f>
        <v>低级专属强化石</v>
      </c>
      <c r="U145" s="15">
        <f t="shared" ref="U145:U208" si="39">IF(Q145&gt;0,INDEX($AA$27:$AF$76,Q145,INDEX($Y$27:$Y$76,Q145)),"[x]")</f>
        <v>7</v>
      </c>
      <c r="V145" s="15" t="str">
        <f t="shared" ref="V145:V208" si="40">IF(AND(Q145&gt;=20,Q145&lt;40),INDEX($X$27:$X$76,Q145),"[x]")</f>
        <v>[x]</v>
      </c>
      <c r="W145" s="15" t="str">
        <f t="shared" ref="W145:W208" si="41">IF(AND(Q145&gt;=20,Q145&lt;40),INDEX($AA$27:$AF$76,Q145,INDEX($Z$27:$Z$76,Q145)),"[x]")</f>
        <v>[x]</v>
      </c>
      <c r="X145" s="15">
        <f t="shared" ref="X145:X208" si="42">IF(Q145&gt;0,INDEX($T$27:$T$76,Q145),"[x]")</f>
        <v>0.27</v>
      </c>
      <c r="Y145" s="15">
        <f t="shared" ref="Y145:Y208" si="43">IF(Q145&gt;0,1,"[x]")</f>
        <v>1</v>
      </c>
      <c r="Z145" s="15">
        <f t="shared" ref="Z145:Z208" si="44">IF(Q145&gt;0,INDEX($AG$27:$AG$76,Q145),"[x]")</f>
        <v>7</v>
      </c>
      <c r="AA145" s="15">
        <f t="shared" ref="AA145:AA208" si="45">IF(Q145&gt;0,INDEX($AL$27:$AL$76,Q145),"[x]")</f>
        <v>0.12</v>
      </c>
    </row>
    <row r="146" spans="13:27" ht="16.5" x14ac:dyDescent="0.2">
      <c r="M146" s="15">
        <v>67</v>
      </c>
      <c r="N146" s="15">
        <f t="shared" si="34"/>
        <v>2</v>
      </c>
      <c r="O146" s="15">
        <f>INDEX(卡牌消耗!$H$13:$H$33,世界BOSS专属武器!N146)</f>
        <v>1501002</v>
      </c>
      <c r="P146" s="49" t="s">
        <v>480</v>
      </c>
      <c r="Q146" s="15">
        <f t="shared" si="35"/>
        <v>15</v>
      </c>
      <c r="R146" s="49" t="str">
        <f t="shared" si="36"/>
        <v>金币</v>
      </c>
      <c r="S146" s="15">
        <f t="shared" si="37"/>
        <v>1000</v>
      </c>
      <c r="T146" s="15" t="str">
        <f t="shared" si="38"/>
        <v>低级专属强化石</v>
      </c>
      <c r="U146" s="15">
        <f t="shared" si="39"/>
        <v>10</v>
      </c>
      <c r="V146" s="15" t="str">
        <f t="shared" si="40"/>
        <v>[x]</v>
      </c>
      <c r="W146" s="15" t="str">
        <f t="shared" si="41"/>
        <v>[x]</v>
      </c>
      <c r="X146" s="15">
        <f t="shared" si="42"/>
        <v>0.25</v>
      </c>
      <c r="Y146" s="15">
        <f t="shared" si="43"/>
        <v>1</v>
      </c>
      <c r="Z146" s="15">
        <f t="shared" si="44"/>
        <v>8</v>
      </c>
      <c r="AA146" s="15">
        <f t="shared" si="45"/>
        <v>0.1333</v>
      </c>
    </row>
    <row r="147" spans="13:27" ht="16.5" x14ac:dyDescent="0.2">
      <c r="M147" s="15">
        <v>68</v>
      </c>
      <c r="N147" s="15">
        <f t="shared" si="34"/>
        <v>2</v>
      </c>
      <c r="O147" s="15">
        <f>INDEX(卡牌消耗!$H$13:$H$33,世界BOSS专属武器!N147)</f>
        <v>1501002</v>
      </c>
      <c r="P147" s="49" t="s">
        <v>480</v>
      </c>
      <c r="Q147" s="15">
        <f t="shared" si="35"/>
        <v>16</v>
      </c>
      <c r="R147" s="49" t="str">
        <f t="shared" si="36"/>
        <v>金币</v>
      </c>
      <c r="S147" s="15">
        <f t="shared" si="37"/>
        <v>1000</v>
      </c>
      <c r="T147" s="15" t="str">
        <f t="shared" si="38"/>
        <v>低级专属强化石</v>
      </c>
      <c r="U147" s="15">
        <f t="shared" si="39"/>
        <v>10</v>
      </c>
      <c r="V147" s="15" t="str">
        <f t="shared" si="40"/>
        <v>[x]</v>
      </c>
      <c r="W147" s="15" t="str">
        <f t="shared" si="41"/>
        <v>[x]</v>
      </c>
      <c r="X147" s="15">
        <f t="shared" si="42"/>
        <v>0.23</v>
      </c>
      <c r="Y147" s="15">
        <f t="shared" si="43"/>
        <v>1</v>
      </c>
      <c r="Z147" s="15">
        <f t="shared" si="44"/>
        <v>9</v>
      </c>
      <c r="AA147" s="15">
        <f t="shared" si="45"/>
        <v>0.1467</v>
      </c>
    </row>
    <row r="148" spans="13:27" ht="16.5" x14ac:dyDescent="0.2">
      <c r="M148" s="15">
        <v>69</v>
      </c>
      <c r="N148" s="15">
        <f t="shared" si="34"/>
        <v>2</v>
      </c>
      <c r="O148" s="15">
        <f>INDEX(卡牌消耗!$H$13:$H$33,世界BOSS专属武器!N148)</f>
        <v>1501002</v>
      </c>
      <c r="P148" s="49" t="s">
        <v>480</v>
      </c>
      <c r="Q148" s="15">
        <f t="shared" si="35"/>
        <v>17</v>
      </c>
      <c r="R148" s="49" t="str">
        <f t="shared" si="36"/>
        <v>金币</v>
      </c>
      <c r="S148" s="15">
        <f t="shared" si="37"/>
        <v>1000</v>
      </c>
      <c r="T148" s="15" t="str">
        <f t="shared" si="38"/>
        <v>低级专属强化石</v>
      </c>
      <c r="U148" s="15">
        <f t="shared" si="39"/>
        <v>10</v>
      </c>
      <c r="V148" s="15" t="str">
        <f t="shared" si="40"/>
        <v>[x]</v>
      </c>
      <c r="W148" s="15" t="str">
        <f t="shared" si="41"/>
        <v>[x]</v>
      </c>
      <c r="X148" s="15">
        <f t="shared" si="42"/>
        <v>0.21</v>
      </c>
      <c r="Y148" s="15">
        <f t="shared" si="43"/>
        <v>1</v>
      </c>
      <c r="Z148" s="15">
        <f t="shared" si="44"/>
        <v>10</v>
      </c>
      <c r="AA148" s="15">
        <f t="shared" si="45"/>
        <v>0.16</v>
      </c>
    </row>
    <row r="149" spans="13:27" ht="16.5" x14ac:dyDescent="0.2">
      <c r="M149" s="15">
        <v>70</v>
      </c>
      <c r="N149" s="15">
        <f t="shared" si="34"/>
        <v>2</v>
      </c>
      <c r="O149" s="15">
        <f>INDEX(卡牌消耗!$H$13:$H$33,世界BOSS专属武器!N149)</f>
        <v>1501002</v>
      </c>
      <c r="P149" s="49" t="s">
        <v>480</v>
      </c>
      <c r="Q149" s="15">
        <f t="shared" si="35"/>
        <v>18</v>
      </c>
      <c r="R149" s="49" t="str">
        <f t="shared" si="36"/>
        <v>金币</v>
      </c>
      <c r="S149" s="15">
        <f t="shared" si="37"/>
        <v>1000</v>
      </c>
      <c r="T149" s="15" t="str">
        <f t="shared" si="38"/>
        <v>低级专属强化石</v>
      </c>
      <c r="U149" s="15">
        <f t="shared" si="39"/>
        <v>10</v>
      </c>
      <c r="V149" s="15" t="str">
        <f t="shared" si="40"/>
        <v>[x]</v>
      </c>
      <c r="W149" s="15" t="str">
        <f t="shared" si="41"/>
        <v>[x]</v>
      </c>
      <c r="X149" s="15">
        <f t="shared" si="42"/>
        <v>0.19</v>
      </c>
      <c r="Y149" s="15">
        <f t="shared" si="43"/>
        <v>1</v>
      </c>
      <c r="Z149" s="15">
        <f t="shared" si="44"/>
        <v>11</v>
      </c>
      <c r="AA149" s="15">
        <f t="shared" si="45"/>
        <v>0.17330000000000001</v>
      </c>
    </row>
    <row r="150" spans="13:27" ht="16.5" x14ac:dyDescent="0.2">
      <c r="M150" s="15">
        <v>71</v>
      </c>
      <c r="N150" s="15">
        <f t="shared" si="34"/>
        <v>2</v>
      </c>
      <c r="O150" s="15">
        <f>INDEX(卡牌消耗!$H$13:$H$33,世界BOSS专属武器!N150)</f>
        <v>1501002</v>
      </c>
      <c r="P150" s="49" t="s">
        <v>480</v>
      </c>
      <c r="Q150" s="15">
        <f t="shared" si="35"/>
        <v>19</v>
      </c>
      <c r="R150" s="49" t="str">
        <f t="shared" si="36"/>
        <v>金币</v>
      </c>
      <c r="S150" s="15">
        <f t="shared" si="37"/>
        <v>1000</v>
      </c>
      <c r="T150" s="15" t="str">
        <f t="shared" si="38"/>
        <v>低级专属强化石</v>
      </c>
      <c r="U150" s="15">
        <f t="shared" si="39"/>
        <v>10</v>
      </c>
      <c r="V150" s="15" t="str">
        <f t="shared" si="40"/>
        <v>[x]</v>
      </c>
      <c r="W150" s="15" t="str">
        <f t="shared" si="41"/>
        <v>[x]</v>
      </c>
      <c r="X150" s="15">
        <f t="shared" si="42"/>
        <v>0.17</v>
      </c>
      <c r="Y150" s="15">
        <f t="shared" si="43"/>
        <v>1</v>
      </c>
      <c r="Z150" s="15">
        <f t="shared" si="44"/>
        <v>12</v>
      </c>
      <c r="AA150" s="15">
        <f t="shared" si="45"/>
        <v>0.1867</v>
      </c>
    </row>
    <row r="151" spans="13:27" ht="16.5" x14ac:dyDescent="0.2">
      <c r="M151" s="15">
        <v>72</v>
      </c>
      <c r="N151" s="15">
        <f t="shared" si="34"/>
        <v>2</v>
      </c>
      <c r="O151" s="15">
        <f>INDEX(卡牌消耗!$H$13:$H$33,世界BOSS专属武器!N151)</f>
        <v>1501002</v>
      </c>
      <c r="P151" s="49" t="s">
        <v>480</v>
      </c>
      <c r="Q151" s="15">
        <f t="shared" si="35"/>
        <v>20</v>
      </c>
      <c r="R151" s="49" t="str">
        <f t="shared" si="36"/>
        <v>金币</v>
      </c>
      <c r="S151" s="15">
        <f t="shared" si="37"/>
        <v>5000</v>
      </c>
      <c r="T151" s="15" t="str">
        <f t="shared" si="38"/>
        <v>低级专属强化石</v>
      </c>
      <c r="U151" s="15">
        <f t="shared" si="39"/>
        <v>15</v>
      </c>
      <c r="V151" s="15" t="str">
        <f t="shared" si="40"/>
        <v>中级专属强化石</v>
      </c>
      <c r="W151" s="15">
        <f t="shared" si="41"/>
        <v>7</v>
      </c>
      <c r="X151" s="15">
        <f t="shared" si="42"/>
        <v>0.15</v>
      </c>
      <c r="Y151" s="15">
        <f t="shared" si="43"/>
        <v>1</v>
      </c>
      <c r="Z151" s="15">
        <f t="shared" si="44"/>
        <v>15</v>
      </c>
      <c r="AA151" s="15">
        <f t="shared" si="45"/>
        <v>0.2</v>
      </c>
    </row>
    <row r="152" spans="13:27" ht="16.5" x14ac:dyDescent="0.2">
      <c r="M152" s="15">
        <v>73</v>
      </c>
      <c r="N152" s="15">
        <f t="shared" si="34"/>
        <v>2</v>
      </c>
      <c r="O152" s="15">
        <f>INDEX(卡牌消耗!$H$13:$H$33,世界BOSS专属武器!N152)</f>
        <v>1501002</v>
      </c>
      <c r="P152" s="49" t="s">
        <v>480</v>
      </c>
      <c r="Q152" s="15">
        <f t="shared" si="35"/>
        <v>21</v>
      </c>
      <c r="R152" s="49" t="str">
        <f t="shared" si="36"/>
        <v>金币</v>
      </c>
      <c r="S152" s="15">
        <f t="shared" si="37"/>
        <v>5000</v>
      </c>
      <c r="T152" s="15" t="str">
        <f t="shared" si="38"/>
        <v>低级专属强化石</v>
      </c>
      <c r="U152" s="15">
        <f t="shared" si="39"/>
        <v>15</v>
      </c>
      <c r="V152" s="15" t="str">
        <f t="shared" si="40"/>
        <v>中级专属强化石</v>
      </c>
      <c r="W152" s="15">
        <f t="shared" si="41"/>
        <v>7</v>
      </c>
      <c r="X152" s="15">
        <f t="shared" si="42"/>
        <v>0.15</v>
      </c>
      <c r="Y152" s="15">
        <f t="shared" si="43"/>
        <v>1</v>
      </c>
      <c r="Z152" s="15">
        <f t="shared" si="44"/>
        <v>15</v>
      </c>
      <c r="AA152" s="15">
        <f t="shared" si="45"/>
        <v>0.22</v>
      </c>
    </row>
    <row r="153" spans="13:27" ht="16.5" x14ac:dyDescent="0.2">
      <c r="M153" s="15">
        <v>74</v>
      </c>
      <c r="N153" s="15">
        <f t="shared" si="34"/>
        <v>2</v>
      </c>
      <c r="O153" s="15">
        <f>INDEX(卡牌消耗!$H$13:$H$33,世界BOSS专属武器!N153)</f>
        <v>1501002</v>
      </c>
      <c r="P153" s="49" t="s">
        <v>480</v>
      </c>
      <c r="Q153" s="15">
        <f t="shared" si="35"/>
        <v>22</v>
      </c>
      <c r="R153" s="49" t="str">
        <f t="shared" si="36"/>
        <v>金币</v>
      </c>
      <c r="S153" s="15">
        <f t="shared" si="37"/>
        <v>5000</v>
      </c>
      <c r="T153" s="15" t="str">
        <f t="shared" si="38"/>
        <v>低级专属强化石</v>
      </c>
      <c r="U153" s="15">
        <f t="shared" si="39"/>
        <v>15</v>
      </c>
      <c r="V153" s="15" t="str">
        <f t="shared" si="40"/>
        <v>中级专属强化石</v>
      </c>
      <c r="W153" s="15">
        <f t="shared" si="41"/>
        <v>7</v>
      </c>
      <c r="X153" s="15">
        <f t="shared" si="42"/>
        <v>0.15</v>
      </c>
      <c r="Y153" s="15">
        <f t="shared" si="43"/>
        <v>1</v>
      </c>
      <c r="Z153" s="15">
        <f t="shared" si="44"/>
        <v>15</v>
      </c>
      <c r="AA153" s="15">
        <f t="shared" si="45"/>
        <v>0.24</v>
      </c>
    </row>
    <row r="154" spans="13:27" ht="16.5" x14ac:dyDescent="0.2">
      <c r="M154" s="15">
        <v>75</v>
      </c>
      <c r="N154" s="15">
        <f t="shared" si="34"/>
        <v>2</v>
      </c>
      <c r="O154" s="15">
        <f>INDEX(卡牌消耗!$H$13:$H$33,世界BOSS专属武器!N154)</f>
        <v>1501002</v>
      </c>
      <c r="P154" s="49" t="s">
        <v>480</v>
      </c>
      <c r="Q154" s="15">
        <f t="shared" si="35"/>
        <v>23</v>
      </c>
      <c r="R154" s="49" t="str">
        <f t="shared" si="36"/>
        <v>金币</v>
      </c>
      <c r="S154" s="15">
        <f t="shared" si="37"/>
        <v>5000</v>
      </c>
      <c r="T154" s="15" t="str">
        <f t="shared" si="38"/>
        <v>低级专属强化石</v>
      </c>
      <c r="U154" s="15">
        <f t="shared" si="39"/>
        <v>15</v>
      </c>
      <c r="V154" s="15" t="str">
        <f t="shared" si="40"/>
        <v>中级专属强化石</v>
      </c>
      <c r="W154" s="15">
        <f t="shared" si="41"/>
        <v>7</v>
      </c>
      <c r="X154" s="15">
        <f t="shared" si="42"/>
        <v>0.15</v>
      </c>
      <c r="Y154" s="15">
        <f t="shared" si="43"/>
        <v>1</v>
      </c>
      <c r="Z154" s="15">
        <f t="shared" si="44"/>
        <v>18</v>
      </c>
      <c r="AA154" s="15">
        <f t="shared" si="45"/>
        <v>0.26</v>
      </c>
    </row>
    <row r="155" spans="13:27" ht="16.5" x14ac:dyDescent="0.2">
      <c r="M155" s="15">
        <v>76</v>
      </c>
      <c r="N155" s="15">
        <f t="shared" si="34"/>
        <v>2</v>
      </c>
      <c r="O155" s="15">
        <f>INDEX(卡牌消耗!$H$13:$H$33,世界BOSS专属武器!N155)</f>
        <v>1501002</v>
      </c>
      <c r="P155" s="49" t="s">
        <v>480</v>
      </c>
      <c r="Q155" s="15">
        <f t="shared" si="35"/>
        <v>24</v>
      </c>
      <c r="R155" s="49" t="str">
        <f t="shared" si="36"/>
        <v>金币</v>
      </c>
      <c r="S155" s="15">
        <f t="shared" si="37"/>
        <v>5000</v>
      </c>
      <c r="T155" s="15" t="str">
        <f t="shared" si="38"/>
        <v>低级专属强化石</v>
      </c>
      <c r="U155" s="15">
        <f t="shared" si="39"/>
        <v>15</v>
      </c>
      <c r="V155" s="15" t="str">
        <f t="shared" si="40"/>
        <v>中级专属强化石</v>
      </c>
      <c r="W155" s="15">
        <f t="shared" si="41"/>
        <v>7</v>
      </c>
      <c r="X155" s="15">
        <f t="shared" si="42"/>
        <v>0.15</v>
      </c>
      <c r="Y155" s="15">
        <f t="shared" si="43"/>
        <v>1</v>
      </c>
      <c r="Z155" s="15">
        <f t="shared" si="44"/>
        <v>18</v>
      </c>
      <c r="AA155" s="15">
        <f t="shared" si="45"/>
        <v>0.28000000000000003</v>
      </c>
    </row>
    <row r="156" spans="13:27" ht="16.5" x14ac:dyDescent="0.2">
      <c r="M156" s="15">
        <v>77</v>
      </c>
      <c r="N156" s="15">
        <f t="shared" si="34"/>
        <v>2</v>
      </c>
      <c r="O156" s="15">
        <f>INDEX(卡牌消耗!$H$13:$H$33,世界BOSS专属武器!N156)</f>
        <v>1501002</v>
      </c>
      <c r="P156" s="49" t="s">
        <v>480</v>
      </c>
      <c r="Q156" s="15">
        <f t="shared" si="35"/>
        <v>25</v>
      </c>
      <c r="R156" s="49" t="str">
        <f t="shared" si="36"/>
        <v>金币</v>
      </c>
      <c r="S156" s="15">
        <f t="shared" si="37"/>
        <v>5000</v>
      </c>
      <c r="T156" s="15" t="str">
        <f t="shared" si="38"/>
        <v>低级专属强化石</v>
      </c>
      <c r="U156" s="15">
        <f t="shared" si="39"/>
        <v>15</v>
      </c>
      <c r="V156" s="15" t="str">
        <f t="shared" si="40"/>
        <v>中级专属强化石</v>
      </c>
      <c r="W156" s="15">
        <f t="shared" si="41"/>
        <v>7</v>
      </c>
      <c r="X156" s="15">
        <f t="shared" si="42"/>
        <v>0.15</v>
      </c>
      <c r="Y156" s="15">
        <f t="shared" si="43"/>
        <v>1</v>
      </c>
      <c r="Z156" s="15">
        <f t="shared" si="44"/>
        <v>18</v>
      </c>
      <c r="AA156" s="15">
        <f t="shared" si="45"/>
        <v>0.3</v>
      </c>
    </row>
    <row r="157" spans="13:27" ht="16.5" x14ac:dyDescent="0.2">
      <c r="M157" s="15">
        <v>78</v>
      </c>
      <c r="N157" s="15">
        <f t="shared" si="34"/>
        <v>2</v>
      </c>
      <c r="O157" s="15">
        <f>INDEX(卡牌消耗!$H$13:$H$33,世界BOSS专属武器!N157)</f>
        <v>1501002</v>
      </c>
      <c r="P157" s="49" t="s">
        <v>480</v>
      </c>
      <c r="Q157" s="15">
        <f t="shared" si="35"/>
        <v>26</v>
      </c>
      <c r="R157" s="49" t="str">
        <f t="shared" si="36"/>
        <v>金币</v>
      </c>
      <c r="S157" s="15">
        <f t="shared" si="37"/>
        <v>5000</v>
      </c>
      <c r="T157" s="15" t="str">
        <f t="shared" si="38"/>
        <v>低级专属强化石</v>
      </c>
      <c r="U157" s="15">
        <f t="shared" si="39"/>
        <v>15</v>
      </c>
      <c r="V157" s="15" t="str">
        <f t="shared" si="40"/>
        <v>中级专属强化石</v>
      </c>
      <c r="W157" s="15">
        <f t="shared" si="41"/>
        <v>7</v>
      </c>
      <c r="X157" s="15">
        <f t="shared" si="42"/>
        <v>0.15</v>
      </c>
      <c r="Y157" s="15">
        <f t="shared" si="43"/>
        <v>1</v>
      </c>
      <c r="Z157" s="15">
        <f t="shared" si="44"/>
        <v>21</v>
      </c>
      <c r="AA157" s="15">
        <f t="shared" si="45"/>
        <v>0.32</v>
      </c>
    </row>
    <row r="158" spans="13:27" ht="16.5" x14ac:dyDescent="0.2">
      <c r="M158" s="15">
        <v>79</v>
      </c>
      <c r="N158" s="15">
        <f t="shared" si="34"/>
        <v>2</v>
      </c>
      <c r="O158" s="15">
        <f>INDEX(卡牌消耗!$H$13:$H$33,世界BOSS专属武器!N158)</f>
        <v>1501002</v>
      </c>
      <c r="P158" s="49" t="s">
        <v>480</v>
      </c>
      <c r="Q158" s="15">
        <f t="shared" si="35"/>
        <v>27</v>
      </c>
      <c r="R158" s="49" t="str">
        <f t="shared" si="36"/>
        <v>金币</v>
      </c>
      <c r="S158" s="15">
        <f t="shared" si="37"/>
        <v>5000</v>
      </c>
      <c r="T158" s="15" t="str">
        <f t="shared" si="38"/>
        <v>低级专属强化石</v>
      </c>
      <c r="U158" s="15">
        <f t="shared" si="39"/>
        <v>15</v>
      </c>
      <c r="V158" s="15" t="str">
        <f t="shared" si="40"/>
        <v>中级专属强化石</v>
      </c>
      <c r="W158" s="15">
        <f t="shared" si="41"/>
        <v>7</v>
      </c>
      <c r="X158" s="15">
        <f t="shared" si="42"/>
        <v>0.15</v>
      </c>
      <c r="Y158" s="15">
        <f t="shared" si="43"/>
        <v>1</v>
      </c>
      <c r="Z158" s="15">
        <f t="shared" si="44"/>
        <v>22</v>
      </c>
      <c r="AA158" s="15">
        <f t="shared" si="45"/>
        <v>0.34</v>
      </c>
    </row>
    <row r="159" spans="13:27" ht="16.5" x14ac:dyDescent="0.2">
      <c r="M159" s="15">
        <v>80</v>
      </c>
      <c r="N159" s="15">
        <f t="shared" si="34"/>
        <v>2</v>
      </c>
      <c r="O159" s="15">
        <f>INDEX(卡牌消耗!$H$13:$H$33,世界BOSS专属武器!N159)</f>
        <v>1501002</v>
      </c>
      <c r="P159" s="49" t="s">
        <v>480</v>
      </c>
      <c r="Q159" s="15">
        <f t="shared" si="35"/>
        <v>28</v>
      </c>
      <c r="R159" s="49" t="str">
        <f t="shared" si="36"/>
        <v>金币</v>
      </c>
      <c r="S159" s="15">
        <f t="shared" si="37"/>
        <v>5000</v>
      </c>
      <c r="T159" s="15" t="str">
        <f t="shared" si="38"/>
        <v>低级专属强化石</v>
      </c>
      <c r="U159" s="15">
        <f t="shared" si="39"/>
        <v>15</v>
      </c>
      <c r="V159" s="15" t="str">
        <f t="shared" si="40"/>
        <v>中级专属强化石</v>
      </c>
      <c r="W159" s="15">
        <f t="shared" si="41"/>
        <v>7</v>
      </c>
      <c r="X159" s="15">
        <f t="shared" si="42"/>
        <v>0.15</v>
      </c>
      <c r="Y159" s="15">
        <f t="shared" si="43"/>
        <v>1</v>
      </c>
      <c r="Z159" s="15">
        <f t="shared" si="44"/>
        <v>23</v>
      </c>
      <c r="AA159" s="15">
        <f t="shared" si="45"/>
        <v>0.36</v>
      </c>
    </row>
    <row r="160" spans="13:27" ht="16.5" x14ac:dyDescent="0.2">
      <c r="M160" s="15">
        <v>81</v>
      </c>
      <c r="N160" s="15">
        <f t="shared" si="34"/>
        <v>2</v>
      </c>
      <c r="O160" s="15">
        <f>INDEX(卡牌消耗!$H$13:$H$33,世界BOSS专属武器!N160)</f>
        <v>1501002</v>
      </c>
      <c r="P160" s="49" t="s">
        <v>480</v>
      </c>
      <c r="Q160" s="15">
        <f t="shared" si="35"/>
        <v>29</v>
      </c>
      <c r="R160" s="49" t="str">
        <f t="shared" si="36"/>
        <v>金币</v>
      </c>
      <c r="S160" s="15">
        <f t="shared" si="37"/>
        <v>5000</v>
      </c>
      <c r="T160" s="15" t="str">
        <f t="shared" si="38"/>
        <v>低级专属强化石</v>
      </c>
      <c r="U160" s="15">
        <f t="shared" si="39"/>
        <v>15</v>
      </c>
      <c r="V160" s="15" t="str">
        <f t="shared" si="40"/>
        <v>中级专属强化石</v>
      </c>
      <c r="W160" s="15">
        <f t="shared" si="41"/>
        <v>7</v>
      </c>
      <c r="X160" s="15">
        <f t="shared" si="42"/>
        <v>0.15</v>
      </c>
      <c r="Y160" s="15">
        <f t="shared" si="43"/>
        <v>1</v>
      </c>
      <c r="Z160" s="15">
        <f t="shared" si="44"/>
        <v>25</v>
      </c>
      <c r="AA160" s="15">
        <f t="shared" si="45"/>
        <v>0.38</v>
      </c>
    </row>
    <row r="161" spans="13:27" ht="16.5" x14ac:dyDescent="0.2">
      <c r="M161" s="15">
        <v>82</v>
      </c>
      <c r="N161" s="15">
        <f t="shared" si="34"/>
        <v>2</v>
      </c>
      <c r="O161" s="15">
        <f>INDEX(卡牌消耗!$H$13:$H$33,世界BOSS专属武器!N161)</f>
        <v>1501002</v>
      </c>
      <c r="P161" s="49" t="s">
        <v>480</v>
      </c>
      <c r="Q161" s="15">
        <f t="shared" si="35"/>
        <v>30</v>
      </c>
      <c r="R161" s="49" t="str">
        <f t="shared" si="36"/>
        <v>金币</v>
      </c>
      <c r="S161" s="15">
        <f t="shared" si="37"/>
        <v>10000</v>
      </c>
      <c r="T161" s="15" t="str">
        <f t="shared" si="38"/>
        <v>中级专属强化石</v>
      </c>
      <c r="U161" s="15">
        <f t="shared" si="39"/>
        <v>8</v>
      </c>
      <c r="V161" s="15" t="str">
        <f t="shared" si="40"/>
        <v>高级专属强化石</v>
      </c>
      <c r="W161" s="15">
        <f t="shared" si="41"/>
        <v>3</v>
      </c>
      <c r="X161" s="15">
        <f t="shared" si="42"/>
        <v>0.1</v>
      </c>
      <c r="Y161" s="15">
        <f t="shared" si="43"/>
        <v>1</v>
      </c>
      <c r="Z161" s="15">
        <f t="shared" si="44"/>
        <v>30</v>
      </c>
      <c r="AA161" s="15">
        <f t="shared" si="45"/>
        <v>0.4</v>
      </c>
    </row>
    <row r="162" spans="13:27" ht="16.5" x14ac:dyDescent="0.2">
      <c r="M162" s="15">
        <v>83</v>
      </c>
      <c r="N162" s="15">
        <f t="shared" si="34"/>
        <v>2</v>
      </c>
      <c r="O162" s="15">
        <f>INDEX(卡牌消耗!$H$13:$H$33,世界BOSS专属武器!N162)</f>
        <v>1501002</v>
      </c>
      <c r="P162" s="49" t="s">
        <v>480</v>
      </c>
      <c r="Q162" s="15">
        <f t="shared" si="35"/>
        <v>31</v>
      </c>
      <c r="R162" s="49" t="str">
        <f t="shared" si="36"/>
        <v>金币</v>
      </c>
      <c r="S162" s="15">
        <f t="shared" si="37"/>
        <v>10000</v>
      </c>
      <c r="T162" s="15" t="str">
        <f t="shared" si="38"/>
        <v>中级专属强化石</v>
      </c>
      <c r="U162" s="15">
        <f t="shared" si="39"/>
        <v>8</v>
      </c>
      <c r="V162" s="15" t="str">
        <f t="shared" si="40"/>
        <v>高级专属强化石</v>
      </c>
      <c r="W162" s="15">
        <f t="shared" si="41"/>
        <v>3</v>
      </c>
      <c r="X162" s="15">
        <f t="shared" si="42"/>
        <v>0.1</v>
      </c>
      <c r="Y162" s="15">
        <f t="shared" si="43"/>
        <v>1</v>
      </c>
      <c r="Z162" s="15">
        <f t="shared" si="44"/>
        <v>30</v>
      </c>
      <c r="AA162" s="15">
        <f t="shared" si="45"/>
        <v>0.42670000000000002</v>
      </c>
    </row>
    <row r="163" spans="13:27" ht="16.5" x14ac:dyDescent="0.2">
      <c r="M163" s="15">
        <v>84</v>
      </c>
      <c r="N163" s="15">
        <f t="shared" si="34"/>
        <v>2</v>
      </c>
      <c r="O163" s="15">
        <f>INDEX(卡牌消耗!$H$13:$H$33,世界BOSS专属武器!N163)</f>
        <v>1501002</v>
      </c>
      <c r="P163" s="49" t="s">
        <v>480</v>
      </c>
      <c r="Q163" s="15">
        <f t="shared" si="35"/>
        <v>32</v>
      </c>
      <c r="R163" s="49" t="str">
        <f t="shared" si="36"/>
        <v>金币</v>
      </c>
      <c r="S163" s="15">
        <f t="shared" si="37"/>
        <v>10000</v>
      </c>
      <c r="T163" s="15" t="str">
        <f t="shared" si="38"/>
        <v>中级专属强化石</v>
      </c>
      <c r="U163" s="15">
        <f t="shared" si="39"/>
        <v>8</v>
      </c>
      <c r="V163" s="15" t="str">
        <f t="shared" si="40"/>
        <v>高级专属强化石</v>
      </c>
      <c r="W163" s="15">
        <f t="shared" si="41"/>
        <v>3</v>
      </c>
      <c r="X163" s="15">
        <f t="shared" si="42"/>
        <v>0.1</v>
      </c>
      <c r="Y163" s="15">
        <f t="shared" si="43"/>
        <v>1</v>
      </c>
      <c r="Z163" s="15">
        <f t="shared" si="44"/>
        <v>30</v>
      </c>
      <c r="AA163" s="15">
        <f t="shared" si="45"/>
        <v>0.45329999999999998</v>
      </c>
    </row>
    <row r="164" spans="13:27" ht="16.5" x14ac:dyDescent="0.2">
      <c r="M164" s="15">
        <v>85</v>
      </c>
      <c r="N164" s="15">
        <f t="shared" si="34"/>
        <v>2</v>
      </c>
      <c r="O164" s="15">
        <f>INDEX(卡牌消耗!$H$13:$H$33,世界BOSS专属武器!N164)</f>
        <v>1501002</v>
      </c>
      <c r="P164" s="49" t="s">
        <v>480</v>
      </c>
      <c r="Q164" s="15">
        <f t="shared" si="35"/>
        <v>33</v>
      </c>
      <c r="R164" s="49" t="str">
        <f t="shared" si="36"/>
        <v>金币</v>
      </c>
      <c r="S164" s="15">
        <f t="shared" si="37"/>
        <v>10000</v>
      </c>
      <c r="T164" s="15" t="str">
        <f t="shared" si="38"/>
        <v>中级专属强化石</v>
      </c>
      <c r="U164" s="15">
        <f t="shared" si="39"/>
        <v>8</v>
      </c>
      <c r="V164" s="15" t="str">
        <f t="shared" si="40"/>
        <v>高级专属强化石</v>
      </c>
      <c r="W164" s="15">
        <f t="shared" si="41"/>
        <v>3</v>
      </c>
      <c r="X164" s="15">
        <f t="shared" si="42"/>
        <v>0.1</v>
      </c>
      <c r="Y164" s="15">
        <f t="shared" si="43"/>
        <v>1</v>
      </c>
      <c r="Z164" s="15">
        <f t="shared" si="44"/>
        <v>30</v>
      </c>
      <c r="AA164" s="15">
        <f t="shared" si="45"/>
        <v>0.48</v>
      </c>
    </row>
    <row r="165" spans="13:27" ht="16.5" x14ac:dyDescent="0.2">
      <c r="M165" s="15">
        <v>86</v>
      </c>
      <c r="N165" s="15">
        <f t="shared" si="34"/>
        <v>2</v>
      </c>
      <c r="O165" s="15">
        <f>INDEX(卡牌消耗!$H$13:$H$33,世界BOSS专属武器!N165)</f>
        <v>1501002</v>
      </c>
      <c r="P165" s="49" t="s">
        <v>480</v>
      </c>
      <c r="Q165" s="15">
        <f t="shared" si="35"/>
        <v>34</v>
      </c>
      <c r="R165" s="49" t="str">
        <f t="shared" si="36"/>
        <v>金币</v>
      </c>
      <c r="S165" s="15">
        <f t="shared" si="37"/>
        <v>10000</v>
      </c>
      <c r="T165" s="15" t="str">
        <f t="shared" si="38"/>
        <v>中级专属强化石</v>
      </c>
      <c r="U165" s="15">
        <f t="shared" si="39"/>
        <v>8</v>
      </c>
      <c r="V165" s="15" t="str">
        <f t="shared" si="40"/>
        <v>高级专属强化石</v>
      </c>
      <c r="W165" s="15">
        <f t="shared" si="41"/>
        <v>3</v>
      </c>
      <c r="X165" s="15">
        <f t="shared" si="42"/>
        <v>0.1</v>
      </c>
      <c r="Y165" s="15">
        <f t="shared" si="43"/>
        <v>1</v>
      </c>
      <c r="Z165" s="15">
        <f t="shared" si="44"/>
        <v>30</v>
      </c>
      <c r="AA165" s="15">
        <f t="shared" si="45"/>
        <v>0.50670000000000004</v>
      </c>
    </row>
    <row r="166" spans="13:27" ht="16.5" x14ac:dyDescent="0.2">
      <c r="M166" s="15">
        <v>87</v>
      </c>
      <c r="N166" s="15">
        <f t="shared" si="34"/>
        <v>2</v>
      </c>
      <c r="O166" s="15">
        <f>INDEX(卡牌消耗!$H$13:$H$33,世界BOSS专属武器!N166)</f>
        <v>1501002</v>
      </c>
      <c r="P166" s="49" t="s">
        <v>480</v>
      </c>
      <c r="Q166" s="15">
        <f t="shared" si="35"/>
        <v>35</v>
      </c>
      <c r="R166" s="49" t="str">
        <f t="shared" si="36"/>
        <v>金币</v>
      </c>
      <c r="S166" s="15">
        <f t="shared" si="37"/>
        <v>10000</v>
      </c>
      <c r="T166" s="15" t="str">
        <f t="shared" si="38"/>
        <v>中级专属强化石</v>
      </c>
      <c r="U166" s="15">
        <f t="shared" si="39"/>
        <v>8</v>
      </c>
      <c r="V166" s="15" t="str">
        <f t="shared" si="40"/>
        <v>高级专属强化石</v>
      </c>
      <c r="W166" s="15">
        <f t="shared" si="41"/>
        <v>3</v>
      </c>
      <c r="X166" s="15">
        <f t="shared" si="42"/>
        <v>0.1</v>
      </c>
      <c r="Y166" s="15">
        <f t="shared" si="43"/>
        <v>1</v>
      </c>
      <c r="Z166" s="15">
        <f t="shared" si="44"/>
        <v>30</v>
      </c>
      <c r="AA166" s="15">
        <f t="shared" si="45"/>
        <v>0.5333</v>
      </c>
    </row>
    <row r="167" spans="13:27" ht="16.5" x14ac:dyDescent="0.2">
      <c r="M167" s="15">
        <v>88</v>
      </c>
      <c r="N167" s="15">
        <f t="shared" si="34"/>
        <v>2</v>
      </c>
      <c r="O167" s="15">
        <f>INDEX(卡牌消耗!$H$13:$H$33,世界BOSS专属武器!N167)</f>
        <v>1501002</v>
      </c>
      <c r="P167" s="49" t="s">
        <v>480</v>
      </c>
      <c r="Q167" s="15">
        <f t="shared" si="35"/>
        <v>36</v>
      </c>
      <c r="R167" s="49" t="str">
        <f t="shared" si="36"/>
        <v>金币</v>
      </c>
      <c r="S167" s="15">
        <f t="shared" si="37"/>
        <v>10000</v>
      </c>
      <c r="T167" s="15" t="str">
        <f t="shared" si="38"/>
        <v>中级专属强化石</v>
      </c>
      <c r="U167" s="15">
        <f t="shared" si="39"/>
        <v>8</v>
      </c>
      <c r="V167" s="15" t="str">
        <f t="shared" si="40"/>
        <v>高级专属强化石</v>
      </c>
      <c r="W167" s="15">
        <f t="shared" si="41"/>
        <v>3</v>
      </c>
      <c r="X167" s="15">
        <f t="shared" si="42"/>
        <v>0.1</v>
      </c>
      <c r="Y167" s="15">
        <f t="shared" si="43"/>
        <v>1</v>
      </c>
      <c r="Z167" s="15">
        <f t="shared" si="44"/>
        <v>30</v>
      </c>
      <c r="AA167" s="15">
        <f t="shared" si="45"/>
        <v>0.56000000000000005</v>
      </c>
    </row>
    <row r="168" spans="13:27" ht="16.5" x14ac:dyDescent="0.2">
      <c r="M168" s="15">
        <v>89</v>
      </c>
      <c r="N168" s="15">
        <f t="shared" si="34"/>
        <v>2</v>
      </c>
      <c r="O168" s="15">
        <f>INDEX(卡牌消耗!$H$13:$H$33,世界BOSS专属武器!N168)</f>
        <v>1501002</v>
      </c>
      <c r="P168" s="49" t="s">
        <v>480</v>
      </c>
      <c r="Q168" s="15">
        <f t="shared" si="35"/>
        <v>37</v>
      </c>
      <c r="R168" s="49" t="str">
        <f t="shared" si="36"/>
        <v>金币</v>
      </c>
      <c r="S168" s="15">
        <f t="shared" si="37"/>
        <v>10000</v>
      </c>
      <c r="T168" s="15" t="str">
        <f t="shared" si="38"/>
        <v>中级专属强化石</v>
      </c>
      <c r="U168" s="15">
        <f t="shared" si="39"/>
        <v>8</v>
      </c>
      <c r="V168" s="15" t="str">
        <f t="shared" si="40"/>
        <v>高级专属强化石</v>
      </c>
      <c r="W168" s="15">
        <f t="shared" si="41"/>
        <v>3</v>
      </c>
      <c r="X168" s="15">
        <f t="shared" si="42"/>
        <v>0.1</v>
      </c>
      <c r="Y168" s="15">
        <f t="shared" si="43"/>
        <v>1</v>
      </c>
      <c r="Z168" s="15">
        <f t="shared" si="44"/>
        <v>30</v>
      </c>
      <c r="AA168" s="15">
        <f t="shared" si="45"/>
        <v>0.5867</v>
      </c>
    </row>
    <row r="169" spans="13:27" ht="16.5" x14ac:dyDescent="0.2">
      <c r="M169" s="15">
        <v>90</v>
      </c>
      <c r="N169" s="15">
        <f t="shared" si="34"/>
        <v>2</v>
      </c>
      <c r="O169" s="15">
        <f>INDEX(卡牌消耗!$H$13:$H$33,世界BOSS专属武器!N169)</f>
        <v>1501002</v>
      </c>
      <c r="P169" s="49" t="s">
        <v>480</v>
      </c>
      <c r="Q169" s="15">
        <f t="shared" si="35"/>
        <v>38</v>
      </c>
      <c r="R169" s="49" t="str">
        <f t="shared" si="36"/>
        <v>金币</v>
      </c>
      <c r="S169" s="15">
        <f t="shared" si="37"/>
        <v>10000</v>
      </c>
      <c r="T169" s="15" t="str">
        <f t="shared" si="38"/>
        <v>中级专属强化石</v>
      </c>
      <c r="U169" s="15">
        <f t="shared" si="39"/>
        <v>8</v>
      </c>
      <c r="V169" s="15" t="str">
        <f t="shared" si="40"/>
        <v>高级专属强化石</v>
      </c>
      <c r="W169" s="15">
        <f t="shared" si="41"/>
        <v>3</v>
      </c>
      <c r="X169" s="15">
        <f t="shared" si="42"/>
        <v>0.1</v>
      </c>
      <c r="Y169" s="15">
        <f t="shared" si="43"/>
        <v>1</v>
      </c>
      <c r="Z169" s="15">
        <f t="shared" si="44"/>
        <v>30</v>
      </c>
      <c r="AA169" s="15">
        <f t="shared" si="45"/>
        <v>0.61329999999999996</v>
      </c>
    </row>
    <row r="170" spans="13:27" ht="16.5" x14ac:dyDescent="0.2">
      <c r="M170" s="15">
        <v>91</v>
      </c>
      <c r="N170" s="15">
        <f t="shared" si="34"/>
        <v>2</v>
      </c>
      <c r="O170" s="15">
        <f>INDEX(卡牌消耗!$H$13:$H$33,世界BOSS专属武器!N170)</f>
        <v>1501002</v>
      </c>
      <c r="P170" s="49" t="s">
        <v>480</v>
      </c>
      <c r="Q170" s="15">
        <f t="shared" si="35"/>
        <v>39</v>
      </c>
      <c r="R170" s="49" t="str">
        <f t="shared" si="36"/>
        <v>金币</v>
      </c>
      <c r="S170" s="15">
        <f t="shared" si="37"/>
        <v>10000</v>
      </c>
      <c r="T170" s="15" t="str">
        <f t="shared" si="38"/>
        <v>中级专属强化石</v>
      </c>
      <c r="U170" s="15">
        <f t="shared" si="39"/>
        <v>8</v>
      </c>
      <c r="V170" s="15" t="str">
        <f t="shared" si="40"/>
        <v>高级专属强化石</v>
      </c>
      <c r="W170" s="15">
        <f t="shared" si="41"/>
        <v>3</v>
      </c>
      <c r="X170" s="15">
        <f t="shared" si="42"/>
        <v>0.1</v>
      </c>
      <c r="Y170" s="15">
        <f t="shared" si="43"/>
        <v>1</v>
      </c>
      <c r="Z170" s="15">
        <f t="shared" si="44"/>
        <v>30</v>
      </c>
      <c r="AA170" s="15">
        <f t="shared" si="45"/>
        <v>0.64</v>
      </c>
    </row>
    <row r="171" spans="13:27" ht="16.5" x14ac:dyDescent="0.2">
      <c r="M171" s="15">
        <v>92</v>
      </c>
      <c r="N171" s="15">
        <f t="shared" si="34"/>
        <v>2</v>
      </c>
      <c r="O171" s="15">
        <f>INDEX(卡牌消耗!$H$13:$H$33,世界BOSS专属武器!N171)</f>
        <v>1501002</v>
      </c>
      <c r="P171" s="49" t="s">
        <v>480</v>
      </c>
      <c r="Q171" s="15">
        <f t="shared" si="35"/>
        <v>40</v>
      </c>
      <c r="R171" s="49" t="str">
        <f t="shared" si="36"/>
        <v>金币</v>
      </c>
      <c r="S171" s="15">
        <f t="shared" si="37"/>
        <v>20000</v>
      </c>
      <c r="T171" s="15" t="str">
        <f t="shared" si="38"/>
        <v>高级专属强化石</v>
      </c>
      <c r="U171" s="15">
        <f t="shared" si="39"/>
        <v>5</v>
      </c>
      <c r="V171" s="15" t="str">
        <f t="shared" si="40"/>
        <v>[x]</v>
      </c>
      <c r="W171" s="15" t="str">
        <f t="shared" si="41"/>
        <v>[x]</v>
      </c>
      <c r="X171" s="15">
        <f t="shared" si="42"/>
        <v>0.1</v>
      </c>
      <c r="Y171" s="15">
        <f t="shared" si="43"/>
        <v>1</v>
      </c>
      <c r="Z171" s="15">
        <f t="shared" si="44"/>
        <v>35</v>
      </c>
      <c r="AA171" s="15">
        <f t="shared" si="45"/>
        <v>0.66669999999999996</v>
      </c>
    </row>
    <row r="172" spans="13:27" ht="16.5" x14ac:dyDescent="0.2">
      <c r="M172" s="15">
        <v>93</v>
      </c>
      <c r="N172" s="15">
        <f t="shared" si="34"/>
        <v>2</v>
      </c>
      <c r="O172" s="15">
        <f>INDEX(卡牌消耗!$H$13:$H$33,世界BOSS专属武器!N172)</f>
        <v>1501002</v>
      </c>
      <c r="P172" s="49" t="s">
        <v>480</v>
      </c>
      <c r="Q172" s="15">
        <f t="shared" si="35"/>
        <v>41</v>
      </c>
      <c r="R172" s="49" t="str">
        <f t="shared" si="36"/>
        <v>金币</v>
      </c>
      <c r="S172" s="15">
        <f t="shared" si="37"/>
        <v>20000</v>
      </c>
      <c r="T172" s="15" t="str">
        <f t="shared" si="38"/>
        <v>高级专属强化石</v>
      </c>
      <c r="U172" s="15">
        <f t="shared" si="39"/>
        <v>5</v>
      </c>
      <c r="V172" s="15" t="str">
        <f t="shared" si="40"/>
        <v>[x]</v>
      </c>
      <c r="W172" s="15" t="str">
        <f t="shared" si="41"/>
        <v>[x]</v>
      </c>
      <c r="X172" s="15">
        <f t="shared" si="42"/>
        <v>0.1</v>
      </c>
      <c r="Y172" s="15">
        <f t="shared" si="43"/>
        <v>1</v>
      </c>
      <c r="Z172" s="15">
        <f t="shared" si="44"/>
        <v>40</v>
      </c>
      <c r="AA172" s="15">
        <f t="shared" si="45"/>
        <v>0.7</v>
      </c>
    </row>
    <row r="173" spans="13:27" ht="16.5" x14ac:dyDescent="0.2">
      <c r="M173" s="15">
        <v>94</v>
      </c>
      <c r="N173" s="15">
        <f t="shared" si="34"/>
        <v>2</v>
      </c>
      <c r="O173" s="15">
        <f>INDEX(卡牌消耗!$H$13:$H$33,世界BOSS专属武器!N173)</f>
        <v>1501002</v>
      </c>
      <c r="P173" s="49" t="s">
        <v>480</v>
      </c>
      <c r="Q173" s="15">
        <f t="shared" si="35"/>
        <v>42</v>
      </c>
      <c r="R173" s="49" t="str">
        <f t="shared" si="36"/>
        <v>金币</v>
      </c>
      <c r="S173" s="15">
        <f t="shared" si="37"/>
        <v>20000</v>
      </c>
      <c r="T173" s="15" t="str">
        <f t="shared" si="38"/>
        <v>高级专属强化石</v>
      </c>
      <c r="U173" s="15">
        <f t="shared" si="39"/>
        <v>5</v>
      </c>
      <c r="V173" s="15" t="str">
        <f t="shared" si="40"/>
        <v>[x]</v>
      </c>
      <c r="W173" s="15" t="str">
        <f t="shared" si="41"/>
        <v>[x]</v>
      </c>
      <c r="X173" s="15">
        <f t="shared" si="42"/>
        <v>0.1</v>
      </c>
      <c r="Y173" s="15">
        <f t="shared" si="43"/>
        <v>1</v>
      </c>
      <c r="Z173" s="15">
        <f t="shared" si="44"/>
        <v>45</v>
      </c>
      <c r="AA173" s="15">
        <f t="shared" si="45"/>
        <v>0.73329999999999995</v>
      </c>
    </row>
    <row r="174" spans="13:27" ht="16.5" x14ac:dyDescent="0.2">
      <c r="M174" s="15">
        <v>95</v>
      </c>
      <c r="N174" s="15">
        <f t="shared" si="34"/>
        <v>2</v>
      </c>
      <c r="O174" s="15">
        <f>INDEX(卡牌消耗!$H$13:$H$33,世界BOSS专属武器!N174)</f>
        <v>1501002</v>
      </c>
      <c r="P174" s="49" t="s">
        <v>480</v>
      </c>
      <c r="Q174" s="15">
        <f t="shared" si="35"/>
        <v>43</v>
      </c>
      <c r="R174" s="49" t="str">
        <f t="shared" si="36"/>
        <v>金币</v>
      </c>
      <c r="S174" s="15">
        <f t="shared" si="37"/>
        <v>20000</v>
      </c>
      <c r="T174" s="15" t="str">
        <f t="shared" si="38"/>
        <v>高级专属强化石</v>
      </c>
      <c r="U174" s="15">
        <f t="shared" si="39"/>
        <v>5</v>
      </c>
      <c r="V174" s="15" t="str">
        <f t="shared" si="40"/>
        <v>[x]</v>
      </c>
      <c r="W174" s="15" t="str">
        <f t="shared" si="41"/>
        <v>[x]</v>
      </c>
      <c r="X174" s="15">
        <f t="shared" si="42"/>
        <v>0.1</v>
      </c>
      <c r="Y174" s="15">
        <f t="shared" si="43"/>
        <v>1</v>
      </c>
      <c r="Z174" s="15">
        <f t="shared" si="44"/>
        <v>50</v>
      </c>
      <c r="AA174" s="15">
        <f t="shared" si="45"/>
        <v>0.76670000000000005</v>
      </c>
    </row>
    <row r="175" spans="13:27" ht="16.5" x14ac:dyDescent="0.2">
      <c r="M175" s="15">
        <v>96</v>
      </c>
      <c r="N175" s="15">
        <f t="shared" si="34"/>
        <v>2</v>
      </c>
      <c r="O175" s="15">
        <f>INDEX(卡牌消耗!$H$13:$H$33,世界BOSS专属武器!N175)</f>
        <v>1501002</v>
      </c>
      <c r="P175" s="49" t="s">
        <v>480</v>
      </c>
      <c r="Q175" s="15">
        <f t="shared" si="35"/>
        <v>44</v>
      </c>
      <c r="R175" s="49" t="str">
        <f t="shared" si="36"/>
        <v>金币</v>
      </c>
      <c r="S175" s="15">
        <f t="shared" si="37"/>
        <v>20000</v>
      </c>
      <c r="T175" s="15" t="str">
        <f t="shared" si="38"/>
        <v>高级专属强化石</v>
      </c>
      <c r="U175" s="15">
        <f t="shared" si="39"/>
        <v>5</v>
      </c>
      <c r="V175" s="15" t="str">
        <f t="shared" si="40"/>
        <v>[x]</v>
      </c>
      <c r="W175" s="15" t="str">
        <f t="shared" si="41"/>
        <v>[x]</v>
      </c>
      <c r="X175" s="15">
        <f t="shared" si="42"/>
        <v>0.1</v>
      </c>
      <c r="Y175" s="15">
        <f t="shared" si="43"/>
        <v>1</v>
      </c>
      <c r="Z175" s="15">
        <f t="shared" si="44"/>
        <v>55</v>
      </c>
      <c r="AA175" s="15">
        <f t="shared" si="45"/>
        <v>0.8</v>
      </c>
    </row>
    <row r="176" spans="13:27" ht="16.5" x14ac:dyDescent="0.2">
      <c r="M176" s="15">
        <v>97</v>
      </c>
      <c r="N176" s="15">
        <f t="shared" si="34"/>
        <v>2</v>
      </c>
      <c r="O176" s="15">
        <f>INDEX(卡牌消耗!$H$13:$H$33,世界BOSS专属武器!N176)</f>
        <v>1501002</v>
      </c>
      <c r="P176" s="49" t="s">
        <v>480</v>
      </c>
      <c r="Q176" s="15">
        <f t="shared" si="35"/>
        <v>45</v>
      </c>
      <c r="R176" s="49" t="str">
        <f t="shared" si="36"/>
        <v>金币</v>
      </c>
      <c r="S176" s="15">
        <f t="shared" si="37"/>
        <v>20000</v>
      </c>
      <c r="T176" s="15" t="str">
        <f t="shared" si="38"/>
        <v>高级专属强化石</v>
      </c>
      <c r="U176" s="15">
        <f t="shared" si="39"/>
        <v>6</v>
      </c>
      <c r="V176" s="15" t="str">
        <f t="shared" si="40"/>
        <v>[x]</v>
      </c>
      <c r="W176" s="15" t="str">
        <f t="shared" si="41"/>
        <v>[x]</v>
      </c>
      <c r="X176" s="15">
        <f t="shared" si="42"/>
        <v>0.1</v>
      </c>
      <c r="Y176" s="15">
        <f t="shared" si="43"/>
        <v>1</v>
      </c>
      <c r="Z176" s="15">
        <f t="shared" si="44"/>
        <v>60</v>
      </c>
      <c r="AA176" s="15">
        <f t="shared" si="45"/>
        <v>0.83330000000000004</v>
      </c>
    </row>
    <row r="177" spans="13:27" ht="16.5" x14ac:dyDescent="0.2">
      <c r="M177" s="15">
        <v>98</v>
      </c>
      <c r="N177" s="15">
        <f t="shared" si="34"/>
        <v>2</v>
      </c>
      <c r="O177" s="15">
        <f>INDEX(卡牌消耗!$H$13:$H$33,世界BOSS专属武器!N177)</f>
        <v>1501002</v>
      </c>
      <c r="P177" s="49" t="s">
        <v>480</v>
      </c>
      <c r="Q177" s="15">
        <f t="shared" si="35"/>
        <v>46</v>
      </c>
      <c r="R177" s="49" t="str">
        <f t="shared" si="36"/>
        <v>金币</v>
      </c>
      <c r="S177" s="15">
        <f t="shared" si="37"/>
        <v>20000</v>
      </c>
      <c r="T177" s="15" t="str">
        <f t="shared" si="38"/>
        <v>高级专属强化石</v>
      </c>
      <c r="U177" s="15">
        <f t="shared" si="39"/>
        <v>7</v>
      </c>
      <c r="V177" s="15" t="str">
        <f t="shared" si="40"/>
        <v>[x]</v>
      </c>
      <c r="W177" s="15" t="str">
        <f t="shared" si="41"/>
        <v>[x]</v>
      </c>
      <c r="X177" s="15">
        <f t="shared" si="42"/>
        <v>0.1</v>
      </c>
      <c r="Y177" s="15">
        <f t="shared" si="43"/>
        <v>1</v>
      </c>
      <c r="Z177" s="15">
        <f t="shared" si="44"/>
        <v>70</v>
      </c>
      <c r="AA177" s="15">
        <f t="shared" si="45"/>
        <v>0.86670000000000003</v>
      </c>
    </row>
    <row r="178" spans="13:27" ht="16.5" x14ac:dyDescent="0.2">
      <c r="M178" s="15">
        <v>99</v>
      </c>
      <c r="N178" s="15">
        <f t="shared" si="34"/>
        <v>2</v>
      </c>
      <c r="O178" s="15">
        <f>INDEX(卡牌消耗!$H$13:$H$33,世界BOSS专属武器!N178)</f>
        <v>1501002</v>
      </c>
      <c r="P178" s="49" t="s">
        <v>480</v>
      </c>
      <c r="Q178" s="15">
        <f t="shared" si="35"/>
        <v>47</v>
      </c>
      <c r="R178" s="49" t="str">
        <f t="shared" si="36"/>
        <v>金币</v>
      </c>
      <c r="S178" s="15">
        <f t="shared" si="37"/>
        <v>20000</v>
      </c>
      <c r="T178" s="15" t="str">
        <f t="shared" si="38"/>
        <v>高级专属强化石</v>
      </c>
      <c r="U178" s="15">
        <f t="shared" si="39"/>
        <v>8</v>
      </c>
      <c r="V178" s="15" t="str">
        <f t="shared" si="40"/>
        <v>[x]</v>
      </c>
      <c r="W178" s="15" t="str">
        <f t="shared" si="41"/>
        <v>[x]</v>
      </c>
      <c r="X178" s="15">
        <f t="shared" si="42"/>
        <v>0.1</v>
      </c>
      <c r="Y178" s="15">
        <f t="shared" si="43"/>
        <v>1</v>
      </c>
      <c r="Z178" s="15">
        <f t="shared" si="44"/>
        <v>80</v>
      </c>
      <c r="AA178" s="15">
        <f t="shared" si="45"/>
        <v>0.9</v>
      </c>
    </row>
    <row r="179" spans="13:27" ht="16.5" x14ac:dyDescent="0.2">
      <c r="M179" s="15">
        <v>100</v>
      </c>
      <c r="N179" s="15">
        <f t="shared" si="34"/>
        <v>2</v>
      </c>
      <c r="O179" s="15">
        <f>INDEX(卡牌消耗!$H$13:$H$33,世界BOSS专属武器!N179)</f>
        <v>1501002</v>
      </c>
      <c r="P179" s="49" t="s">
        <v>480</v>
      </c>
      <c r="Q179" s="15">
        <f t="shared" si="35"/>
        <v>48</v>
      </c>
      <c r="R179" s="49" t="str">
        <f t="shared" si="36"/>
        <v>金币</v>
      </c>
      <c r="S179" s="15">
        <f t="shared" si="37"/>
        <v>20000</v>
      </c>
      <c r="T179" s="15" t="str">
        <f t="shared" si="38"/>
        <v>高级专属强化石</v>
      </c>
      <c r="U179" s="15">
        <f t="shared" si="39"/>
        <v>9</v>
      </c>
      <c r="V179" s="15" t="str">
        <f t="shared" si="40"/>
        <v>[x]</v>
      </c>
      <c r="W179" s="15" t="str">
        <f t="shared" si="41"/>
        <v>[x]</v>
      </c>
      <c r="X179" s="15">
        <f t="shared" si="42"/>
        <v>0.1</v>
      </c>
      <c r="Y179" s="15">
        <f t="shared" si="43"/>
        <v>1</v>
      </c>
      <c r="Z179" s="15">
        <f t="shared" si="44"/>
        <v>100</v>
      </c>
      <c r="AA179" s="15">
        <f t="shared" si="45"/>
        <v>0.93330000000000002</v>
      </c>
    </row>
    <row r="180" spans="13:27" ht="16.5" x14ac:dyDescent="0.2">
      <c r="M180" s="15">
        <v>101</v>
      </c>
      <c r="N180" s="15">
        <f t="shared" si="34"/>
        <v>2</v>
      </c>
      <c r="O180" s="15">
        <f>INDEX(卡牌消耗!$H$13:$H$33,世界BOSS专属武器!N180)</f>
        <v>1501002</v>
      </c>
      <c r="P180" s="49" t="s">
        <v>480</v>
      </c>
      <c r="Q180" s="15">
        <f t="shared" si="35"/>
        <v>49</v>
      </c>
      <c r="R180" s="49" t="str">
        <f t="shared" si="36"/>
        <v>金币</v>
      </c>
      <c r="S180" s="15">
        <f t="shared" si="37"/>
        <v>20000</v>
      </c>
      <c r="T180" s="15" t="str">
        <f t="shared" si="38"/>
        <v>高级专属强化石</v>
      </c>
      <c r="U180" s="15">
        <f t="shared" si="39"/>
        <v>10</v>
      </c>
      <c r="V180" s="15" t="str">
        <f t="shared" si="40"/>
        <v>[x]</v>
      </c>
      <c r="W180" s="15" t="str">
        <f t="shared" si="41"/>
        <v>[x]</v>
      </c>
      <c r="X180" s="15">
        <f t="shared" si="42"/>
        <v>0.1</v>
      </c>
      <c r="Y180" s="15">
        <f t="shared" si="43"/>
        <v>1</v>
      </c>
      <c r="Z180" s="15">
        <f t="shared" si="44"/>
        <v>120</v>
      </c>
      <c r="AA180" s="15">
        <f t="shared" si="45"/>
        <v>0.9667</v>
      </c>
    </row>
    <row r="181" spans="13:27" ht="16.5" x14ac:dyDescent="0.2">
      <c r="M181" s="15">
        <v>102</v>
      </c>
      <c r="N181" s="15">
        <f t="shared" si="34"/>
        <v>2</v>
      </c>
      <c r="O181" s="15">
        <f>INDEX(卡牌消耗!$H$13:$H$33,世界BOSS专属武器!N181)</f>
        <v>1501002</v>
      </c>
      <c r="P181" s="49" t="s">
        <v>480</v>
      </c>
      <c r="Q181" s="15">
        <f t="shared" si="35"/>
        <v>50</v>
      </c>
      <c r="R181" s="49" t="str">
        <f t="shared" si="36"/>
        <v>金币</v>
      </c>
      <c r="S181" s="15">
        <f t="shared" si="37"/>
        <v>20000</v>
      </c>
      <c r="T181" s="15" t="str">
        <f t="shared" si="38"/>
        <v>高级专属强化石</v>
      </c>
      <c r="U181" s="15">
        <f t="shared" si="39"/>
        <v>15</v>
      </c>
      <c r="V181" s="15" t="str">
        <f t="shared" si="40"/>
        <v>[x]</v>
      </c>
      <c r="W181" s="15" t="str">
        <f t="shared" si="41"/>
        <v>[x]</v>
      </c>
      <c r="X181" s="15">
        <f t="shared" si="42"/>
        <v>0.1</v>
      </c>
      <c r="Y181" s="15">
        <f t="shared" si="43"/>
        <v>1</v>
      </c>
      <c r="Z181" s="15">
        <f t="shared" si="44"/>
        <v>150</v>
      </c>
      <c r="AA181" s="15">
        <f t="shared" si="45"/>
        <v>1</v>
      </c>
    </row>
    <row r="182" spans="13:27" ht="16.5" x14ac:dyDescent="0.2">
      <c r="M182" s="15">
        <v>103</v>
      </c>
      <c r="N182" s="15">
        <f t="shared" si="34"/>
        <v>3</v>
      </c>
      <c r="O182" s="15">
        <f>INDEX(卡牌消耗!$H$13:$H$33,世界BOSS专属武器!N182)</f>
        <v>1501003</v>
      </c>
      <c r="P182" s="49" t="s">
        <v>480</v>
      </c>
      <c r="Q182" s="15">
        <f t="shared" si="35"/>
        <v>0</v>
      </c>
      <c r="R182" s="49" t="str">
        <f t="shared" si="36"/>
        <v>[x]</v>
      </c>
      <c r="S182" s="15" t="str">
        <f t="shared" si="37"/>
        <v>[x]</v>
      </c>
      <c r="T182" s="15" t="str">
        <f t="shared" si="38"/>
        <v>[x]</v>
      </c>
      <c r="U182" s="15" t="str">
        <f t="shared" si="39"/>
        <v>[x]</v>
      </c>
      <c r="V182" s="15" t="str">
        <f t="shared" si="40"/>
        <v>[x]</v>
      </c>
      <c r="W182" s="15" t="str">
        <f t="shared" si="41"/>
        <v>[x]</v>
      </c>
      <c r="X182" s="15" t="str">
        <f t="shared" si="42"/>
        <v>[x]</v>
      </c>
      <c r="Y182" s="15" t="str">
        <f t="shared" si="43"/>
        <v>[x]</v>
      </c>
      <c r="Z182" s="15" t="str">
        <f t="shared" si="44"/>
        <v>[x]</v>
      </c>
      <c r="AA182" s="15" t="str">
        <f t="shared" si="45"/>
        <v>[x]</v>
      </c>
    </row>
    <row r="183" spans="13:27" ht="16.5" x14ac:dyDescent="0.2">
      <c r="M183" s="15">
        <v>104</v>
      </c>
      <c r="N183" s="15">
        <f t="shared" si="34"/>
        <v>3</v>
      </c>
      <c r="O183" s="15">
        <f>INDEX(卡牌消耗!$H$13:$H$33,世界BOSS专属武器!N183)</f>
        <v>1501003</v>
      </c>
      <c r="P183" s="49" t="s">
        <v>480</v>
      </c>
      <c r="Q183" s="15">
        <f t="shared" si="35"/>
        <v>1</v>
      </c>
      <c r="R183" s="49" t="str">
        <f t="shared" si="36"/>
        <v>金币</v>
      </c>
      <c r="S183" s="15">
        <f t="shared" si="37"/>
        <v>100</v>
      </c>
      <c r="T183" s="15" t="str">
        <f t="shared" si="38"/>
        <v>低级专属强化石</v>
      </c>
      <c r="U183" s="15">
        <f t="shared" si="39"/>
        <v>1</v>
      </c>
      <c r="V183" s="15" t="str">
        <f t="shared" si="40"/>
        <v>[x]</v>
      </c>
      <c r="W183" s="15" t="str">
        <f t="shared" si="41"/>
        <v>[x]</v>
      </c>
      <c r="X183" s="15">
        <f t="shared" si="42"/>
        <v>1</v>
      </c>
      <c r="Y183" s="15">
        <f t="shared" si="43"/>
        <v>1</v>
      </c>
      <c r="Z183" s="15">
        <f t="shared" si="44"/>
        <v>1</v>
      </c>
      <c r="AA183" s="15">
        <f t="shared" si="45"/>
        <v>6.7000000000000002E-3</v>
      </c>
    </row>
    <row r="184" spans="13:27" ht="16.5" x14ac:dyDescent="0.2">
      <c r="M184" s="15">
        <v>105</v>
      </c>
      <c r="N184" s="15">
        <f t="shared" si="34"/>
        <v>3</v>
      </c>
      <c r="O184" s="15">
        <f>INDEX(卡牌消耗!$H$13:$H$33,世界BOSS专属武器!N184)</f>
        <v>1501003</v>
      </c>
      <c r="P184" s="49" t="s">
        <v>480</v>
      </c>
      <c r="Q184" s="15">
        <f t="shared" si="35"/>
        <v>2</v>
      </c>
      <c r="R184" s="49" t="str">
        <f t="shared" si="36"/>
        <v>金币</v>
      </c>
      <c r="S184" s="15">
        <f t="shared" si="37"/>
        <v>200</v>
      </c>
      <c r="T184" s="15" t="str">
        <f t="shared" si="38"/>
        <v>低级专属强化石</v>
      </c>
      <c r="U184" s="15">
        <f t="shared" si="39"/>
        <v>1</v>
      </c>
      <c r="V184" s="15" t="str">
        <f t="shared" si="40"/>
        <v>[x]</v>
      </c>
      <c r="W184" s="15" t="str">
        <f t="shared" si="41"/>
        <v>[x]</v>
      </c>
      <c r="X184" s="15">
        <f t="shared" si="42"/>
        <v>0.5</v>
      </c>
      <c r="Y184" s="15">
        <f t="shared" si="43"/>
        <v>1</v>
      </c>
      <c r="Z184" s="15">
        <f t="shared" si="44"/>
        <v>2</v>
      </c>
      <c r="AA184" s="15">
        <f t="shared" si="45"/>
        <v>1.3299999999999999E-2</v>
      </c>
    </row>
    <row r="185" spans="13:27" ht="16.5" x14ac:dyDescent="0.2">
      <c r="M185" s="15">
        <v>106</v>
      </c>
      <c r="N185" s="15">
        <f t="shared" si="34"/>
        <v>3</v>
      </c>
      <c r="O185" s="15">
        <f>INDEX(卡牌消耗!$H$13:$H$33,世界BOSS专属武器!N185)</f>
        <v>1501003</v>
      </c>
      <c r="P185" s="49" t="s">
        <v>480</v>
      </c>
      <c r="Q185" s="15">
        <f t="shared" si="35"/>
        <v>3</v>
      </c>
      <c r="R185" s="49" t="str">
        <f t="shared" si="36"/>
        <v>金币</v>
      </c>
      <c r="S185" s="15">
        <f t="shared" si="37"/>
        <v>300</v>
      </c>
      <c r="T185" s="15" t="str">
        <f t="shared" si="38"/>
        <v>低级专属强化石</v>
      </c>
      <c r="U185" s="15">
        <f t="shared" si="39"/>
        <v>2</v>
      </c>
      <c r="V185" s="15" t="str">
        <f t="shared" si="40"/>
        <v>[x]</v>
      </c>
      <c r="W185" s="15" t="str">
        <f t="shared" si="41"/>
        <v>[x]</v>
      </c>
      <c r="X185" s="15">
        <f t="shared" si="42"/>
        <v>0.48</v>
      </c>
      <c r="Y185" s="15">
        <f t="shared" si="43"/>
        <v>1</v>
      </c>
      <c r="Z185" s="15">
        <f t="shared" si="44"/>
        <v>3</v>
      </c>
      <c r="AA185" s="15">
        <f t="shared" si="45"/>
        <v>0.02</v>
      </c>
    </row>
    <row r="186" spans="13:27" ht="16.5" x14ac:dyDescent="0.2">
      <c r="M186" s="15">
        <v>107</v>
      </c>
      <c r="N186" s="15">
        <f t="shared" si="34"/>
        <v>3</v>
      </c>
      <c r="O186" s="15">
        <f>INDEX(卡牌消耗!$H$13:$H$33,世界BOSS专属武器!N186)</f>
        <v>1501003</v>
      </c>
      <c r="P186" s="49" t="s">
        <v>480</v>
      </c>
      <c r="Q186" s="15">
        <f t="shared" si="35"/>
        <v>4</v>
      </c>
      <c r="R186" s="49" t="str">
        <f t="shared" si="36"/>
        <v>金币</v>
      </c>
      <c r="S186" s="15">
        <f t="shared" si="37"/>
        <v>400</v>
      </c>
      <c r="T186" s="15" t="str">
        <f t="shared" si="38"/>
        <v>低级专属强化石</v>
      </c>
      <c r="U186" s="15">
        <f t="shared" si="39"/>
        <v>3</v>
      </c>
      <c r="V186" s="15" t="str">
        <f t="shared" si="40"/>
        <v>[x]</v>
      </c>
      <c r="W186" s="15" t="str">
        <f t="shared" si="41"/>
        <v>[x]</v>
      </c>
      <c r="X186" s="15">
        <f t="shared" si="42"/>
        <v>0.46</v>
      </c>
      <c r="Y186" s="15">
        <f t="shared" si="43"/>
        <v>1</v>
      </c>
      <c r="Z186" s="15">
        <f t="shared" si="44"/>
        <v>3</v>
      </c>
      <c r="AA186" s="15">
        <f t="shared" si="45"/>
        <v>2.6700000000000002E-2</v>
      </c>
    </row>
    <row r="187" spans="13:27" ht="16.5" x14ac:dyDescent="0.2">
      <c r="M187" s="15">
        <v>108</v>
      </c>
      <c r="N187" s="15">
        <f t="shared" si="34"/>
        <v>3</v>
      </c>
      <c r="O187" s="15">
        <f>INDEX(卡牌消耗!$H$13:$H$33,世界BOSS专属武器!N187)</f>
        <v>1501003</v>
      </c>
      <c r="P187" s="49" t="s">
        <v>480</v>
      </c>
      <c r="Q187" s="15">
        <f t="shared" si="35"/>
        <v>5</v>
      </c>
      <c r="R187" s="49" t="str">
        <f t="shared" si="36"/>
        <v>金币</v>
      </c>
      <c r="S187" s="15">
        <f t="shared" si="37"/>
        <v>500</v>
      </c>
      <c r="T187" s="15" t="str">
        <f t="shared" si="38"/>
        <v>低级专属强化石</v>
      </c>
      <c r="U187" s="15">
        <f t="shared" si="39"/>
        <v>4</v>
      </c>
      <c r="V187" s="15" t="str">
        <f t="shared" si="40"/>
        <v>[x]</v>
      </c>
      <c r="W187" s="15" t="str">
        <f t="shared" si="41"/>
        <v>[x]</v>
      </c>
      <c r="X187" s="15">
        <f t="shared" si="42"/>
        <v>0.44</v>
      </c>
      <c r="Y187" s="15">
        <f t="shared" si="43"/>
        <v>1</v>
      </c>
      <c r="Z187" s="15">
        <f t="shared" si="44"/>
        <v>3</v>
      </c>
      <c r="AA187" s="15">
        <f t="shared" si="45"/>
        <v>3.3300000000000003E-2</v>
      </c>
    </row>
    <row r="188" spans="13:27" ht="16.5" x14ac:dyDescent="0.2">
      <c r="M188" s="15">
        <v>109</v>
      </c>
      <c r="N188" s="15">
        <f t="shared" si="34"/>
        <v>3</v>
      </c>
      <c r="O188" s="15">
        <f>INDEX(卡牌消耗!$H$13:$H$33,世界BOSS专属武器!N188)</f>
        <v>1501003</v>
      </c>
      <c r="P188" s="49" t="s">
        <v>480</v>
      </c>
      <c r="Q188" s="15">
        <f t="shared" si="35"/>
        <v>6</v>
      </c>
      <c r="R188" s="49" t="str">
        <f t="shared" si="36"/>
        <v>金币</v>
      </c>
      <c r="S188" s="15">
        <f t="shared" si="37"/>
        <v>600</v>
      </c>
      <c r="T188" s="15" t="str">
        <f t="shared" si="38"/>
        <v>低级专属强化石</v>
      </c>
      <c r="U188" s="15">
        <f t="shared" si="39"/>
        <v>5</v>
      </c>
      <c r="V188" s="15" t="str">
        <f t="shared" si="40"/>
        <v>[x]</v>
      </c>
      <c r="W188" s="15" t="str">
        <f t="shared" si="41"/>
        <v>[x]</v>
      </c>
      <c r="X188" s="15">
        <f t="shared" si="42"/>
        <v>0.42</v>
      </c>
      <c r="Y188" s="15">
        <f t="shared" si="43"/>
        <v>1</v>
      </c>
      <c r="Z188" s="15">
        <f t="shared" si="44"/>
        <v>4</v>
      </c>
      <c r="AA188" s="15">
        <f t="shared" si="45"/>
        <v>0.04</v>
      </c>
    </row>
    <row r="189" spans="13:27" ht="16.5" x14ac:dyDescent="0.2">
      <c r="M189" s="15">
        <v>110</v>
      </c>
      <c r="N189" s="15">
        <f t="shared" si="34"/>
        <v>3</v>
      </c>
      <c r="O189" s="15">
        <f>INDEX(卡牌消耗!$H$13:$H$33,世界BOSS专属武器!N189)</f>
        <v>1501003</v>
      </c>
      <c r="P189" s="49" t="s">
        <v>480</v>
      </c>
      <c r="Q189" s="15">
        <f t="shared" si="35"/>
        <v>7</v>
      </c>
      <c r="R189" s="49" t="str">
        <f t="shared" si="36"/>
        <v>金币</v>
      </c>
      <c r="S189" s="15">
        <f t="shared" si="37"/>
        <v>700</v>
      </c>
      <c r="T189" s="15" t="str">
        <f t="shared" si="38"/>
        <v>低级专属强化石</v>
      </c>
      <c r="U189" s="15">
        <f t="shared" si="39"/>
        <v>5</v>
      </c>
      <c r="V189" s="15" t="str">
        <f t="shared" si="40"/>
        <v>[x]</v>
      </c>
      <c r="W189" s="15" t="str">
        <f t="shared" si="41"/>
        <v>[x]</v>
      </c>
      <c r="X189" s="15">
        <f t="shared" si="42"/>
        <v>0.4</v>
      </c>
      <c r="Y189" s="15">
        <f t="shared" si="43"/>
        <v>1</v>
      </c>
      <c r="Z189" s="15">
        <f t="shared" si="44"/>
        <v>4</v>
      </c>
      <c r="AA189" s="15">
        <f t="shared" si="45"/>
        <v>4.6699999999999998E-2</v>
      </c>
    </row>
    <row r="190" spans="13:27" ht="16.5" x14ac:dyDescent="0.2">
      <c r="M190" s="15">
        <v>111</v>
      </c>
      <c r="N190" s="15">
        <f t="shared" si="34"/>
        <v>3</v>
      </c>
      <c r="O190" s="15">
        <f>INDEX(卡牌消耗!$H$13:$H$33,世界BOSS专属武器!N190)</f>
        <v>1501003</v>
      </c>
      <c r="P190" s="49" t="s">
        <v>480</v>
      </c>
      <c r="Q190" s="15">
        <f t="shared" si="35"/>
        <v>8</v>
      </c>
      <c r="R190" s="49" t="str">
        <f t="shared" si="36"/>
        <v>金币</v>
      </c>
      <c r="S190" s="15">
        <f t="shared" si="37"/>
        <v>800</v>
      </c>
      <c r="T190" s="15" t="str">
        <f t="shared" si="38"/>
        <v>低级专属强化石</v>
      </c>
      <c r="U190" s="15">
        <f t="shared" si="39"/>
        <v>5</v>
      </c>
      <c r="V190" s="15" t="str">
        <f t="shared" si="40"/>
        <v>[x]</v>
      </c>
      <c r="W190" s="15" t="str">
        <f t="shared" si="41"/>
        <v>[x]</v>
      </c>
      <c r="X190" s="15">
        <f t="shared" si="42"/>
        <v>0.38</v>
      </c>
      <c r="Y190" s="15">
        <f t="shared" si="43"/>
        <v>1</v>
      </c>
      <c r="Z190" s="15">
        <f t="shared" si="44"/>
        <v>5</v>
      </c>
      <c r="AA190" s="15">
        <f t="shared" si="45"/>
        <v>5.33E-2</v>
      </c>
    </row>
    <row r="191" spans="13:27" ht="16.5" x14ac:dyDescent="0.2">
      <c r="M191" s="15">
        <v>112</v>
      </c>
      <c r="N191" s="15">
        <f t="shared" si="34"/>
        <v>3</v>
      </c>
      <c r="O191" s="15">
        <f>INDEX(卡牌消耗!$H$13:$H$33,世界BOSS专属武器!N191)</f>
        <v>1501003</v>
      </c>
      <c r="P191" s="49" t="s">
        <v>480</v>
      </c>
      <c r="Q191" s="15">
        <f t="shared" si="35"/>
        <v>9</v>
      </c>
      <c r="R191" s="49" t="str">
        <f t="shared" si="36"/>
        <v>金币</v>
      </c>
      <c r="S191" s="15">
        <f t="shared" si="37"/>
        <v>900</v>
      </c>
      <c r="T191" s="15" t="str">
        <f t="shared" si="38"/>
        <v>低级专属强化石</v>
      </c>
      <c r="U191" s="15">
        <f t="shared" si="39"/>
        <v>5</v>
      </c>
      <c r="V191" s="15" t="str">
        <f t="shared" si="40"/>
        <v>[x]</v>
      </c>
      <c r="W191" s="15" t="str">
        <f t="shared" si="41"/>
        <v>[x]</v>
      </c>
      <c r="X191" s="15">
        <f t="shared" si="42"/>
        <v>0.36</v>
      </c>
      <c r="Y191" s="15">
        <f t="shared" si="43"/>
        <v>1</v>
      </c>
      <c r="Z191" s="15">
        <f t="shared" si="44"/>
        <v>5</v>
      </c>
      <c r="AA191" s="15">
        <f t="shared" si="45"/>
        <v>0.06</v>
      </c>
    </row>
    <row r="192" spans="13:27" ht="16.5" x14ac:dyDescent="0.2">
      <c r="M192" s="15">
        <v>113</v>
      </c>
      <c r="N192" s="15">
        <f t="shared" si="34"/>
        <v>3</v>
      </c>
      <c r="O192" s="15">
        <f>INDEX(卡牌消耗!$H$13:$H$33,世界BOSS专属武器!N192)</f>
        <v>1501003</v>
      </c>
      <c r="P192" s="49" t="s">
        <v>480</v>
      </c>
      <c r="Q192" s="15">
        <f t="shared" si="35"/>
        <v>10</v>
      </c>
      <c r="R192" s="49" t="str">
        <f t="shared" si="36"/>
        <v>金币</v>
      </c>
      <c r="S192" s="15">
        <f t="shared" si="37"/>
        <v>1000</v>
      </c>
      <c r="T192" s="15" t="str">
        <f t="shared" si="38"/>
        <v>低级专属强化石</v>
      </c>
      <c r="U192" s="15">
        <f t="shared" si="39"/>
        <v>7</v>
      </c>
      <c r="V192" s="15" t="str">
        <f t="shared" si="40"/>
        <v>[x]</v>
      </c>
      <c r="W192" s="15" t="str">
        <f t="shared" si="41"/>
        <v>[x]</v>
      </c>
      <c r="X192" s="15">
        <f t="shared" si="42"/>
        <v>0.35</v>
      </c>
      <c r="Y192" s="15">
        <f t="shared" si="43"/>
        <v>1</v>
      </c>
      <c r="Z192" s="15">
        <f t="shared" si="44"/>
        <v>5</v>
      </c>
      <c r="AA192" s="15">
        <f t="shared" si="45"/>
        <v>6.6699999999999995E-2</v>
      </c>
    </row>
    <row r="193" spans="13:27" ht="16.5" x14ac:dyDescent="0.2">
      <c r="M193" s="15">
        <v>114</v>
      </c>
      <c r="N193" s="15">
        <f t="shared" si="34"/>
        <v>3</v>
      </c>
      <c r="O193" s="15">
        <f>INDEX(卡牌消耗!$H$13:$H$33,世界BOSS专属武器!N193)</f>
        <v>1501003</v>
      </c>
      <c r="P193" s="49" t="s">
        <v>480</v>
      </c>
      <c r="Q193" s="15">
        <f t="shared" si="35"/>
        <v>11</v>
      </c>
      <c r="R193" s="49" t="str">
        <f t="shared" si="36"/>
        <v>金币</v>
      </c>
      <c r="S193" s="15">
        <f t="shared" si="37"/>
        <v>1000</v>
      </c>
      <c r="T193" s="15" t="str">
        <f t="shared" si="38"/>
        <v>低级专属强化石</v>
      </c>
      <c r="U193" s="15">
        <f t="shared" si="39"/>
        <v>7</v>
      </c>
      <c r="V193" s="15" t="str">
        <f t="shared" si="40"/>
        <v>[x]</v>
      </c>
      <c r="W193" s="15" t="str">
        <f t="shared" si="41"/>
        <v>[x]</v>
      </c>
      <c r="X193" s="15">
        <f t="shared" si="42"/>
        <v>0.33</v>
      </c>
      <c r="Y193" s="15">
        <f t="shared" si="43"/>
        <v>1</v>
      </c>
      <c r="Z193" s="15">
        <f t="shared" si="44"/>
        <v>6</v>
      </c>
      <c r="AA193" s="15">
        <f t="shared" si="45"/>
        <v>0.08</v>
      </c>
    </row>
    <row r="194" spans="13:27" ht="16.5" x14ac:dyDescent="0.2">
      <c r="M194" s="15">
        <v>115</v>
      </c>
      <c r="N194" s="15">
        <f t="shared" si="34"/>
        <v>3</v>
      </c>
      <c r="O194" s="15">
        <f>INDEX(卡牌消耗!$H$13:$H$33,世界BOSS专属武器!N194)</f>
        <v>1501003</v>
      </c>
      <c r="P194" s="49" t="s">
        <v>480</v>
      </c>
      <c r="Q194" s="15">
        <f t="shared" si="35"/>
        <v>12</v>
      </c>
      <c r="R194" s="49" t="str">
        <f t="shared" si="36"/>
        <v>金币</v>
      </c>
      <c r="S194" s="15">
        <f t="shared" si="37"/>
        <v>1000</v>
      </c>
      <c r="T194" s="15" t="str">
        <f t="shared" si="38"/>
        <v>低级专属强化石</v>
      </c>
      <c r="U194" s="15">
        <f t="shared" si="39"/>
        <v>7</v>
      </c>
      <c r="V194" s="15" t="str">
        <f t="shared" si="40"/>
        <v>[x]</v>
      </c>
      <c r="W194" s="15" t="str">
        <f t="shared" si="41"/>
        <v>[x]</v>
      </c>
      <c r="X194" s="15">
        <f t="shared" si="42"/>
        <v>0.31</v>
      </c>
      <c r="Y194" s="15">
        <f t="shared" si="43"/>
        <v>1</v>
      </c>
      <c r="Z194" s="15">
        <f t="shared" si="44"/>
        <v>6</v>
      </c>
      <c r="AA194" s="15">
        <f t="shared" si="45"/>
        <v>9.3299999999999994E-2</v>
      </c>
    </row>
    <row r="195" spans="13:27" ht="16.5" x14ac:dyDescent="0.2">
      <c r="M195" s="15">
        <v>116</v>
      </c>
      <c r="N195" s="15">
        <f t="shared" si="34"/>
        <v>3</v>
      </c>
      <c r="O195" s="15">
        <f>INDEX(卡牌消耗!$H$13:$H$33,世界BOSS专属武器!N195)</f>
        <v>1501003</v>
      </c>
      <c r="P195" s="49" t="s">
        <v>480</v>
      </c>
      <c r="Q195" s="15">
        <f t="shared" si="35"/>
        <v>13</v>
      </c>
      <c r="R195" s="49" t="str">
        <f t="shared" si="36"/>
        <v>金币</v>
      </c>
      <c r="S195" s="15">
        <f t="shared" si="37"/>
        <v>1000</v>
      </c>
      <c r="T195" s="15" t="str">
        <f t="shared" si="38"/>
        <v>低级专属强化石</v>
      </c>
      <c r="U195" s="15">
        <f t="shared" si="39"/>
        <v>7</v>
      </c>
      <c r="V195" s="15" t="str">
        <f t="shared" si="40"/>
        <v>[x]</v>
      </c>
      <c r="W195" s="15" t="str">
        <f t="shared" si="41"/>
        <v>[x]</v>
      </c>
      <c r="X195" s="15">
        <f t="shared" si="42"/>
        <v>0.28999999999999998</v>
      </c>
      <c r="Y195" s="15">
        <f t="shared" si="43"/>
        <v>1</v>
      </c>
      <c r="Z195" s="15">
        <f t="shared" si="44"/>
        <v>7</v>
      </c>
      <c r="AA195" s="15">
        <f t="shared" si="45"/>
        <v>0.1067</v>
      </c>
    </row>
    <row r="196" spans="13:27" ht="16.5" x14ac:dyDescent="0.2">
      <c r="M196" s="15">
        <v>117</v>
      </c>
      <c r="N196" s="15">
        <f t="shared" si="34"/>
        <v>3</v>
      </c>
      <c r="O196" s="15">
        <f>INDEX(卡牌消耗!$H$13:$H$33,世界BOSS专属武器!N196)</f>
        <v>1501003</v>
      </c>
      <c r="P196" s="49" t="s">
        <v>480</v>
      </c>
      <c r="Q196" s="15">
        <f t="shared" si="35"/>
        <v>14</v>
      </c>
      <c r="R196" s="49" t="str">
        <f t="shared" si="36"/>
        <v>金币</v>
      </c>
      <c r="S196" s="15">
        <f t="shared" si="37"/>
        <v>1000</v>
      </c>
      <c r="T196" s="15" t="str">
        <f t="shared" si="38"/>
        <v>低级专属强化石</v>
      </c>
      <c r="U196" s="15">
        <f t="shared" si="39"/>
        <v>7</v>
      </c>
      <c r="V196" s="15" t="str">
        <f t="shared" si="40"/>
        <v>[x]</v>
      </c>
      <c r="W196" s="15" t="str">
        <f t="shared" si="41"/>
        <v>[x]</v>
      </c>
      <c r="X196" s="15">
        <f t="shared" si="42"/>
        <v>0.27</v>
      </c>
      <c r="Y196" s="15">
        <f t="shared" si="43"/>
        <v>1</v>
      </c>
      <c r="Z196" s="15">
        <f t="shared" si="44"/>
        <v>7</v>
      </c>
      <c r="AA196" s="15">
        <f t="shared" si="45"/>
        <v>0.12</v>
      </c>
    </row>
    <row r="197" spans="13:27" ht="16.5" x14ac:dyDescent="0.2">
      <c r="M197" s="15">
        <v>118</v>
      </c>
      <c r="N197" s="15">
        <f t="shared" si="34"/>
        <v>3</v>
      </c>
      <c r="O197" s="15">
        <f>INDEX(卡牌消耗!$H$13:$H$33,世界BOSS专属武器!N197)</f>
        <v>1501003</v>
      </c>
      <c r="P197" s="49" t="s">
        <v>480</v>
      </c>
      <c r="Q197" s="15">
        <f t="shared" si="35"/>
        <v>15</v>
      </c>
      <c r="R197" s="49" t="str">
        <f t="shared" si="36"/>
        <v>金币</v>
      </c>
      <c r="S197" s="15">
        <f t="shared" si="37"/>
        <v>1000</v>
      </c>
      <c r="T197" s="15" t="str">
        <f t="shared" si="38"/>
        <v>低级专属强化石</v>
      </c>
      <c r="U197" s="15">
        <f t="shared" si="39"/>
        <v>10</v>
      </c>
      <c r="V197" s="15" t="str">
        <f t="shared" si="40"/>
        <v>[x]</v>
      </c>
      <c r="W197" s="15" t="str">
        <f t="shared" si="41"/>
        <v>[x]</v>
      </c>
      <c r="X197" s="15">
        <f t="shared" si="42"/>
        <v>0.25</v>
      </c>
      <c r="Y197" s="15">
        <f t="shared" si="43"/>
        <v>1</v>
      </c>
      <c r="Z197" s="15">
        <f t="shared" si="44"/>
        <v>8</v>
      </c>
      <c r="AA197" s="15">
        <f t="shared" si="45"/>
        <v>0.1333</v>
      </c>
    </row>
    <row r="198" spans="13:27" ht="16.5" x14ac:dyDescent="0.2">
      <c r="M198" s="15">
        <v>119</v>
      </c>
      <c r="N198" s="15">
        <f t="shared" si="34"/>
        <v>3</v>
      </c>
      <c r="O198" s="15">
        <f>INDEX(卡牌消耗!$H$13:$H$33,世界BOSS专属武器!N198)</f>
        <v>1501003</v>
      </c>
      <c r="P198" s="49" t="s">
        <v>480</v>
      </c>
      <c r="Q198" s="15">
        <f t="shared" si="35"/>
        <v>16</v>
      </c>
      <c r="R198" s="49" t="str">
        <f t="shared" si="36"/>
        <v>金币</v>
      </c>
      <c r="S198" s="15">
        <f t="shared" si="37"/>
        <v>1000</v>
      </c>
      <c r="T198" s="15" t="str">
        <f t="shared" si="38"/>
        <v>低级专属强化石</v>
      </c>
      <c r="U198" s="15">
        <f t="shared" si="39"/>
        <v>10</v>
      </c>
      <c r="V198" s="15" t="str">
        <f t="shared" si="40"/>
        <v>[x]</v>
      </c>
      <c r="W198" s="15" t="str">
        <f t="shared" si="41"/>
        <v>[x]</v>
      </c>
      <c r="X198" s="15">
        <f t="shared" si="42"/>
        <v>0.23</v>
      </c>
      <c r="Y198" s="15">
        <f t="shared" si="43"/>
        <v>1</v>
      </c>
      <c r="Z198" s="15">
        <f t="shared" si="44"/>
        <v>9</v>
      </c>
      <c r="AA198" s="15">
        <f t="shared" si="45"/>
        <v>0.1467</v>
      </c>
    </row>
    <row r="199" spans="13:27" ht="16.5" x14ac:dyDescent="0.2">
      <c r="M199" s="15">
        <v>120</v>
      </c>
      <c r="N199" s="15">
        <f t="shared" si="34"/>
        <v>3</v>
      </c>
      <c r="O199" s="15">
        <f>INDEX(卡牌消耗!$H$13:$H$33,世界BOSS专属武器!N199)</f>
        <v>1501003</v>
      </c>
      <c r="P199" s="49" t="s">
        <v>480</v>
      </c>
      <c r="Q199" s="15">
        <f t="shared" si="35"/>
        <v>17</v>
      </c>
      <c r="R199" s="49" t="str">
        <f t="shared" si="36"/>
        <v>金币</v>
      </c>
      <c r="S199" s="15">
        <f t="shared" si="37"/>
        <v>1000</v>
      </c>
      <c r="T199" s="15" t="str">
        <f t="shared" si="38"/>
        <v>低级专属强化石</v>
      </c>
      <c r="U199" s="15">
        <f t="shared" si="39"/>
        <v>10</v>
      </c>
      <c r="V199" s="15" t="str">
        <f t="shared" si="40"/>
        <v>[x]</v>
      </c>
      <c r="W199" s="15" t="str">
        <f t="shared" si="41"/>
        <v>[x]</v>
      </c>
      <c r="X199" s="15">
        <f t="shared" si="42"/>
        <v>0.21</v>
      </c>
      <c r="Y199" s="15">
        <f t="shared" si="43"/>
        <v>1</v>
      </c>
      <c r="Z199" s="15">
        <f t="shared" si="44"/>
        <v>10</v>
      </c>
      <c r="AA199" s="15">
        <f t="shared" si="45"/>
        <v>0.16</v>
      </c>
    </row>
    <row r="200" spans="13:27" ht="16.5" x14ac:dyDescent="0.2">
      <c r="M200" s="15">
        <v>121</v>
      </c>
      <c r="N200" s="15">
        <f t="shared" si="34"/>
        <v>3</v>
      </c>
      <c r="O200" s="15">
        <f>INDEX(卡牌消耗!$H$13:$H$33,世界BOSS专属武器!N200)</f>
        <v>1501003</v>
      </c>
      <c r="P200" s="49" t="s">
        <v>480</v>
      </c>
      <c r="Q200" s="15">
        <f t="shared" si="35"/>
        <v>18</v>
      </c>
      <c r="R200" s="49" t="str">
        <f t="shared" si="36"/>
        <v>金币</v>
      </c>
      <c r="S200" s="15">
        <f t="shared" si="37"/>
        <v>1000</v>
      </c>
      <c r="T200" s="15" t="str">
        <f t="shared" si="38"/>
        <v>低级专属强化石</v>
      </c>
      <c r="U200" s="15">
        <f t="shared" si="39"/>
        <v>10</v>
      </c>
      <c r="V200" s="15" t="str">
        <f t="shared" si="40"/>
        <v>[x]</v>
      </c>
      <c r="W200" s="15" t="str">
        <f t="shared" si="41"/>
        <v>[x]</v>
      </c>
      <c r="X200" s="15">
        <f t="shared" si="42"/>
        <v>0.19</v>
      </c>
      <c r="Y200" s="15">
        <f t="shared" si="43"/>
        <v>1</v>
      </c>
      <c r="Z200" s="15">
        <f t="shared" si="44"/>
        <v>11</v>
      </c>
      <c r="AA200" s="15">
        <f t="shared" si="45"/>
        <v>0.17330000000000001</v>
      </c>
    </row>
    <row r="201" spans="13:27" ht="16.5" x14ac:dyDescent="0.2">
      <c r="M201" s="15">
        <v>122</v>
      </c>
      <c r="N201" s="15">
        <f t="shared" si="34"/>
        <v>3</v>
      </c>
      <c r="O201" s="15">
        <f>INDEX(卡牌消耗!$H$13:$H$33,世界BOSS专属武器!N201)</f>
        <v>1501003</v>
      </c>
      <c r="P201" s="49" t="s">
        <v>480</v>
      </c>
      <c r="Q201" s="15">
        <f t="shared" si="35"/>
        <v>19</v>
      </c>
      <c r="R201" s="49" t="str">
        <f t="shared" si="36"/>
        <v>金币</v>
      </c>
      <c r="S201" s="15">
        <f t="shared" si="37"/>
        <v>1000</v>
      </c>
      <c r="T201" s="15" t="str">
        <f t="shared" si="38"/>
        <v>低级专属强化石</v>
      </c>
      <c r="U201" s="15">
        <f t="shared" si="39"/>
        <v>10</v>
      </c>
      <c r="V201" s="15" t="str">
        <f t="shared" si="40"/>
        <v>[x]</v>
      </c>
      <c r="W201" s="15" t="str">
        <f t="shared" si="41"/>
        <v>[x]</v>
      </c>
      <c r="X201" s="15">
        <f t="shared" si="42"/>
        <v>0.17</v>
      </c>
      <c r="Y201" s="15">
        <f t="shared" si="43"/>
        <v>1</v>
      </c>
      <c r="Z201" s="15">
        <f t="shared" si="44"/>
        <v>12</v>
      </c>
      <c r="AA201" s="15">
        <f t="shared" si="45"/>
        <v>0.1867</v>
      </c>
    </row>
    <row r="202" spans="13:27" ht="16.5" x14ac:dyDescent="0.2">
      <c r="M202" s="15">
        <v>123</v>
      </c>
      <c r="N202" s="15">
        <f t="shared" si="34"/>
        <v>3</v>
      </c>
      <c r="O202" s="15">
        <f>INDEX(卡牌消耗!$H$13:$H$33,世界BOSS专属武器!N202)</f>
        <v>1501003</v>
      </c>
      <c r="P202" s="49" t="s">
        <v>480</v>
      </c>
      <c r="Q202" s="15">
        <f t="shared" si="35"/>
        <v>20</v>
      </c>
      <c r="R202" s="49" t="str">
        <f t="shared" si="36"/>
        <v>金币</v>
      </c>
      <c r="S202" s="15">
        <f t="shared" si="37"/>
        <v>5000</v>
      </c>
      <c r="T202" s="15" t="str">
        <f t="shared" si="38"/>
        <v>低级专属强化石</v>
      </c>
      <c r="U202" s="15">
        <f t="shared" si="39"/>
        <v>15</v>
      </c>
      <c r="V202" s="15" t="str">
        <f t="shared" si="40"/>
        <v>中级专属强化石</v>
      </c>
      <c r="W202" s="15">
        <f t="shared" si="41"/>
        <v>7</v>
      </c>
      <c r="X202" s="15">
        <f t="shared" si="42"/>
        <v>0.15</v>
      </c>
      <c r="Y202" s="15">
        <f t="shared" si="43"/>
        <v>1</v>
      </c>
      <c r="Z202" s="15">
        <f t="shared" si="44"/>
        <v>15</v>
      </c>
      <c r="AA202" s="15">
        <f t="shared" si="45"/>
        <v>0.2</v>
      </c>
    </row>
    <row r="203" spans="13:27" ht="16.5" x14ac:dyDescent="0.2">
      <c r="M203" s="15">
        <v>124</v>
      </c>
      <c r="N203" s="15">
        <f t="shared" si="34"/>
        <v>3</v>
      </c>
      <c r="O203" s="15">
        <f>INDEX(卡牌消耗!$H$13:$H$33,世界BOSS专属武器!N203)</f>
        <v>1501003</v>
      </c>
      <c r="P203" s="49" t="s">
        <v>480</v>
      </c>
      <c r="Q203" s="15">
        <f t="shared" si="35"/>
        <v>21</v>
      </c>
      <c r="R203" s="49" t="str">
        <f t="shared" si="36"/>
        <v>金币</v>
      </c>
      <c r="S203" s="15">
        <f t="shared" si="37"/>
        <v>5000</v>
      </c>
      <c r="T203" s="15" t="str">
        <f t="shared" si="38"/>
        <v>低级专属强化石</v>
      </c>
      <c r="U203" s="15">
        <f t="shared" si="39"/>
        <v>15</v>
      </c>
      <c r="V203" s="15" t="str">
        <f t="shared" si="40"/>
        <v>中级专属强化石</v>
      </c>
      <c r="W203" s="15">
        <f t="shared" si="41"/>
        <v>7</v>
      </c>
      <c r="X203" s="15">
        <f t="shared" si="42"/>
        <v>0.15</v>
      </c>
      <c r="Y203" s="15">
        <f t="shared" si="43"/>
        <v>1</v>
      </c>
      <c r="Z203" s="15">
        <f t="shared" si="44"/>
        <v>15</v>
      </c>
      <c r="AA203" s="15">
        <f t="shared" si="45"/>
        <v>0.22</v>
      </c>
    </row>
    <row r="204" spans="13:27" ht="16.5" x14ac:dyDescent="0.2">
      <c r="M204" s="15">
        <v>125</v>
      </c>
      <c r="N204" s="15">
        <f t="shared" si="34"/>
        <v>3</v>
      </c>
      <c r="O204" s="15">
        <f>INDEX(卡牌消耗!$H$13:$H$33,世界BOSS专属武器!N204)</f>
        <v>1501003</v>
      </c>
      <c r="P204" s="49" t="s">
        <v>480</v>
      </c>
      <c r="Q204" s="15">
        <f t="shared" si="35"/>
        <v>22</v>
      </c>
      <c r="R204" s="49" t="str">
        <f t="shared" si="36"/>
        <v>金币</v>
      </c>
      <c r="S204" s="15">
        <f t="shared" si="37"/>
        <v>5000</v>
      </c>
      <c r="T204" s="15" t="str">
        <f t="shared" si="38"/>
        <v>低级专属强化石</v>
      </c>
      <c r="U204" s="15">
        <f t="shared" si="39"/>
        <v>15</v>
      </c>
      <c r="V204" s="15" t="str">
        <f t="shared" si="40"/>
        <v>中级专属强化石</v>
      </c>
      <c r="W204" s="15">
        <f t="shared" si="41"/>
        <v>7</v>
      </c>
      <c r="X204" s="15">
        <f t="shared" si="42"/>
        <v>0.15</v>
      </c>
      <c r="Y204" s="15">
        <f t="shared" si="43"/>
        <v>1</v>
      </c>
      <c r="Z204" s="15">
        <f t="shared" si="44"/>
        <v>15</v>
      </c>
      <c r="AA204" s="15">
        <f t="shared" si="45"/>
        <v>0.24</v>
      </c>
    </row>
    <row r="205" spans="13:27" ht="16.5" x14ac:dyDescent="0.2">
      <c r="M205" s="15">
        <v>126</v>
      </c>
      <c r="N205" s="15">
        <f t="shared" si="34"/>
        <v>3</v>
      </c>
      <c r="O205" s="15">
        <f>INDEX(卡牌消耗!$H$13:$H$33,世界BOSS专属武器!N205)</f>
        <v>1501003</v>
      </c>
      <c r="P205" s="49" t="s">
        <v>480</v>
      </c>
      <c r="Q205" s="15">
        <f t="shared" si="35"/>
        <v>23</v>
      </c>
      <c r="R205" s="49" t="str">
        <f t="shared" si="36"/>
        <v>金币</v>
      </c>
      <c r="S205" s="15">
        <f t="shared" si="37"/>
        <v>5000</v>
      </c>
      <c r="T205" s="15" t="str">
        <f t="shared" si="38"/>
        <v>低级专属强化石</v>
      </c>
      <c r="U205" s="15">
        <f t="shared" si="39"/>
        <v>15</v>
      </c>
      <c r="V205" s="15" t="str">
        <f t="shared" si="40"/>
        <v>中级专属强化石</v>
      </c>
      <c r="W205" s="15">
        <f t="shared" si="41"/>
        <v>7</v>
      </c>
      <c r="X205" s="15">
        <f t="shared" si="42"/>
        <v>0.15</v>
      </c>
      <c r="Y205" s="15">
        <f t="shared" si="43"/>
        <v>1</v>
      </c>
      <c r="Z205" s="15">
        <f t="shared" si="44"/>
        <v>18</v>
      </c>
      <c r="AA205" s="15">
        <f t="shared" si="45"/>
        <v>0.26</v>
      </c>
    </row>
    <row r="206" spans="13:27" ht="16.5" x14ac:dyDescent="0.2">
      <c r="M206" s="15">
        <v>127</v>
      </c>
      <c r="N206" s="15">
        <f t="shared" si="34"/>
        <v>3</v>
      </c>
      <c r="O206" s="15">
        <f>INDEX(卡牌消耗!$H$13:$H$33,世界BOSS专属武器!N206)</f>
        <v>1501003</v>
      </c>
      <c r="P206" s="49" t="s">
        <v>480</v>
      </c>
      <c r="Q206" s="15">
        <f t="shared" si="35"/>
        <v>24</v>
      </c>
      <c r="R206" s="49" t="str">
        <f t="shared" si="36"/>
        <v>金币</v>
      </c>
      <c r="S206" s="15">
        <f t="shared" si="37"/>
        <v>5000</v>
      </c>
      <c r="T206" s="15" t="str">
        <f t="shared" si="38"/>
        <v>低级专属强化石</v>
      </c>
      <c r="U206" s="15">
        <f t="shared" si="39"/>
        <v>15</v>
      </c>
      <c r="V206" s="15" t="str">
        <f t="shared" si="40"/>
        <v>中级专属强化石</v>
      </c>
      <c r="W206" s="15">
        <f t="shared" si="41"/>
        <v>7</v>
      </c>
      <c r="X206" s="15">
        <f t="shared" si="42"/>
        <v>0.15</v>
      </c>
      <c r="Y206" s="15">
        <f t="shared" si="43"/>
        <v>1</v>
      </c>
      <c r="Z206" s="15">
        <f t="shared" si="44"/>
        <v>18</v>
      </c>
      <c r="AA206" s="15">
        <f t="shared" si="45"/>
        <v>0.28000000000000003</v>
      </c>
    </row>
    <row r="207" spans="13:27" ht="16.5" x14ac:dyDescent="0.2">
      <c r="M207" s="15">
        <v>128</v>
      </c>
      <c r="N207" s="15">
        <f t="shared" si="34"/>
        <v>3</v>
      </c>
      <c r="O207" s="15">
        <f>INDEX(卡牌消耗!$H$13:$H$33,世界BOSS专属武器!N207)</f>
        <v>1501003</v>
      </c>
      <c r="P207" s="49" t="s">
        <v>480</v>
      </c>
      <c r="Q207" s="15">
        <f t="shared" si="35"/>
        <v>25</v>
      </c>
      <c r="R207" s="49" t="str">
        <f t="shared" si="36"/>
        <v>金币</v>
      </c>
      <c r="S207" s="15">
        <f t="shared" si="37"/>
        <v>5000</v>
      </c>
      <c r="T207" s="15" t="str">
        <f t="shared" si="38"/>
        <v>低级专属强化石</v>
      </c>
      <c r="U207" s="15">
        <f t="shared" si="39"/>
        <v>15</v>
      </c>
      <c r="V207" s="15" t="str">
        <f t="shared" si="40"/>
        <v>中级专属强化石</v>
      </c>
      <c r="W207" s="15">
        <f t="shared" si="41"/>
        <v>7</v>
      </c>
      <c r="X207" s="15">
        <f t="shared" si="42"/>
        <v>0.15</v>
      </c>
      <c r="Y207" s="15">
        <f t="shared" si="43"/>
        <v>1</v>
      </c>
      <c r="Z207" s="15">
        <f t="shared" si="44"/>
        <v>18</v>
      </c>
      <c r="AA207" s="15">
        <f t="shared" si="45"/>
        <v>0.3</v>
      </c>
    </row>
    <row r="208" spans="13:27" ht="16.5" x14ac:dyDescent="0.2">
      <c r="M208" s="15">
        <v>129</v>
      </c>
      <c r="N208" s="15">
        <f t="shared" si="34"/>
        <v>3</v>
      </c>
      <c r="O208" s="15">
        <f>INDEX(卡牌消耗!$H$13:$H$33,世界BOSS专属武器!N208)</f>
        <v>1501003</v>
      </c>
      <c r="P208" s="49" t="s">
        <v>480</v>
      </c>
      <c r="Q208" s="15">
        <f t="shared" si="35"/>
        <v>26</v>
      </c>
      <c r="R208" s="49" t="str">
        <f t="shared" si="36"/>
        <v>金币</v>
      </c>
      <c r="S208" s="15">
        <f t="shared" si="37"/>
        <v>5000</v>
      </c>
      <c r="T208" s="15" t="str">
        <f t="shared" si="38"/>
        <v>低级专属强化石</v>
      </c>
      <c r="U208" s="15">
        <f t="shared" si="39"/>
        <v>15</v>
      </c>
      <c r="V208" s="15" t="str">
        <f t="shared" si="40"/>
        <v>中级专属强化石</v>
      </c>
      <c r="W208" s="15">
        <f t="shared" si="41"/>
        <v>7</v>
      </c>
      <c r="X208" s="15">
        <f t="shared" si="42"/>
        <v>0.15</v>
      </c>
      <c r="Y208" s="15">
        <f t="shared" si="43"/>
        <v>1</v>
      </c>
      <c r="Z208" s="15">
        <f t="shared" si="44"/>
        <v>21</v>
      </c>
      <c r="AA208" s="15">
        <f t="shared" si="45"/>
        <v>0.32</v>
      </c>
    </row>
    <row r="209" spans="13:27" ht="16.5" x14ac:dyDescent="0.2">
      <c r="M209" s="15">
        <v>130</v>
      </c>
      <c r="N209" s="15">
        <f t="shared" ref="N209:N272" si="46">INT((M209-1)/51)+1</f>
        <v>3</v>
      </c>
      <c r="O209" s="15">
        <f>INDEX(卡牌消耗!$H$13:$H$33,世界BOSS专属武器!N209)</f>
        <v>1501003</v>
      </c>
      <c r="P209" s="49" t="s">
        <v>480</v>
      </c>
      <c r="Q209" s="15">
        <f t="shared" ref="Q209:Q272" si="47">MOD(M209-1,51)</f>
        <v>27</v>
      </c>
      <c r="R209" s="49" t="str">
        <f t="shared" ref="R209:R272" si="48">IF(Q209&gt;0,"金币","[x]")</f>
        <v>金币</v>
      </c>
      <c r="S209" s="15">
        <f t="shared" ref="S209:S272" si="49">IF(Q209&gt;0,INDEX($V$27:$V$76,Q209),"[x]")</f>
        <v>5000</v>
      </c>
      <c r="T209" s="15" t="str">
        <f t="shared" ref="T209:T272" si="50">IF(Q209&gt;0,INDEX($W$27:$W$76,Q209),"[x]")</f>
        <v>低级专属强化石</v>
      </c>
      <c r="U209" s="15">
        <f t="shared" ref="U209:U272" si="51">IF(Q209&gt;0,INDEX($AA$27:$AF$76,Q209,INDEX($Y$27:$Y$76,Q209)),"[x]")</f>
        <v>15</v>
      </c>
      <c r="V209" s="15" t="str">
        <f t="shared" ref="V209:V272" si="52">IF(AND(Q209&gt;=20,Q209&lt;40),INDEX($X$27:$X$76,Q209),"[x]")</f>
        <v>中级专属强化石</v>
      </c>
      <c r="W209" s="15">
        <f t="shared" ref="W209:W272" si="53">IF(AND(Q209&gt;=20,Q209&lt;40),INDEX($AA$27:$AF$76,Q209,INDEX($Z$27:$Z$76,Q209)),"[x]")</f>
        <v>7</v>
      </c>
      <c r="X209" s="15">
        <f t="shared" ref="X209:X272" si="54">IF(Q209&gt;0,INDEX($T$27:$T$76,Q209),"[x]")</f>
        <v>0.15</v>
      </c>
      <c r="Y209" s="15">
        <f t="shared" ref="Y209:Y272" si="55">IF(Q209&gt;0,1,"[x]")</f>
        <v>1</v>
      </c>
      <c r="Z209" s="15">
        <f t="shared" ref="Z209:Z272" si="56">IF(Q209&gt;0,INDEX($AG$27:$AG$76,Q209),"[x]")</f>
        <v>22</v>
      </c>
      <c r="AA209" s="15">
        <f t="shared" ref="AA209:AA272" si="57">IF(Q209&gt;0,INDEX($AL$27:$AL$76,Q209),"[x]")</f>
        <v>0.34</v>
      </c>
    </row>
    <row r="210" spans="13:27" ht="16.5" x14ac:dyDescent="0.2">
      <c r="M210" s="15">
        <v>131</v>
      </c>
      <c r="N210" s="15">
        <f t="shared" si="46"/>
        <v>3</v>
      </c>
      <c r="O210" s="15">
        <f>INDEX(卡牌消耗!$H$13:$H$33,世界BOSS专属武器!N210)</f>
        <v>1501003</v>
      </c>
      <c r="P210" s="49" t="s">
        <v>480</v>
      </c>
      <c r="Q210" s="15">
        <f t="shared" si="47"/>
        <v>28</v>
      </c>
      <c r="R210" s="49" t="str">
        <f t="shared" si="48"/>
        <v>金币</v>
      </c>
      <c r="S210" s="15">
        <f t="shared" si="49"/>
        <v>5000</v>
      </c>
      <c r="T210" s="15" t="str">
        <f t="shared" si="50"/>
        <v>低级专属强化石</v>
      </c>
      <c r="U210" s="15">
        <f t="shared" si="51"/>
        <v>15</v>
      </c>
      <c r="V210" s="15" t="str">
        <f t="shared" si="52"/>
        <v>中级专属强化石</v>
      </c>
      <c r="W210" s="15">
        <f t="shared" si="53"/>
        <v>7</v>
      </c>
      <c r="X210" s="15">
        <f t="shared" si="54"/>
        <v>0.15</v>
      </c>
      <c r="Y210" s="15">
        <f t="shared" si="55"/>
        <v>1</v>
      </c>
      <c r="Z210" s="15">
        <f t="shared" si="56"/>
        <v>23</v>
      </c>
      <c r="AA210" s="15">
        <f t="shared" si="57"/>
        <v>0.36</v>
      </c>
    </row>
    <row r="211" spans="13:27" ht="16.5" x14ac:dyDescent="0.2">
      <c r="M211" s="15">
        <v>132</v>
      </c>
      <c r="N211" s="15">
        <f t="shared" si="46"/>
        <v>3</v>
      </c>
      <c r="O211" s="15">
        <f>INDEX(卡牌消耗!$H$13:$H$33,世界BOSS专属武器!N211)</f>
        <v>1501003</v>
      </c>
      <c r="P211" s="49" t="s">
        <v>480</v>
      </c>
      <c r="Q211" s="15">
        <f t="shared" si="47"/>
        <v>29</v>
      </c>
      <c r="R211" s="49" t="str">
        <f t="shared" si="48"/>
        <v>金币</v>
      </c>
      <c r="S211" s="15">
        <f t="shared" si="49"/>
        <v>5000</v>
      </c>
      <c r="T211" s="15" t="str">
        <f t="shared" si="50"/>
        <v>低级专属强化石</v>
      </c>
      <c r="U211" s="15">
        <f t="shared" si="51"/>
        <v>15</v>
      </c>
      <c r="V211" s="15" t="str">
        <f t="shared" si="52"/>
        <v>中级专属强化石</v>
      </c>
      <c r="W211" s="15">
        <f t="shared" si="53"/>
        <v>7</v>
      </c>
      <c r="X211" s="15">
        <f t="shared" si="54"/>
        <v>0.15</v>
      </c>
      <c r="Y211" s="15">
        <f t="shared" si="55"/>
        <v>1</v>
      </c>
      <c r="Z211" s="15">
        <f t="shared" si="56"/>
        <v>25</v>
      </c>
      <c r="AA211" s="15">
        <f t="shared" si="57"/>
        <v>0.38</v>
      </c>
    </row>
    <row r="212" spans="13:27" ht="16.5" x14ac:dyDescent="0.2">
      <c r="M212" s="15">
        <v>133</v>
      </c>
      <c r="N212" s="15">
        <f t="shared" si="46"/>
        <v>3</v>
      </c>
      <c r="O212" s="15">
        <f>INDEX(卡牌消耗!$H$13:$H$33,世界BOSS专属武器!N212)</f>
        <v>1501003</v>
      </c>
      <c r="P212" s="49" t="s">
        <v>480</v>
      </c>
      <c r="Q212" s="15">
        <f t="shared" si="47"/>
        <v>30</v>
      </c>
      <c r="R212" s="49" t="str">
        <f t="shared" si="48"/>
        <v>金币</v>
      </c>
      <c r="S212" s="15">
        <f t="shared" si="49"/>
        <v>10000</v>
      </c>
      <c r="T212" s="15" t="str">
        <f t="shared" si="50"/>
        <v>中级专属强化石</v>
      </c>
      <c r="U212" s="15">
        <f t="shared" si="51"/>
        <v>8</v>
      </c>
      <c r="V212" s="15" t="str">
        <f t="shared" si="52"/>
        <v>高级专属强化石</v>
      </c>
      <c r="W212" s="15">
        <f t="shared" si="53"/>
        <v>3</v>
      </c>
      <c r="X212" s="15">
        <f t="shared" si="54"/>
        <v>0.1</v>
      </c>
      <c r="Y212" s="15">
        <f t="shared" si="55"/>
        <v>1</v>
      </c>
      <c r="Z212" s="15">
        <f t="shared" si="56"/>
        <v>30</v>
      </c>
      <c r="AA212" s="15">
        <f t="shared" si="57"/>
        <v>0.4</v>
      </c>
    </row>
    <row r="213" spans="13:27" ht="16.5" x14ac:dyDescent="0.2">
      <c r="M213" s="15">
        <v>134</v>
      </c>
      <c r="N213" s="15">
        <f t="shared" si="46"/>
        <v>3</v>
      </c>
      <c r="O213" s="15">
        <f>INDEX(卡牌消耗!$H$13:$H$33,世界BOSS专属武器!N213)</f>
        <v>1501003</v>
      </c>
      <c r="P213" s="49" t="s">
        <v>480</v>
      </c>
      <c r="Q213" s="15">
        <f t="shared" si="47"/>
        <v>31</v>
      </c>
      <c r="R213" s="49" t="str">
        <f t="shared" si="48"/>
        <v>金币</v>
      </c>
      <c r="S213" s="15">
        <f t="shared" si="49"/>
        <v>10000</v>
      </c>
      <c r="T213" s="15" t="str">
        <f t="shared" si="50"/>
        <v>中级专属强化石</v>
      </c>
      <c r="U213" s="15">
        <f t="shared" si="51"/>
        <v>8</v>
      </c>
      <c r="V213" s="15" t="str">
        <f t="shared" si="52"/>
        <v>高级专属强化石</v>
      </c>
      <c r="W213" s="15">
        <f t="shared" si="53"/>
        <v>3</v>
      </c>
      <c r="X213" s="15">
        <f t="shared" si="54"/>
        <v>0.1</v>
      </c>
      <c r="Y213" s="15">
        <f t="shared" si="55"/>
        <v>1</v>
      </c>
      <c r="Z213" s="15">
        <f t="shared" si="56"/>
        <v>30</v>
      </c>
      <c r="AA213" s="15">
        <f t="shared" si="57"/>
        <v>0.42670000000000002</v>
      </c>
    </row>
    <row r="214" spans="13:27" ht="16.5" x14ac:dyDescent="0.2">
      <c r="M214" s="15">
        <v>135</v>
      </c>
      <c r="N214" s="15">
        <f t="shared" si="46"/>
        <v>3</v>
      </c>
      <c r="O214" s="15">
        <f>INDEX(卡牌消耗!$H$13:$H$33,世界BOSS专属武器!N214)</f>
        <v>1501003</v>
      </c>
      <c r="P214" s="49" t="s">
        <v>480</v>
      </c>
      <c r="Q214" s="15">
        <f t="shared" si="47"/>
        <v>32</v>
      </c>
      <c r="R214" s="49" t="str">
        <f t="shared" si="48"/>
        <v>金币</v>
      </c>
      <c r="S214" s="15">
        <f t="shared" si="49"/>
        <v>10000</v>
      </c>
      <c r="T214" s="15" t="str">
        <f t="shared" si="50"/>
        <v>中级专属强化石</v>
      </c>
      <c r="U214" s="15">
        <f t="shared" si="51"/>
        <v>8</v>
      </c>
      <c r="V214" s="15" t="str">
        <f t="shared" si="52"/>
        <v>高级专属强化石</v>
      </c>
      <c r="W214" s="15">
        <f t="shared" si="53"/>
        <v>3</v>
      </c>
      <c r="X214" s="15">
        <f t="shared" si="54"/>
        <v>0.1</v>
      </c>
      <c r="Y214" s="15">
        <f t="shared" si="55"/>
        <v>1</v>
      </c>
      <c r="Z214" s="15">
        <f t="shared" si="56"/>
        <v>30</v>
      </c>
      <c r="AA214" s="15">
        <f t="shared" si="57"/>
        <v>0.45329999999999998</v>
      </c>
    </row>
    <row r="215" spans="13:27" ht="16.5" x14ac:dyDescent="0.2">
      <c r="M215" s="15">
        <v>136</v>
      </c>
      <c r="N215" s="15">
        <f t="shared" si="46"/>
        <v>3</v>
      </c>
      <c r="O215" s="15">
        <f>INDEX(卡牌消耗!$H$13:$H$33,世界BOSS专属武器!N215)</f>
        <v>1501003</v>
      </c>
      <c r="P215" s="49" t="s">
        <v>480</v>
      </c>
      <c r="Q215" s="15">
        <f t="shared" si="47"/>
        <v>33</v>
      </c>
      <c r="R215" s="49" t="str">
        <f t="shared" si="48"/>
        <v>金币</v>
      </c>
      <c r="S215" s="15">
        <f t="shared" si="49"/>
        <v>10000</v>
      </c>
      <c r="T215" s="15" t="str">
        <f t="shared" si="50"/>
        <v>中级专属强化石</v>
      </c>
      <c r="U215" s="15">
        <f t="shared" si="51"/>
        <v>8</v>
      </c>
      <c r="V215" s="15" t="str">
        <f t="shared" si="52"/>
        <v>高级专属强化石</v>
      </c>
      <c r="W215" s="15">
        <f t="shared" si="53"/>
        <v>3</v>
      </c>
      <c r="X215" s="15">
        <f t="shared" si="54"/>
        <v>0.1</v>
      </c>
      <c r="Y215" s="15">
        <f t="shared" si="55"/>
        <v>1</v>
      </c>
      <c r="Z215" s="15">
        <f t="shared" si="56"/>
        <v>30</v>
      </c>
      <c r="AA215" s="15">
        <f t="shared" si="57"/>
        <v>0.48</v>
      </c>
    </row>
    <row r="216" spans="13:27" ht="16.5" x14ac:dyDescent="0.2">
      <c r="M216" s="15">
        <v>137</v>
      </c>
      <c r="N216" s="15">
        <f t="shared" si="46"/>
        <v>3</v>
      </c>
      <c r="O216" s="15">
        <f>INDEX(卡牌消耗!$H$13:$H$33,世界BOSS专属武器!N216)</f>
        <v>1501003</v>
      </c>
      <c r="P216" s="49" t="s">
        <v>480</v>
      </c>
      <c r="Q216" s="15">
        <f t="shared" si="47"/>
        <v>34</v>
      </c>
      <c r="R216" s="49" t="str">
        <f t="shared" si="48"/>
        <v>金币</v>
      </c>
      <c r="S216" s="15">
        <f t="shared" si="49"/>
        <v>10000</v>
      </c>
      <c r="T216" s="15" t="str">
        <f t="shared" si="50"/>
        <v>中级专属强化石</v>
      </c>
      <c r="U216" s="15">
        <f t="shared" si="51"/>
        <v>8</v>
      </c>
      <c r="V216" s="15" t="str">
        <f t="shared" si="52"/>
        <v>高级专属强化石</v>
      </c>
      <c r="W216" s="15">
        <f t="shared" si="53"/>
        <v>3</v>
      </c>
      <c r="X216" s="15">
        <f t="shared" si="54"/>
        <v>0.1</v>
      </c>
      <c r="Y216" s="15">
        <f t="shared" si="55"/>
        <v>1</v>
      </c>
      <c r="Z216" s="15">
        <f t="shared" si="56"/>
        <v>30</v>
      </c>
      <c r="AA216" s="15">
        <f t="shared" si="57"/>
        <v>0.50670000000000004</v>
      </c>
    </row>
    <row r="217" spans="13:27" ht="16.5" x14ac:dyDescent="0.2">
      <c r="M217" s="15">
        <v>138</v>
      </c>
      <c r="N217" s="15">
        <f t="shared" si="46"/>
        <v>3</v>
      </c>
      <c r="O217" s="15">
        <f>INDEX(卡牌消耗!$H$13:$H$33,世界BOSS专属武器!N217)</f>
        <v>1501003</v>
      </c>
      <c r="P217" s="49" t="s">
        <v>480</v>
      </c>
      <c r="Q217" s="15">
        <f t="shared" si="47"/>
        <v>35</v>
      </c>
      <c r="R217" s="49" t="str">
        <f t="shared" si="48"/>
        <v>金币</v>
      </c>
      <c r="S217" s="15">
        <f t="shared" si="49"/>
        <v>10000</v>
      </c>
      <c r="T217" s="15" t="str">
        <f t="shared" si="50"/>
        <v>中级专属强化石</v>
      </c>
      <c r="U217" s="15">
        <f t="shared" si="51"/>
        <v>8</v>
      </c>
      <c r="V217" s="15" t="str">
        <f t="shared" si="52"/>
        <v>高级专属强化石</v>
      </c>
      <c r="W217" s="15">
        <f t="shared" si="53"/>
        <v>3</v>
      </c>
      <c r="X217" s="15">
        <f t="shared" si="54"/>
        <v>0.1</v>
      </c>
      <c r="Y217" s="15">
        <f t="shared" si="55"/>
        <v>1</v>
      </c>
      <c r="Z217" s="15">
        <f t="shared" si="56"/>
        <v>30</v>
      </c>
      <c r="AA217" s="15">
        <f t="shared" si="57"/>
        <v>0.5333</v>
      </c>
    </row>
    <row r="218" spans="13:27" ht="16.5" x14ac:dyDescent="0.2">
      <c r="M218" s="15">
        <v>139</v>
      </c>
      <c r="N218" s="15">
        <f t="shared" si="46"/>
        <v>3</v>
      </c>
      <c r="O218" s="15">
        <f>INDEX(卡牌消耗!$H$13:$H$33,世界BOSS专属武器!N218)</f>
        <v>1501003</v>
      </c>
      <c r="P218" s="49" t="s">
        <v>480</v>
      </c>
      <c r="Q218" s="15">
        <f t="shared" si="47"/>
        <v>36</v>
      </c>
      <c r="R218" s="49" t="str">
        <f t="shared" si="48"/>
        <v>金币</v>
      </c>
      <c r="S218" s="15">
        <f t="shared" si="49"/>
        <v>10000</v>
      </c>
      <c r="T218" s="15" t="str">
        <f t="shared" si="50"/>
        <v>中级专属强化石</v>
      </c>
      <c r="U218" s="15">
        <f t="shared" si="51"/>
        <v>8</v>
      </c>
      <c r="V218" s="15" t="str">
        <f t="shared" si="52"/>
        <v>高级专属强化石</v>
      </c>
      <c r="W218" s="15">
        <f t="shared" si="53"/>
        <v>3</v>
      </c>
      <c r="X218" s="15">
        <f t="shared" si="54"/>
        <v>0.1</v>
      </c>
      <c r="Y218" s="15">
        <f t="shared" si="55"/>
        <v>1</v>
      </c>
      <c r="Z218" s="15">
        <f t="shared" si="56"/>
        <v>30</v>
      </c>
      <c r="AA218" s="15">
        <f t="shared" si="57"/>
        <v>0.56000000000000005</v>
      </c>
    </row>
    <row r="219" spans="13:27" ht="16.5" x14ac:dyDescent="0.2">
      <c r="M219" s="15">
        <v>140</v>
      </c>
      <c r="N219" s="15">
        <f t="shared" si="46"/>
        <v>3</v>
      </c>
      <c r="O219" s="15">
        <f>INDEX(卡牌消耗!$H$13:$H$33,世界BOSS专属武器!N219)</f>
        <v>1501003</v>
      </c>
      <c r="P219" s="49" t="s">
        <v>480</v>
      </c>
      <c r="Q219" s="15">
        <f t="shared" si="47"/>
        <v>37</v>
      </c>
      <c r="R219" s="49" t="str">
        <f t="shared" si="48"/>
        <v>金币</v>
      </c>
      <c r="S219" s="15">
        <f t="shared" si="49"/>
        <v>10000</v>
      </c>
      <c r="T219" s="15" t="str">
        <f t="shared" si="50"/>
        <v>中级专属强化石</v>
      </c>
      <c r="U219" s="15">
        <f t="shared" si="51"/>
        <v>8</v>
      </c>
      <c r="V219" s="15" t="str">
        <f t="shared" si="52"/>
        <v>高级专属强化石</v>
      </c>
      <c r="W219" s="15">
        <f t="shared" si="53"/>
        <v>3</v>
      </c>
      <c r="X219" s="15">
        <f t="shared" si="54"/>
        <v>0.1</v>
      </c>
      <c r="Y219" s="15">
        <f t="shared" si="55"/>
        <v>1</v>
      </c>
      <c r="Z219" s="15">
        <f t="shared" si="56"/>
        <v>30</v>
      </c>
      <c r="AA219" s="15">
        <f t="shared" si="57"/>
        <v>0.5867</v>
      </c>
    </row>
    <row r="220" spans="13:27" ht="16.5" x14ac:dyDescent="0.2">
      <c r="M220" s="15">
        <v>141</v>
      </c>
      <c r="N220" s="15">
        <f t="shared" si="46"/>
        <v>3</v>
      </c>
      <c r="O220" s="15">
        <f>INDEX(卡牌消耗!$H$13:$H$33,世界BOSS专属武器!N220)</f>
        <v>1501003</v>
      </c>
      <c r="P220" s="49" t="s">
        <v>480</v>
      </c>
      <c r="Q220" s="15">
        <f t="shared" si="47"/>
        <v>38</v>
      </c>
      <c r="R220" s="49" t="str">
        <f t="shared" si="48"/>
        <v>金币</v>
      </c>
      <c r="S220" s="15">
        <f t="shared" si="49"/>
        <v>10000</v>
      </c>
      <c r="T220" s="15" t="str">
        <f t="shared" si="50"/>
        <v>中级专属强化石</v>
      </c>
      <c r="U220" s="15">
        <f t="shared" si="51"/>
        <v>8</v>
      </c>
      <c r="V220" s="15" t="str">
        <f t="shared" si="52"/>
        <v>高级专属强化石</v>
      </c>
      <c r="W220" s="15">
        <f t="shared" si="53"/>
        <v>3</v>
      </c>
      <c r="X220" s="15">
        <f t="shared" si="54"/>
        <v>0.1</v>
      </c>
      <c r="Y220" s="15">
        <f t="shared" si="55"/>
        <v>1</v>
      </c>
      <c r="Z220" s="15">
        <f t="shared" si="56"/>
        <v>30</v>
      </c>
      <c r="AA220" s="15">
        <f t="shared" si="57"/>
        <v>0.61329999999999996</v>
      </c>
    </row>
    <row r="221" spans="13:27" ht="16.5" x14ac:dyDescent="0.2">
      <c r="M221" s="15">
        <v>142</v>
      </c>
      <c r="N221" s="15">
        <f t="shared" si="46"/>
        <v>3</v>
      </c>
      <c r="O221" s="15">
        <f>INDEX(卡牌消耗!$H$13:$H$33,世界BOSS专属武器!N221)</f>
        <v>1501003</v>
      </c>
      <c r="P221" s="49" t="s">
        <v>480</v>
      </c>
      <c r="Q221" s="15">
        <f t="shared" si="47"/>
        <v>39</v>
      </c>
      <c r="R221" s="49" t="str">
        <f t="shared" si="48"/>
        <v>金币</v>
      </c>
      <c r="S221" s="15">
        <f t="shared" si="49"/>
        <v>10000</v>
      </c>
      <c r="T221" s="15" t="str">
        <f t="shared" si="50"/>
        <v>中级专属强化石</v>
      </c>
      <c r="U221" s="15">
        <f t="shared" si="51"/>
        <v>8</v>
      </c>
      <c r="V221" s="15" t="str">
        <f t="shared" si="52"/>
        <v>高级专属强化石</v>
      </c>
      <c r="W221" s="15">
        <f t="shared" si="53"/>
        <v>3</v>
      </c>
      <c r="X221" s="15">
        <f t="shared" si="54"/>
        <v>0.1</v>
      </c>
      <c r="Y221" s="15">
        <f t="shared" si="55"/>
        <v>1</v>
      </c>
      <c r="Z221" s="15">
        <f t="shared" si="56"/>
        <v>30</v>
      </c>
      <c r="AA221" s="15">
        <f t="shared" si="57"/>
        <v>0.64</v>
      </c>
    </row>
    <row r="222" spans="13:27" ht="16.5" x14ac:dyDescent="0.2">
      <c r="M222" s="15">
        <v>143</v>
      </c>
      <c r="N222" s="15">
        <f t="shared" si="46"/>
        <v>3</v>
      </c>
      <c r="O222" s="15">
        <f>INDEX(卡牌消耗!$H$13:$H$33,世界BOSS专属武器!N222)</f>
        <v>1501003</v>
      </c>
      <c r="P222" s="49" t="s">
        <v>480</v>
      </c>
      <c r="Q222" s="15">
        <f t="shared" si="47"/>
        <v>40</v>
      </c>
      <c r="R222" s="49" t="str">
        <f t="shared" si="48"/>
        <v>金币</v>
      </c>
      <c r="S222" s="15">
        <f t="shared" si="49"/>
        <v>20000</v>
      </c>
      <c r="T222" s="15" t="str">
        <f t="shared" si="50"/>
        <v>高级专属强化石</v>
      </c>
      <c r="U222" s="15">
        <f t="shared" si="51"/>
        <v>5</v>
      </c>
      <c r="V222" s="15" t="str">
        <f t="shared" si="52"/>
        <v>[x]</v>
      </c>
      <c r="W222" s="15" t="str">
        <f t="shared" si="53"/>
        <v>[x]</v>
      </c>
      <c r="X222" s="15">
        <f t="shared" si="54"/>
        <v>0.1</v>
      </c>
      <c r="Y222" s="15">
        <f t="shared" si="55"/>
        <v>1</v>
      </c>
      <c r="Z222" s="15">
        <f t="shared" si="56"/>
        <v>35</v>
      </c>
      <c r="AA222" s="15">
        <f t="shared" si="57"/>
        <v>0.66669999999999996</v>
      </c>
    </row>
    <row r="223" spans="13:27" ht="16.5" x14ac:dyDescent="0.2">
      <c r="M223" s="15">
        <v>144</v>
      </c>
      <c r="N223" s="15">
        <f t="shared" si="46"/>
        <v>3</v>
      </c>
      <c r="O223" s="15">
        <f>INDEX(卡牌消耗!$H$13:$H$33,世界BOSS专属武器!N223)</f>
        <v>1501003</v>
      </c>
      <c r="P223" s="49" t="s">
        <v>480</v>
      </c>
      <c r="Q223" s="15">
        <f t="shared" si="47"/>
        <v>41</v>
      </c>
      <c r="R223" s="49" t="str">
        <f t="shared" si="48"/>
        <v>金币</v>
      </c>
      <c r="S223" s="15">
        <f t="shared" si="49"/>
        <v>20000</v>
      </c>
      <c r="T223" s="15" t="str">
        <f t="shared" si="50"/>
        <v>高级专属强化石</v>
      </c>
      <c r="U223" s="15">
        <f t="shared" si="51"/>
        <v>5</v>
      </c>
      <c r="V223" s="15" t="str">
        <f t="shared" si="52"/>
        <v>[x]</v>
      </c>
      <c r="W223" s="15" t="str">
        <f t="shared" si="53"/>
        <v>[x]</v>
      </c>
      <c r="X223" s="15">
        <f t="shared" si="54"/>
        <v>0.1</v>
      </c>
      <c r="Y223" s="15">
        <f t="shared" si="55"/>
        <v>1</v>
      </c>
      <c r="Z223" s="15">
        <f t="shared" si="56"/>
        <v>40</v>
      </c>
      <c r="AA223" s="15">
        <f t="shared" si="57"/>
        <v>0.7</v>
      </c>
    </row>
    <row r="224" spans="13:27" ht="16.5" x14ac:dyDescent="0.2">
      <c r="M224" s="15">
        <v>145</v>
      </c>
      <c r="N224" s="15">
        <f t="shared" si="46"/>
        <v>3</v>
      </c>
      <c r="O224" s="15">
        <f>INDEX(卡牌消耗!$H$13:$H$33,世界BOSS专属武器!N224)</f>
        <v>1501003</v>
      </c>
      <c r="P224" s="49" t="s">
        <v>480</v>
      </c>
      <c r="Q224" s="15">
        <f t="shared" si="47"/>
        <v>42</v>
      </c>
      <c r="R224" s="49" t="str">
        <f t="shared" si="48"/>
        <v>金币</v>
      </c>
      <c r="S224" s="15">
        <f t="shared" si="49"/>
        <v>20000</v>
      </c>
      <c r="T224" s="15" t="str">
        <f t="shared" si="50"/>
        <v>高级专属强化石</v>
      </c>
      <c r="U224" s="15">
        <f t="shared" si="51"/>
        <v>5</v>
      </c>
      <c r="V224" s="15" t="str">
        <f t="shared" si="52"/>
        <v>[x]</v>
      </c>
      <c r="W224" s="15" t="str">
        <f t="shared" si="53"/>
        <v>[x]</v>
      </c>
      <c r="X224" s="15">
        <f t="shared" si="54"/>
        <v>0.1</v>
      </c>
      <c r="Y224" s="15">
        <f t="shared" si="55"/>
        <v>1</v>
      </c>
      <c r="Z224" s="15">
        <f t="shared" si="56"/>
        <v>45</v>
      </c>
      <c r="AA224" s="15">
        <f t="shared" si="57"/>
        <v>0.73329999999999995</v>
      </c>
    </row>
    <row r="225" spans="13:27" ht="16.5" x14ac:dyDescent="0.2">
      <c r="M225" s="15">
        <v>146</v>
      </c>
      <c r="N225" s="15">
        <f t="shared" si="46"/>
        <v>3</v>
      </c>
      <c r="O225" s="15">
        <f>INDEX(卡牌消耗!$H$13:$H$33,世界BOSS专属武器!N225)</f>
        <v>1501003</v>
      </c>
      <c r="P225" s="49" t="s">
        <v>480</v>
      </c>
      <c r="Q225" s="15">
        <f t="shared" si="47"/>
        <v>43</v>
      </c>
      <c r="R225" s="49" t="str">
        <f t="shared" si="48"/>
        <v>金币</v>
      </c>
      <c r="S225" s="15">
        <f t="shared" si="49"/>
        <v>20000</v>
      </c>
      <c r="T225" s="15" t="str">
        <f t="shared" si="50"/>
        <v>高级专属强化石</v>
      </c>
      <c r="U225" s="15">
        <f t="shared" si="51"/>
        <v>5</v>
      </c>
      <c r="V225" s="15" t="str">
        <f t="shared" si="52"/>
        <v>[x]</v>
      </c>
      <c r="W225" s="15" t="str">
        <f t="shared" si="53"/>
        <v>[x]</v>
      </c>
      <c r="X225" s="15">
        <f t="shared" si="54"/>
        <v>0.1</v>
      </c>
      <c r="Y225" s="15">
        <f t="shared" si="55"/>
        <v>1</v>
      </c>
      <c r="Z225" s="15">
        <f t="shared" si="56"/>
        <v>50</v>
      </c>
      <c r="AA225" s="15">
        <f t="shared" si="57"/>
        <v>0.76670000000000005</v>
      </c>
    </row>
    <row r="226" spans="13:27" ht="16.5" x14ac:dyDescent="0.2">
      <c r="M226" s="15">
        <v>147</v>
      </c>
      <c r="N226" s="15">
        <f t="shared" si="46"/>
        <v>3</v>
      </c>
      <c r="O226" s="15">
        <f>INDEX(卡牌消耗!$H$13:$H$33,世界BOSS专属武器!N226)</f>
        <v>1501003</v>
      </c>
      <c r="P226" s="49" t="s">
        <v>480</v>
      </c>
      <c r="Q226" s="15">
        <f t="shared" si="47"/>
        <v>44</v>
      </c>
      <c r="R226" s="49" t="str">
        <f t="shared" si="48"/>
        <v>金币</v>
      </c>
      <c r="S226" s="15">
        <f t="shared" si="49"/>
        <v>20000</v>
      </c>
      <c r="T226" s="15" t="str">
        <f t="shared" si="50"/>
        <v>高级专属强化石</v>
      </c>
      <c r="U226" s="15">
        <f t="shared" si="51"/>
        <v>5</v>
      </c>
      <c r="V226" s="15" t="str">
        <f t="shared" si="52"/>
        <v>[x]</v>
      </c>
      <c r="W226" s="15" t="str">
        <f t="shared" si="53"/>
        <v>[x]</v>
      </c>
      <c r="X226" s="15">
        <f t="shared" si="54"/>
        <v>0.1</v>
      </c>
      <c r="Y226" s="15">
        <f t="shared" si="55"/>
        <v>1</v>
      </c>
      <c r="Z226" s="15">
        <f t="shared" si="56"/>
        <v>55</v>
      </c>
      <c r="AA226" s="15">
        <f t="shared" si="57"/>
        <v>0.8</v>
      </c>
    </row>
    <row r="227" spans="13:27" ht="16.5" x14ac:dyDescent="0.2">
      <c r="M227" s="15">
        <v>148</v>
      </c>
      <c r="N227" s="15">
        <f t="shared" si="46"/>
        <v>3</v>
      </c>
      <c r="O227" s="15">
        <f>INDEX(卡牌消耗!$H$13:$H$33,世界BOSS专属武器!N227)</f>
        <v>1501003</v>
      </c>
      <c r="P227" s="49" t="s">
        <v>480</v>
      </c>
      <c r="Q227" s="15">
        <f t="shared" si="47"/>
        <v>45</v>
      </c>
      <c r="R227" s="49" t="str">
        <f t="shared" si="48"/>
        <v>金币</v>
      </c>
      <c r="S227" s="15">
        <f t="shared" si="49"/>
        <v>20000</v>
      </c>
      <c r="T227" s="15" t="str">
        <f t="shared" si="50"/>
        <v>高级专属强化石</v>
      </c>
      <c r="U227" s="15">
        <f t="shared" si="51"/>
        <v>6</v>
      </c>
      <c r="V227" s="15" t="str">
        <f t="shared" si="52"/>
        <v>[x]</v>
      </c>
      <c r="W227" s="15" t="str">
        <f t="shared" si="53"/>
        <v>[x]</v>
      </c>
      <c r="X227" s="15">
        <f t="shared" si="54"/>
        <v>0.1</v>
      </c>
      <c r="Y227" s="15">
        <f t="shared" si="55"/>
        <v>1</v>
      </c>
      <c r="Z227" s="15">
        <f t="shared" si="56"/>
        <v>60</v>
      </c>
      <c r="AA227" s="15">
        <f t="shared" si="57"/>
        <v>0.83330000000000004</v>
      </c>
    </row>
    <row r="228" spans="13:27" ht="16.5" x14ac:dyDescent="0.2">
      <c r="M228" s="15">
        <v>149</v>
      </c>
      <c r="N228" s="15">
        <f t="shared" si="46"/>
        <v>3</v>
      </c>
      <c r="O228" s="15">
        <f>INDEX(卡牌消耗!$H$13:$H$33,世界BOSS专属武器!N228)</f>
        <v>1501003</v>
      </c>
      <c r="P228" s="49" t="s">
        <v>480</v>
      </c>
      <c r="Q228" s="15">
        <f t="shared" si="47"/>
        <v>46</v>
      </c>
      <c r="R228" s="49" t="str">
        <f t="shared" si="48"/>
        <v>金币</v>
      </c>
      <c r="S228" s="15">
        <f t="shared" si="49"/>
        <v>20000</v>
      </c>
      <c r="T228" s="15" t="str">
        <f t="shared" si="50"/>
        <v>高级专属强化石</v>
      </c>
      <c r="U228" s="15">
        <f t="shared" si="51"/>
        <v>7</v>
      </c>
      <c r="V228" s="15" t="str">
        <f t="shared" si="52"/>
        <v>[x]</v>
      </c>
      <c r="W228" s="15" t="str">
        <f t="shared" si="53"/>
        <v>[x]</v>
      </c>
      <c r="X228" s="15">
        <f t="shared" si="54"/>
        <v>0.1</v>
      </c>
      <c r="Y228" s="15">
        <f t="shared" si="55"/>
        <v>1</v>
      </c>
      <c r="Z228" s="15">
        <f t="shared" si="56"/>
        <v>70</v>
      </c>
      <c r="AA228" s="15">
        <f t="shared" si="57"/>
        <v>0.86670000000000003</v>
      </c>
    </row>
    <row r="229" spans="13:27" ht="16.5" x14ac:dyDescent="0.2">
      <c r="M229" s="15">
        <v>150</v>
      </c>
      <c r="N229" s="15">
        <f t="shared" si="46"/>
        <v>3</v>
      </c>
      <c r="O229" s="15">
        <f>INDEX(卡牌消耗!$H$13:$H$33,世界BOSS专属武器!N229)</f>
        <v>1501003</v>
      </c>
      <c r="P229" s="49" t="s">
        <v>480</v>
      </c>
      <c r="Q229" s="15">
        <f t="shared" si="47"/>
        <v>47</v>
      </c>
      <c r="R229" s="49" t="str">
        <f t="shared" si="48"/>
        <v>金币</v>
      </c>
      <c r="S229" s="15">
        <f t="shared" si="49"/>
        <v>20000</v>
      </c>
      <c r="T229" s="15" t="str">
        <f t="shared" si="50"/>
        <v>高级专属强化石</v>
      </c>
      <c r="U229" s="15">
        <f t="shared" si="51"/>
        <v>8</v>
      </c>
      <c r="V229" s="15" t="str">
        <f t="shared" si="52"/>
        <v>[x]</v>
      </c>
      <c r="W229" s="15" t="str">
        <f t="shared" si="53"/>
        <v>[x]</v>
      </c>
      <c r="X229" s="15">
        <f t="shared" si="54"/>
        <v>0.1</v>
      </c>
      <c r="Y229" s="15">
        <f t="shared" si="55"/>
        <v>1</v>
      </c>
      <c r="Z229" s="15">
        <f t="shared" si="56"/>
        <v>80</v>
      </c>
      <c r="AA229" s="15">
        <f t="shared" si="57"/>
        <v>0.9</v>
      </c>
    </row>
    <row r="230" spans="13:27" ht="16.5" x14ac:dyDescent="0.2">
      <c r="M230" s="15">
        <v>151</v>
      </c>
      <c r="N230" s="15">
        <f t="shared" si="46"/>
        <v>3</v>
      </c>
      <c r="O230" s="15">
        <f>INDEX(卡牌消耗!$H$13:$H$33,世界BOSS专属武器!N230)</f>
        <v>1501003</v>
      </c>
      <c r="P230" s="49" t="s">
        <v>480</v>
      </c>
      <c r="Q230" s="15">
        <f t="shared" si="47"/>
        <v>48</v>
      </c>
      <c r="R230" s="49" t="str">
        <f t="shared" si="48"/>
        <v>金币</v>
      </c>
      <c r="S230" s="15">
        <f t="shared" si="49"/>
        <v>20000</v>
      </c>
      <c r="T230" s="15" t="str">
        <f t="shared" si="50"/>
        <v>高级专属强化石</v>
      </c>
      <c r="U230" s="15">
        <f t="shared" si="51"/>
        <v>9</v>
      </c>
      <c r="V230" s="15" t="str">
        <f t="shared" si="52"/>
        <v>[x]</v>
      </c>
      <c r="W230" s="15" t="str">
        <f t="shared" si="53"/>
        <v>[x]</v>
      </c>
      <c r="X230" s="15">
        <f t="shared" si="54"/>
        <v>0.1</v>
      </c>
      <c r="Y230" s="15">
        <f t="shared" si="55"/>
        <v>1</v>
      </c>
      <c r="Z230" s="15">
        <f t="shared" si="56"/>
        <v>100</v>
      </c>
      <c r="AA230" s="15">
        <f t="shared" si="57"/>
        <v>0.93330000000000002</v>
      </c>
    </row>
    <row r="231" spans="13:27" ht="16.5" x14ac:dyDescent="0.2">
      <c r="M231" s="15">
        <v>152</v>
      </c>
      <c r="N231" s="15">
        <f t="shared" si="46"/>
        <v>3</v>
      </c>
      <c r="O231" s="15">
        <f>INDEX(卡牌消耗!$H$13:$H$33,世界BOSS专属武器!N231)</f>
        <v>1501003</v>
      </c>
      <c r="P231" s="49" t="s">
        <v>480</v>
      </c>
      <c r="Q231" s="15">
        <f t="shared" si="47"/>
        <v>49</v>
      </c>
      <c r="R231" s="49" t="str">
        <f t="shared" si="48"/>
        <v>金币</v>
      </c>
      <c r="S231" s="15">
        <f t="shared" si="49"/>
        <v>20000</v>
      </c>
      <c r="T231" s="15" t="str">
        <f t="shared" si="50"/>
        <v>高级专属强化石</v>
      </c>
      <c r="U231" s="15">
        <f t="shared" si="51"/>
        <v>10</v>
      </c>
      <c r="V231" s="15" t="str">
        <f t="shared" si="52"/>
        <v>[x]</v>
      </c>
      <c r="W231" s="15" t="str">
        <f t="shared" si="53"/>
        <v>[x]</v>
      </c>
      <c r="X231" s="15">
        <f t="shared" si="54"/>
        <v>0.1</v>
      </c>
      <c r="Y231" s="15">
        <f t="shared" si="55"/>
        <v>1</v>
      </c>
      <c r="Z231" s="15">
        <f t="shared" si="56"/>
        <v>120</v>
      </c>
      <c r="AA231" s="15">
        <f t="shared" si="57"/>
        <v>0.9667</v>
      </c>
    </row>
    <row r="232" spans="13:27" ht="16.5" x14ac:dyDescent="0.2">
      <c r="M232" s="15">
        <v>153</v>
      </c>
      <c r="N232" s="15">
        <f t="shared" si="46"/>
        <v>3</v>
      </c>
      <c r="O232" s="15">
        <f>INDEX(卡牌消耗!$H$13:$H$33,世界BOSS专属武器!N232)</f>
        <v>1501003</v>
      </c>
      <c r="P232" s="49" t="s">
        <v>480</v>
      </c>
      <c r="Q232" s="15">
        <f t="shared" si="47"/>
        <v>50</v>
      </c>
      <c r="R232" s="49" t="str">
        <f t="shared" si="48"/>
        <v>金币</v>
      </c>
      <c r="S232" s="15">
        <f t="shared" si="49"/>
        <v>20000</v>
      </c>
      <c r="T232" s="15" t="str">
        <f t="shared" si="50"/>
        <v>高级专属强化石</v>
      </c>
      <c r="U232" s="15">
        <f t="shared" si="51"/>
        <v>15</v>
      </c>
      <c r="V232" s="15" t="str">
        <f t="shared" si="52"/>
        <v>[x]</v>
      </c>
      <c r="W232" s="15" t="str">
        <f t="shared" si="53"/>
        <v>[x]</v>
      </c>
      <c r="X232" s="15">
        <f t="shared" si="54"/>
        <v>0.1</v>
      </c>
      <c r="Y232" s="15">
        <f t="shared" si="55"/>
        <v>1</v>
      </c>
      <c r="Z232" s="15">
        <f t="shared" si="56"/>
        <v>150</v>
      </c>
      <c r="AA232" s="15">
        <f t="shared" si="57"/>
        <v>1</v>
      </c>
    </row>
    <row r="233" spans="13:27" ht="16.5" x14ac:dyDescent="0.2">
      <c r="M233" s="15">
        <v>154</v>
      </c>
      <c r="N233" s="15">
        <f t="shared" si="46"/>
        <v>4</v>
      </c>
      <c r="O233" s="15">
        <f>INDEX(卡牌消耗!$H$13:$H$33,世界BOSS专属武器!N233)</f>
        <v>1501004</v>
      </c>
      <c r="P233" s="49" t="s">
        <v>480</v>
      </c>
      <c r="Q233" s="15">
        <f t="shared" si="47"/>
        <v>0</v>
      </c>
      <c r="R233" s="49" t="str">
        <f t="shared" si="48"/>
        <v>[x]</v>
      </c>
      <c r="S233" s="15" t="str">
        <f t="shared" si="49"/>
        <v>[x]</v>
      </c>
      <c r="T233" s="15" t="str">
        <f t="shared" si="50"/>
        <v>[x]</v>
      </c>
      <c r="U233" s="15" t="str">
        <f t="shared" si="51"/>
        <v>[x]</v>
      </c>
      <c r="V233" s="15" t="str">
        <f t="shared" si="52"/>
        <v>[x]</v>
      </c>
      <c r="W233" s="15" t="str">
        <f t="shared" si="53"/>
        <v>[x]</v>
      </c>
      <c r="X233" s="15" t="str">
        <f t="shared" si="54"/>
        <v>[x]</v>
      </c>
      <c r="Y233" s="15" t="str">
        <f t="shared" si="55"/>
        <v>[x]</v>
      </c>
      <c r="Z233" s="15" t="str">
        <f t="shared" si="56"/>
        <v>[x]</v>
      </c>
      <c r="AA233" s="15" t="str">
        <f t="shared" si="57"/>
        <v>[x]</v>
      </c>
    </row>
    <row r="234" spans="13:27" ht="16.5" x14ac:dyDescent="0.2">
      <c r="M234" s="15">
        <v>155</v>
      </c>
      <c r="N234" s="15">
        <f t="shared" si="46"/>
        <v>4</v>
      </c>
      <c r="O234" s="15">
        <f>INDEX(卡牌消耗!$H$13:$H$33,世界BOSS专属武器!N234)</f>
        <v>1501004</v>
      </c>
      <c r="P234" s="49" t="s">
        <v>480</v>
      </c>
      <c r="Q234" s="15">
        <f t="shared" si="47"/>
        <v>1</v>
      </c>
      <c r="R234" s="49" t="str">
        <f t="shared" si="48"/>
        <v>金币</v>
      </c>
      <c r="S234" s="15">
        <f t="shared" si="49"/>
        <v>100</v>
      </c>
      <c r="T234" s="15" t="str">
        <f t="shared" si="50"/>
        <v>低级专属强化石</v>
      </c>
      <c r="U234" s="15">
        <f t="shared" si="51"/>
        <v>1</v>
      </c>
      <c r="V234" s="15" t="str">
        <f t="shared" si="52"/>
        <v>[x]</v>
      </c>
      <c r="W234" s="15" t="str">
        <f t="shared" si="53"/>
        <v>[x]</v>
      </c>
      <c r="X234" s="15">
        <f t="shared" si="54"/>
        <v>1</v>
      </c>
      <c r="Y234" s="15">
        <f t="shared" si="55"/>
        <v>1</v>
      </c>
      <c r="Z234" s="15">
        <f t="shared" si="56"/>
        <v>1</v>
      </c>
      <c r="AA234" s="15">
        <f t="shared" si="57"/>
        <v>6.7000000000000002E-3</v>
      </c>
    </row>
    <row r="235" spans="13:27" ht="16.5" x14ac:dyDescent="0.2">
      <c r="M235" s="15">
        <v>156</v>
      </c>
      <c r="N235" s="15">
        <f t="shared" si="46"/>
        <v>4</v>
      </c>
      <c r="O235" s="15">
        <f>INDEX(卡牌消耗!$H$13:$H$33,世界BOSS专属武器!N235)</f>
        <v>1501004</v>
      </c>
      <c r="P235" s="49" t="s">
        <v>480</v>
      </c>
      <c r="Q235" s="15">
        <f t="shared" si="47"/>
        <v>2</v>
      </c>
      <c r="R235" s="49" t="str">
        <f t="shared" si="48"/>
        <v>金币</v>
      </c>
      <c r="S235" s="15">
        <f t="shared" si="49"/>
        <v>200</v>
      </c>
      <c r="T235" s="15" t="str">
        <f t="shared" si="50"/>
        <v>低级专属强化石</v>
      </c>
      <c r="U235" s="15">
        <f t="shared" si="51"/>
        <v>1</v>
      </c>
      <c r="V235" s="15" t="str">
        <f t="shared" si="52"/>
        <v>[x]</v>
      </c>
      <c r="W235" s="15" t="str">
        <f t="shared" si="53"/>
        <v>[x]</v>
      </c>
      <c r="X235" s="15">
        <f t="shared" si="54"/>
        <v>0.5</v>
      </c>
      <c r="Y235" s="15">
        <f t="shared" si="55"/>
        <v>1</v>
      </c>
      <c r="Z235" s="15">
        <f t="shared" si="56"/>
        <v>2</v>
      </c>
      <c r="AA235" s="15">
        <f t="shared" si="57"/>
        <v>1.3299999999999999E-2</v>
      </c>
    </row>
    <row r="236" spans="13:27" ht="16.5" x14ac:dyDescent="0.2">
      <c r="M236" s="15">
        <v>157</v>
      </c>
      <c r="N236" s="15">
        <f t="shared" si="46"/>
        <v>4</v>
      </c>
      <c r="O236" s="15">
        <f>INDEX(卡牌消耗!$H$13:$H$33,世界BOSS专属武器!N236)</f>
        <v>1501004</v>
      </c>
      <c r="P236" s="49" t="s">
        <v>480</v>
      </c>
      <c r="Q236" s="15">
        <f t="shared" si="47"/>
        <v>3</v>
      </c>
      <c r="R236" s="49" t="str">
        <f t="shared" si="48"/>
        <v>金币</v>
      </c>
      <c r="S236" s="15">
        <f t="shared" si="49"/>
        <v>300</v>
      </c>
      <c r="T236" s="15" t="str">
        <f t="shared" si="50"/>
        <v>低级专属强化石</v>
      </c>
      <c r="U236" s="15">
        <f t="shared" si="51"/>
        <v>2</v>
      </c>
      <c r="V236" s="15" t="str">
        <f t="shared" si="52"/>
        <v>[x]</v>
      </c>
      <c r="W236" s="15" t="str">
        <f t="shared" si="53"/>
        <v>[x]</v>
      </c>
      <c r="X236" s="15">
        <f t="shared" si="54"/>
        <v>0.48</v>
      </c>
      <c r="Y236" s="15">
        <f t="shared" si="55"/>
        <v>1</v>
      </c>
      <c r="Z236" s="15">
        <f t="shared" si="56"/>
        <v>3</v>
      </c>
      <c r="AA236" s="15">
        <f t="shared" si="57"/>
        <v>0.02</v>
      </c>
    </row>
    <row r="237" spans="13:27" ht="16.5" x14ac:dyDescent="0.2">
      <c r="M237" s="15">
        <v>158</v>
      </c>
      <c r="N237" s="15">
        <f t="shared" si="46"/>
        <v>4</v>
      </c>
      <c r="O237" s="15">
        <f>INDEX(卡牌消耗!$H$13:$H$33,世界BOSS专属武器!N237)</f>
        <v>1501004</v>
      </c>
      <c r="P237" s="49" t="s">
        <v>480</v>
      </c>
      <c r="Q237" s="15">
        <f t="shared" si="47"/>
        <v>4</v>
      </c>
      <c r="R237" s="49" t="str">
        <f t="shared" si="48"/>
        <v>金币</v>
      </c>
      <c r="S237" s="15">
        <f t="shared" si="49"/>
        <v>400</v>
      </c>
      <c r="T237" s="15" t="str">
        <f t="shared" si="50"/>
        <v>低级专属强化石</v>
      </c>
      <c r="U237" s="15">
        <f t="shared" si="51"/>
        <v>3</v>
      </c>
      <c r="V237" s="15" t="str">
        <f t="shared" si="52"/>
        <v>[x]</v>
      </c>
      <c r="W237" s="15" t="str">
        <f t="shared" si="53"/>
        <v>[x]</v>
      </c>
      <c r="X237" s="15">
        <f t="shared" si="54"/>
        <v>0.46</v>
      </c>
      <c r="Y237" s="15">
        <f t="shared" si="55"/>
        <v>1</v>
      </c>
      <c r="Z237" s="15">
        <f t="shared" si="56"/>
        <v>3</v>
      </c>
      <c r="AA237" s="15">
        <f t="shared" si="57"/>
        <v>2.6700000000000002E-2</v>
      </c>
    </row>
    <row r="238" spans="13:27" ht="16.5" x14ac:dyDescent="0.2">
      <c r="M238" s="15">
        <v>159</v>
      </c>
      <c r="N238" s="15">
        <f t="shared" si="46"/>
        <v>4</v>
      </c>
      <c r="O238" s="15">
        <f>INDEX(卡牌消耗!$H$13:$H$33,世界BOSS专属武器!N238)</f>
        <v>1501004</v>
      </c>
      <c r="P238" s="49" t="s">
        <v>480</v>
      </c>
      <c r="Q238" s="15">
        <f t="shared" si="47"/>
        <v>5</v>
      </c>
      <c r="R238" s="49" t="str">
        <f t="shared" si="48"/>
        <v>金币</v>
      </c>
      <c r="S238" s="15">
        <f t="shared" si="49"/>
        <v>500</v>
      </c>
      <c r="T238" s="15" t="str">
        <f t="shared" si="50"/>
        <v>低级专属强化石</v>
      </c>
      <c r="U238" s="15">
        <f t="shared" si="51"/>
        <v>4</v>
      </c>
      <c r="V238" s="15" t="str">
        <f t="shared" si="52"/>
        <v>[x]</v>
      </c>
      <c r="W238" s="15" t="str">
        <f t="shared" si="53"/>
        <v>[x]</v>
      </c>
      <c r="X238" s="15">
        <f t="shared" si="54"/>
        <v>0.44</v>
      </c>
      <c r="Y238" s="15">
        <f t="shared" si="55"/>
        <v>1</v>
      </c>
      <c r="Z238" s="15">
        <f t="shared" si="56"/>
        <v>3</v>
      </c>
      <c r="AA238" s="15">
        <f t="shared" si="57"/>
        <v>3.3300000000000003E-2</v>
      </c>
    </row>
    <row r="239" spans="13:27" ht="16.5" x14ac:dyDescent="0.2">
      <c r="M239" s="15">
        <v>160</v>
      </c>
      <c r="N239" s="15">
        <f t="shared" si="46"/>
        <v>4</v>
      </c>
      <c r="O239" s="15">
        <f>INDEX(卡牌消耗!$H$13:$H$33,世界BOSS专属武器!N239)</f>
        <v>1501004</v>
      </c>
      <c r="P239" s="49" t="s">
        <v>480</v>
      </c>
      <c r="Q239" s="15">
        <f t="shared" si="47"/>
        <v>6</v>
      </c>
      <c r="R239" s="49" t="str">
        <f t="shared" si="48"/>
        <v>金币</v>
      </c>
      <c r="S239" s="15">
        <f t="shared" si="49"/>
        <v>600</v>
      </c>
      <c r="T239" s="15" t="str">
        <f t="shared" si="50"/>
        <v>低级专属强化石</v>
      </c>
      <c r="U239" s="15">
        <f t="shared" si="51"/>
        <v>5</v>
      </c>
      <c r="V239" s="15" t="str">
        <f t="shared" si="52"/>
        <v>[x]</v>
      </c>
      <c r="W239" s="15" t="str">
        <f t="shared" si="53"/>
        <v>[x]</v>
      </c>
      <c r="X239" s="15">
        <f t="shared" si="54"/>
        <v>0.42</v>
      </c>
      <c r="Y239" s="15">
        <f t="shared" si="55"/>
        <v>1</v>
      </c>
      <c r="Z239" s="15">
        <f t="shared" si="56"/>
        <v>4</v>
      </c>
      <c r="AA239" s="15">
        <f t="shared" si="57"/>
        <v>0.04</v>
      </c>
    </row>
    <row r="240" spans="13:27" ht="16.5" x14ac:dyDescent="0.2">
      <c r="M240" s="15">
        <v>161</v>
      </c>
      <c r="N240" s="15">
        <f t="shared" si="46"/>
        <v>4</v>
      </c>
      <c r="O240" s="15">
        <f>INDEX(卡牌消耗!$H$13:$H$33,世界BOSS专属武器!N240)</f>
        <v>1501004</v>
      </c>
      <c r="P240" s="49" t="s">
        <v>480</v>
      </c>
      <c r="Q240" s="15">
        <f t="shared" si="47"/>
        <v>7</v>
      </c>
      <c r="R240" s="49" t="str">
        <f t="shared" si="48"/>
        <v>金币</v>
      </c>
      <c r="S240" s="15">
        <f t="shared" si="49"/>
        <v>700</v>
      </c>
      <c r="T240" s="15" t="str">
        <f t="shared" si="50"/>
        <v>低级专属强化石</v>
      </c>
      <c r="U240" s="15">
        <f t="shared" si="51"/>
        <v>5</v>
      </c>
      <c r="V240" s="15" t="str">
        <f t="shared" si="52"/>
        <v>[x]</v>
      </c>
      <c r="W240" s="15" t="str">
        <f t="shared" si="53"/>
        <v>[x]</v>
      </c>
      <c r="X240" s="15">
        <f t="shared" si="54"/>
        <v>0.4</v>
      </c>
      <c r="Y240" s="15">
        <f t="shared" si="55"/>
        <v>1</v>
      </c>
      <c r="Z240" s="15">
        <f t="shared" si="56"/>
        <v>4</v>
      </c>
      <c r="AA240" s="15">
        <f t="shared" si="57"/>
        <v>4.6699999999999998E-2</v>
      </c>
    </row>
    <row r="241" spans="13:27" ht="16.5" x14ac:dyDescent="0.2">
      <c r="M241" s="15">
        <v>162</v>
      </c>
      <c r="N241" s="15">
        <f t="shared" si="46"/>
        <v>4</v>
      </c>
      <c r="O241" s="15">
        <f>INDEX(卡牌消耗!$H$13:$H$33,世界BOSS专属武器!N241)</f>
        <v>1501004</v>
      </c>
      <c r="P241" s="49" t="s">
        <v>480</v>
      </c>
      <c r="Q241" s="15">
        <f t="shared" si="47"/>
        <v>8</v>
      </c>
      <c r="R241" s="49" t="str">
        <f t="shared" si="48"/>
        <v>金币</v>
      </c>
      <c r="S241" s="15">
        <f t="shared" si="49"/>
        <v>800</v>
      </c>
      <c r="T241" s="15" t="str">
        <f t="shared" si="50"/>
        <v>低级专属强化石</v>
      </c>
      <c r="U241" s="15">
        <f t="shared" si="51"/>
        <v>5</v>
      </c>
      <c r="V241" s="15" t="str">
        <f t="shared" si="52"/>
        <v>[x]</v>
      </c>
      <c r="W241" s="15" t="str">
        <f t="shared" si="53"/>
        <v>[x]</v>
      </c>
      <c r="X241" s="15">
        <f t="shared" si="54"/>
        <v>0.38</v>
      </c>
      <c r="Y241" s="15">
        <f t="shared" si="55"/>
        <v>1</v>
      </c>
      <c r="Z241" s="15">
        <f t="shared" si="56"/>
        <v>5</v>
      </c>
      <c r="AA241" s="15">
        <f t="shared" si="57"/>
        <v>5.33E-2</v>
      </c>
    </row>
    <row r="242" spans="13:27" ht="16.5" x14ac:dyDescent="0.2">
      <c r="M242" s="15">
        <v>163</v>
      </c>
      <c r="N242" s="15">
        <f t="shared" si="46"/>
        <v>4</v>
      </c>
      <c r="O242" s="15">
        <f>INDEX(卡牌消耗!$H$13:$H$33,世界BOSS专属武器!N242)</f>
        <v>1501004</v>
      </c>
      <c r="P242" s="49" t="s">
        <v>480</v>
      </c>
      <c r="Q242" s="15">
        <f t="shared" si="47"/>
        <v>9</v>
      </c>
      <c r="R242" s="49" t="str">
        <f t="shared" si="48"/>
        <v>金币</v>
      </c>
      <c r="S242" s="15">
        <f t="shared" si="49"/>
        <v>900</v>
      </c>
      <c r="T242" s="15" t="str">
        <f t="shared" si="50"/>
        <v>低级专属强化石</v>
      </c>
      <c r="U242" s="15">
        <f t="shared" si="51"/>
        <v>5</v>
      </c>
      <c r="V242" s="15" t="str">
        <f t="shared" si="52"/>
        <v>[x]</v>
      </c>
      <c r="W242" s="15" t="str">
        <f t="shared" si="53"/>
        <v>[x]</v>
      </c>
      <c r="X242" s="15">
        <f t="shared" si="54"/>
        <v>0.36</v>
      </c>
      <c r="Y242" s="15">
        <f t="shared" si="55"/>
        <v>1</v>
      </c>
      <c r="Z242" s="15">
        <f t="shared" si="56"/>
        <v>5</v>
      </c>
      <c r="AA242" s="15">
        <f t="shared" si="57"/>
        <v>0.06</v>
      </c>
    </row>
    <row r="243" spans="13:27" ht="16.5" x14ac:dyDescent="0.2">
      <c r="M243" s="15">
        <v>164</v>
      </c>
      <c r="N243" s="15">
        <f t="shared" si="46"/>
        <v>4</v>
      </c>
      <c r="O243" s="15">
        <f>INDEX(卡牌消耗!$H$13:$H$33,世界BOSS专属武器!N243)</f>
        <v>1501004</v>
      </c>
      <c r="P243" s="49" t="s">
        <v>480</v>
      </c>
      <c r="Q243" s="15">
        <f t="shared" si="47"/>
        <v>10</v>
      </c>
      <c r="R243" s="49" t="str">
        <f t="shared" si="48"/>
        <v>金币</v>
      </c>
      <c r="S243" s="15">
        <f t="shared" si="49"/>
        <v>1000</v>
      </c>
      <c r="T243" s="15" t="str">
        <f t="shared" si="50"/>
        <v>低级专属强化石</v>
      </c>
      <c r="U243" s="15">
        <f t="shared" si="51"/>
        <v>7</v>
      </c>
      <c r="V243" s="15" t="str">
        <f t="shared" si="52"/>
        <v>[x]</v>
      </c>
      <c r="W243" s="15" t="str">
        <f t="shared" si="53"/>
        <v>[x]</v>
      </c>
      <c r="X243" s="15">
        <f t="shared" si="54"/>
        <v>0.35</v>
      </c>
      <c r="Y243" s="15">
        <f t="shared" si="55"/>
        <v>1</v>
      </c>
      <c r="Z243" s="15">
        <f t="shared" si="56"/>
        <v>5</v>
      </c>
      <c r="AA243" s="15">
        <f t="shared" si="57"/>
        <v>6.6699999999999995E-2</v>
      </c>
    </row>
    <row r="244" spans="13:27" ht="16.5" x14ac:dyDescent="0.2">
      <c r="M244" s="15">
        <v>165</v>
      </c>
      <c r="N244" s="15">
        <f t="shared" si="46"/>
        <v>4</v>
      </c>
      <c r="O244" s="15">
        <f>INDEX(卡牌消耗!$H$13:$H$33,世界BOSS专属武器!N244)</f>
        <v>1501004</v>
      </c>
      <c r="P244" s="49" t="s">
        <v>480</v>
      </c>
      <c r="Q244" s="15">
        <f t="shared" si="47"/>
        <v>11</v>
      </c>
      <c r="R244" s="49" t="str">
        <f t="shared" si="48"/>
        <v>金币</v>
      </c>
      <c r="S244" s="15">
        <f t="shared" si="49"/>
        <v>1000</v>
      </c>
      <c r="T244" s="15" t="str">
        <f t="shared" si="50"/>
        <v>低级专属强化石</v>
      </c>
      <c r="U244" s="15">
        <f t="shared" si="51"/>
        <v>7</v>
      </c>
      <c r="V244" s="15" t="str">
        <f t="shared" si="52"/>
        <v>[x]</v>
      </c>
      <c r="W244" s="15" t="str">
        <f t="shared" si="53"/>
        <v>[x]</v>
      </c>
      <c r="X244" s="15">
        <f t="shared" si="54"/>
        <v>0.33</v>
      </c>
      <c r="Y244" s="15">
        <f t="shared" si="55"/>
        <v>1</v>
      </c>
      <c r="Z244" s="15">
        <f t="shared" si="56"/>
        <v>6</v>
      </c>
      <c r="AA244" s="15">
        <f t="shared" si="57"/>
        <v>0.08</v>
      </c>
    </row>
    <row r="245" spans="13:27" ht="16.5" x14ac:dyDescent="0.2">
      <c r="M245" s="15">
        <v>166</v>
      </c>
      <c r="N245" s="15">
        <f t="shared" si="46"/>
        <v>4</v>
      </c>
      <c r="O245" s="15">
        <f>INDEX(卡牌消耗!$H$13:$H$33,世界BOSS专属武器!N245)</f>
        <v>1501004</v>
      </c>
      <c r="P245" s="49" t="s">
        <v>480</v>
      </c>
      <c r="Q245" s="15">
        <f t="shared" si="47"/>
        <v>12</v>
      </c>
      <c r="R245" s="49" t="str">
        <f t="shared" si="48"/>
        <v>金币</v>
      </c>
      <c r="S245" s="15">
        <f t="shared" si="49"/>
        <v>1000</v>
      </c>
      <c r="T245" s="15" t="str">
        <f t="shared" si="50"/>
        <v>低级专属强化石</v>
      </c>
      <c r="U245" s="15">
        <f t="shared" si="51"/>
        <v>7</v>
      </c>
      <c r="V245" s="15" t="str">
        <f t="shared" si="52"/>
        <v>[x]</v>
      </c>
      <c r="W245" s="15" t="str">
        <f t="shared" si="53"/>
        <v>[x]</v>
      </c>
      <c r="X245" s="15">
        <f t="shared" si="54"/>
        <v>0.31</v>
      </c>
      <c r="Y245" s="15">
        <f t="shared" si="55"/>
        <v>1</v>
      </c>
      <c r="Z245" s="15">
        <f t="shared" si="56"/>
        <v>6</v>
      </c>
      <c r="AA245" s="15">
        <f t="shared" si="57"/>
        <v>9.3299999999999994E-2</v>
      </c>
    </row>
    <row r="246" spans="13:27" ht="16.5" x14ac:dyDescent="0.2">
      <c r="M246" s="15">
        <v>167</v>
      </c>
      <c r="N246" s="15">
        <f t="shared" si="46"/>
        <v>4</v>
      </c>
      <c r="O246" s="15">
        <f>INDEX(卡牌消耗!$H$13:$H$33,世界BOSS专属武器!N246)</f>
        <v>1501004</v>
      </c>
      <c r="P246" s="49" t="s">
        <v>480</v>
      </c>
      <c r="Q246" s="15">
        <f t="shared" si="47"/>
        <v>13</v>
      </c>
      <c r="R246" s="49" t="str">
        <f t="shared" si="48"/>
        <v>金币</v>
      </c>
      <c r="S246" s="15">
        <f t="shared" si="49"/>
        <v>1000</v>
      </c>
      <c r="T246" s="15" t="str">
        <f t="shared" si="50"/>
        <v>低级专属强化石</v>
      </c>
      <c r="U246" s="15">
        <f t="shared" si="51"/>
        <v>7</v>
      </c>
      <c r="V246" s="15" t="str">
        <f t="shared" si="52"/>
        <v>[x]</v>
      </c>
      <c r="W246" s="15" t="str">
        <f t="shared" si="53"/>
        <v>[x]</v>
      </c>
      <c r="X246" s="15">
        <f t="shared" si="54"/>
        <v>0.28999999999999998</v>
      </c>
      <c r="Y246" s="15">
        <f t="shared" si="55"/>
        <v>1</v>
      </c>
      <c r="Z246" s="15">
        <f t="shared" si="56"/>
        <v>7</v>
      </c>
      <c r="AA246" s="15">
        <f t="shared" si="57"/>
        <v>0.1067</v>
      </c>
    </row>
    <row r="247" spans="13:27" ht="16.5" x14ac:dyDescent="0.2">
      <c r="M247" s="15">
        <v>168</v>
      </c>
      <c r="N247" s="15">
        <f t="shared" si="46"/>
        <v>4</v>
      </c>
      <c r="O247" s="15">
        <f>INDEX(卡牌消耗!$H$13:$H$33,世界BOSS专属武器!N247)</f>
        <v>1501004</v>
      </c>
      <c r="P247" s="49" t="s">
        <v>480</v>
      </c>
      <c r="Q247" s="15">
        <f t="shared" si="47"/>
        <v>14</v>
      </c>
      <c r="R247" s="49" t="str">
        <f t="shared" si="48"/>
        <v>金币</v>
      </c>
      <c r="S247" s="15">
        <f t="shared" si="49"/>
        <v>1000</v>
      </c>
      <c r="T247" s="15" t="str">
        <f t="shared" si="50"/>
        <v>低级专属强化石</v>
      </c>
      <c r="U247" s="15">
        <f t="shared" si="51"/>
        <v>7</v>
      </c>
      <c r="V247" s="15" t="str">
        <f t="shared" si="52"/>
        <v>[x]</v>
      </c>
      <c r="W247" s="15" t="str">
        <f t="shared" si="53"/>
        <v>[x]</v>
      </c>
      <c r="X247" s="15">
        <f t="shared" si="54"/>
        <v>0.27</v>
      </c>
      <c r="Y247" s="15">
        <f t="shared" si="55"/>
        <v>1</v>
      </c>
      <c r="Z247" s="15">
        <f t="shared" si="56"/>
        <v>7</v>
      </c>
      <c r="AA247" s="15">
        <f t="shared" si="57"/>
        <v>0.12</v>
      </c>
    </row>
    <row r="248" spans="13:27" ht="16.5" x14ac:dyDescent="0.2">
      <c r="M248" s="15">
        <v>169</v>
      </c>
      <c r="N248" s="15">
        <f t="shared" si="46"/>
        <v>4</v>
      </c>
      <c r="O248" s="15">
        <f>INDEX(卡牌消耗!$H$13:$H$33,世界BOSS专属武器!N248)</f>
        <v>1501004</v>
      </c>
      <c r="P248" s="49" t="s">
        <v>480</v>
      </c>
      <c r="Q248" s="15">
        <f t="shared" si="47"/>
        <v>15</v>
      </c>
      <c r="R248" s="49" t="str">
        <f t="shared" si="48"/>
        <v>金币</v>
      </c>
      <c r="S248" s="15">
        <f t="shared" si="49"/>
        <v>1000</v>
      </c>
      <c r="T248" s="15" t="str">
        <f t="shared" si="50"/>
        <v>低级专属强化石</v>
      </c>
      <c r="U248" s="15">
        <f t="shared" si="51"/>
        <v>10</v>
      </c>
      <c r="V248" s="15" t="str">
        <f t="shared" si="52"/>
        <v>[x]</v>
      </c>
      <c r="W248" s="15" t="str">
        <f t="shared" si="53"/>
        <v>[x]</v>
      </c>
      <c r="X248" s="15">
        <f t="shared" si="54"/>
        <v>0.25</v>
      </c>
      <c r="Y248" s="15">
        <f t="shared" si="55"/>
        <v>1</v>
      </c>
      <c r="Z248" s="15">
        <f t="shared" si="56"/>
        <v>8</v>
      </c>
      <c r="AA248" s="15">
        <f t="shared" si="57"/>
        <v>0.1333</v>
      </c>
    </row>
    <row r="249" spans="13:27" ht="16.5" x14ac:dyDescent="0.2">
      <c r="M249" s="15">
        <v>170</v>
      </c>
      <c r="N249" s="15">
        <f t="shared" si="46"/>
        <v>4</v>
      </c>
      <c r="O249" s="15">
        <f>INDEX(卡牌消耗!$H$13:$H$33,世界BOSS专属武器!N249)</f>
        <v>1501004</v>
      </c>
      <c r="P249" s="49" t="s">
        <v>480</v>
      </c>
      <c r="Q249" s="15">
        <f t="shared" si="47"/>
        <v>16</v>
      </c>
      <c r="R249" s="49" t="str">
        <f t="shared" si="48"/>
        <v>金币</v>
      </c>
      <c r="S249" s="15">
        <f t="shared" si="49"/>
        <v>1000</v>
      </c>
      <c r="T249" s="15" t="str">
        <f t="shared" si="50"/>
        <v>低级专属强化石</v>
      </c>
      <c r="U249" s="15">
        <f t="shared" si="51"/>
        <v>10</v>
      </c>
      <c r="V249" s="15" t="str">
        <f t="shared" si="52"/>
        <v>[x]</v>
      </c>
      <c r="W249" s="15" t="str">
        <f t="shared" si="53"/>
        <v>[x]</v>
      </c>
      <c r="X249" s="15">
        <f t="shared" si="54"/>
        <v>0.23</v>
      </c>
      <c r="Y249" s="15">
        <f t="shared" si="55"/>
        <v>1</v>
      </c>
      <c r="Z249" s="15">
        <f t="shared" si="56"/>
        <v>9</v>
      </c>
      <c r="AA249" s="15">
        <f t="shared" si="57"/>
        <v>0.1467</v>
      </c>
    </row>
    <row r="250" spans="13:27" ht="16.5" x14ac:dyDescent="0.2">
      <c r="M250" s="15">
        <v>171</v>
      </c>
      <c r="N250" s="15">
        <f t="shared" si="46"/>
        <v>4</v>
      </c>
      <c r="O250" s="15">
        <f>INDEX(卡牌消耗!$H$13:$H$33,世界BOSS专属武器!N250)</f>
        <v>1501004</v>
      </c>
      <c r="P250" s="49" t="s">
        <v>480</v>
      </c>
      <c r="Q250" s="15">
        <f t="shared" si="47"/>
        <v>17</v>
      </c>
      <c r="R250" s="49" t="str">
        <f t="shared" si="48"/>
        <v>金币</v>
      </c>
      <c r="S250" s="15">
        <f t="shared" si="49"/>
        <v>1000</v>
      </c>
      <c r="T250" s="15" t="str">
        <f t="shared" si="50"/>
        <v>低级专属强化石</v>
      </c>
      <c r="U250" s="15">
        <f t="shared" si="51"/>
        <v>10</v>
      </c>
      <c r="V250" s="15" t="str">
        <f t="shared" si="52"/>
        <v>[x]</v>
      </c>
      <c r="W250" s="15" t="str">
        <f t="shared" si="53"/>
        <v>[x]</v>
      </c>
      <c r="X250" s="15">
        <f t="shared" si="54"/>
        <v>0.21</v>
      </c>
      <c r="Y250" s="15">
        <f t="shared" si="55"/>
        <v>1</v>
      </c>
      <c r="Z250" s="15">
        <f t="shared" si="56"/>
        <v>10</v>
      </c>
      <c r="AA250" s="15">
        <f t="shared" si="57"/>
        <v>0.16</v>
      </c>
    </row>
    <row r="251" spans="13:27" ht="16.5" x14ac:dyDescent="0.2">
      <c r="M251" s="15">
        <v>172</v>
      </c>
      <c r="N251" s="15">
        <f t="shared" si="46"/>
        <v>4</v>
      </c>
      <c r="O251" s="15">
        <f>INDEX(卡牌消耗!$H$13:$H$33,世界BOSS专属武器!N251)</f>
        <v>1501004</v>
      </c>
      <c r="P251" s="49" t="s">
        <v>480</v>
      </c>
      <c r="Q251" s="15">
        <f t="shared" si="47"/>
        <v>18</v>
      </c>
      <c r="R251" s="49" t="str">
        <f t="shared" si="48"/>
        <v>金币</v>
      </c>
      <c r="S251" s="15">
        <f t="shared" si="49"/>
        <v>1000</v>
      </c>
      <c r="T251" s="15" t="str">
        <f t="shared" si="50"/>
        <v>低级专属强化石</v>
      </c>
      <c r="U251" s="15">
        <f t="shared" si="51"/>
        <v>10</v>
      </c>
      <c r="V251" s="15" t="str">
        <f t="shared" si="52"/>
        <v>[x]</v>
      </c>
      <c r="W251" s="15" t="str">
        <f t="shared" si="53"/>
        <v>[x]</v>
      </c>
      <c r="X251" s="15">
        <f t="shared" si="54"/>
        <v>0.19</v>
      </c>
      <c r="Y251" s="15">
        <f t="shared" si="55"/>
        <v>1</v>
      </c>
      <c r="Z251" s="15">
        <f t="shared" si="56"/>
        <v>11</v>
      </c>
      <c r="AA251" s="15">
        <f t="shared" si="57"/>
        <v>0.17330000000000001</v>
      </c>
    </row>
    <row r="252" spans="13:27" ht="16.5" x14ac:dyDescent="0.2">
      <c r="M252" s="15">
        <v>173</v>
      </c>
      <c r="N252" s="15">
        <f t="shared" si="46"/>
        <v>4</v>
      </c>
      <c r="O252" s="15">
        <f>INDEX(卡牌消耗!$H$13:$H$33,世界BOSS专属武器!N252)</f>
        <v>1501004</v>
      </c>
      <c r="P252" s="49" t="s">
        <v>480</v>
      </c>
      <c r="Q252" s="15">
        <f t="shared" si="47"/>
        <v>19</v>
      </c>
      <c r="R252" s="49" t="str">
        <f t="shared" si="48"/>
        <v>金币</v>
      </c>
      <c r="S252" s="15">
        <f t="shared" si="49"/>
        <v>1000</v>
      </c>
      <c r="T252" s="15" t="str">
        <f t="shared" si="50"/>
        <v>低级专属强化石</v>
      </c>
      <c r="U252" s="15">
        <f t="shared" si="51"/>
        <v>10</v>
      </c>
      <c r="V252" s="15" t="str">
        <f t="shared" si="52"/>
        <v>[x]</v>
      </c>
      <c r="W252" s="15" t="str">
        <f t="shared" si="53"/>
        <v>[x]</v>
      </c>
      <c r="X252" s="15">
        <f t="shared" si="54"/>
        <v>0.17</v>
      </c>
      <c r="Y252" s="15">
        <f t="shared" si="55"/>
        <v>1</v>
      </c>
      <c r="Z252" s="15">
        <f t="shared" si="56"/>
        <v>12</v>
      </c>
      <c r="AA252" s="15">
        <f t="shared" si="57"/>
        <v>0.1867</v>
      </c>
    </row>
    <row r="253" spans="13:27" ht="16.5" x14ac:dyDescent="0.2">
      <c r="M253" s="15">
        <v>174</v>
      </c>
      <c r="N253" s="15">
        <f t="shared" si="46"/>
        <v>4</v>
      </c>
      <c r="O253" s="15">
        <f>INDEX(卡牌消耗!$H$13:$H$33,世界BOSS专属武器!N253)</f>
        <v>1501004</v>
      </c>
      <c r="P253" s="49" t="s">
        <v>480</v>
      </c>
      <c r="Q253" s="15">
        <f t="shared" si="47"/>
        <v>20</v>
      </c>
      <c r="R253" s="49" t="str">
        <f t="shared" si="48"/>
        <v>金币</v>
      </c>
      <c r="S253" s="15">
        <f t="shared" si="49"/>
        <v>5000</v>
      </c>
      <c r="T253" s="15" t="str">
        <f t="shared" si="50"/>
        <v>低级专属强化石</v>
      </c>
      <c r="U253" s="15">
        <f t="shared" si="51"/>
        <v>15</v>
      </c>
      <c r="V253" s="15" t="str">
        <f t="shared" si="52"/>
        <v>中级专属强化石</v>
      </c>
      <c r="W253" s="15">
        <f t="shared" si="53"/>
        <v>7</v>
      </c>
      <c r="X253" s="15">
        <f t="shared" si="54"/>
        <v>0.15</v>
      </c>
      <c r="Y253" s="15">
        <f t="shared" si="55"/>
        <v>1</v>
      </c>
      <c r="Z253" s="15">
        <f t="shared" si="56"/>
        <v>15</v>
      </c>
      <c r="AA253" s="15">
        <f t="shared" si="57"/>
        <v>0.2</v>
      </c>
    </row>
    <row r="254" spans="13:27" ht="16.5" x14ac:dyDescent="0.2">
      <c r="M254" s="15">
        <v>175</v>
      </c>
      <c r="N254" s="15">
        <f t="shared" si="46"/>
        <v>4</v>
      </c>
      <c r="O254" s="15">
        <f>INDEX(卡牌消耗!$H$13:$H$33,世界BOSS专属武器!N254)</f>
        <v>1501004</v>
      </c>
      <c r="P254" s="49" t="s">
        <v>480</v>
      </c>
      <c r="Q254" s="15">
        <f t="shared" si="47"/>
        <v>21</v>
      </c>
      <c r="R254" s="49" t="str">
        <f t="shared" si="48"/>
        <v>金币</v>
      </c>
      <c r="S254" s="15">
        <f t="shared" si="49"/>
        <v>5000</v>
      </c>
      <c r="T254" s="15" t="str">
        <f t="shared" si="50"/>
        <v>低级专属强化石</v>
      </c>
      <c r="U254" s="15">
        <f t="shared" si="51"/>
        <v>15</v>
      </c>
      <c r="V254" s="15" t="str">
        <f t="shared" si="52"/>
        <v>中级专属强化石</v>
      </c>
      <c r="W254" s="15">
        <f t="shared" si="53"/>
        <v>7</v>
      </c>
      <c r="X254" s="15">
        <f t="shared" si="54"/>
        <v>0.15</v>
      </c>
      <c r="Y254" s="15">
        <f t="shared" si="55"/>
        <v>1</v>
      </c>
      <c r="Z254" s="15">
        <f t="shared" si="56"/>
        <v>15</v>
      </c>
      <c r="AA254" s="15">
        <f t="shared" si="57"/>
        <v>0.22</v>
      </c>
    </row>
    <row r="255" spans="13:27" ht="16.5" x14ac:dyDescent="0.2">
      <c r="M255" s="15">
        <v>176</v>
      </c>
      <c r="N255" s="15">
        <f t="shared" si="46"/>
        <v>4</v>
      </c>
      <c r="O255" s="15">
        <f>INDEX(卡牌消耗!$H$13:$H$33,世界BOSS专属武器!N255)</f>
        <v>1501004</v>
      </c>
      <c r="P255" s="49" t="s">
        <v>480</v>
      </c>
      <c r="Q255" s="15">
        <f t="shared" si="47"/>
        <v>22</v>
      </c>
      <c r="R255" s="49" t="str">
        <f t="shared" si="48"/>
        <v>金币</v>
      </c>
      <c r="S255" s="15">
        <f t="shared" si="49"/>
        <v>5000</v>
      </c>
      <c r="T255" s="15" t="str">
        <f t="shared" si="50"/>
        <v>低级专属强化石</v>
      </c>
      <c r="U255" s="15">
        <f t="shared" si="51"/>
        <v>15</v>
      </c>
      <c r="V255" s="15" t="str">
        <f t="shared" si="52"/>
        <v>中级专属强化石</v>
      </c>
      <c r="W255" s="15">
        <f t="shared" si="53"/>
        <v>7</v>
      </c>
      <c r="X255" s="15">
        <f t="shared" si="54"/>
        <v>0.15</v>
      </c>
      <c r="Y255" s="15">
        <f t="shared" si="55"/>
        <v>1</v>
      </c>
      <c r="Z255" s="15">
        <f t="shared" si="56"/>
        <v>15</v>
      </c>
      <c r="AA255" s="15">
        <f t="shared" si="57"/>
        <v>0.24</v>
      </c>
    </row>
    <row r="256" spans="13:27" ht="16.5" x14ac:dyDescent="0.2">
      <c r="M256" s="15">
        <v>177</v>
      </c>
      <c r="N256" s="15">
        <f t="shared" si="46"/>
        <v>4</v>
      </c>
      <c r="O256" s="15">
        <f>INDEX(卡牌消耗!$H$13:$H$33,世界BOSS专属武器!N256)</f>
        <v>1501004</v>
      </c>
      <c r="P256" s="49" t="s">
        <v>480</v>
      </c>
      <c r="Q256" s="15">
        <f t="shared" si="47"/>
        <v>23</v>
      </c>
      <c r="R256" s="49" t="str">
        <f t="shared" si="48"/>
        <v>金币</v>
      </c>
      <c r="S256" s="15">
        <f t="shared" si="49"/>
        <v>5000</v>
      </c>
      <c r="T256" s="15" t="str">
        <f t="shared" si="50"/>
        <v>低级专属强化石</v>
      </c>
      <c r="U256" s="15">
        <f t="shared" si="51"/>
        <v>15</v>
      </c>
      <c r="V256" s="15" t="str">
        <f t="shared" si="52"/>
        <v>中级专属强化石</v>
      </c>
      <c r="W256" s="15">
        <f t="shared" si="53"/>
        <v>7</v>
      </c>
      <c r="X256" s="15">
        <f t="shared" si="54"/>
        <v>0.15</v>
      </c>
      <c r="Y256" s="15">
        <f t="shared" si="55"/>
        <v>1</v>
      </c>
      <c r="Z256" s="15">
        <f t="shared" si="56"/>
        <v>18</v>
      </c>
      <c r="AA256" s="15">
        <f t="shared" si="57"/>
        <v>0.26</v>
      </c>
    </row>
    <row r="257" spans="13:27" ht="16.5" x14ac:dyDescent="0.2">
      <c r="M257" s="15">
        <v>178</v>
      </c>
      <c r="N257" s="15">
        <f t="shared" si="46"/>
        <v>4</v>
      </c>
      <c r="O257" s="15">
        <f>INDEX(卡牌消耗!$H$13:$H$33,世界BOSS专属武器!N257)</f>
        <v>1501004</v>
      </c>
      <c r="P257" s="49" t="s">
        <v>480</v>
      </c>
      <c r="Q257" s="15">
        <f t="shared" si="47"/>
        <v>24</v>
      </c>
      <c r="R257" s="49" t="str">
        <f t="shared" si="48"/>
        <v>金币</v>
      </c>
      <c r="S257" s="15">
        <f t="shared" si="49"/>
        <v>5000</v>
      </c>
      <c r="T257" s="15" t="str">
        <f t="shared" si="50"/>
        <v>低级专属强化石</v>
      </c>
      <c r="U257" s="15">
        <f t="shared" si="51"/>
        <v>15</v>
      </c>
      <c r="V257" s="15" t="str">
        <f t="shared" si="52"/>
        <v>中级专属强化石</v>
      </c>
      <c r="W257" s="15">
        <f t="shared" si="53"/>
        <v>7</v>
      </c>
      <c r="X257" s="15">
        <f t="shared" si="54"/>
        <v>0.15</v>
      </c>
      <c r="Y257" s="15">
        <f t="shared" si="55"/>
        <v>1</v>
      </c>
      <c r="Z257" s="15">
        <f t="shared" si="56"/>
        <v>18</v>
      </c>
      <c r="AA257" s="15">
        <f t="shared" si="57"/>
        <v>0.28000000000000003</v>
      </c>
    </row>
    <row r="258" spans="13:27" ht="16.5" x14ac:dyDescent="0.2">
      <c r="M258" s="15">
        <v>179</v>
      </c>
      <c r="N258" s="15">
        <f t="shared" si="46"/>
        <v>4</v>
      </c>
      <c r="O258" s="15">
        <f>INDEX(卡牌消耗!$H$13:$H$33,世界BOSS专属武器!N258)</f>
        <v>1501004</v>
      </c>
      <c r="P258" s="49" t="s">
        <v>480</v>
      </c>
      <c r="Q258" s="15">
        <f t="shared" si="47"/>
        <v>25</v>
      </c>
      <c r="R258" s="49" t="str">
        <f t="shared" si="48"/>
        <v>金币</v>
      </c>
      <c r="S258" s="15">
        <f t="shared" si="49"/>
        <v>5000</v>
      </c>
      <c r="T258" s="15" t="str">
        <f t="shared" si="50"/>
        <v>低级专属强化石</v>
      </c>
      <c r="U258" s="15">
        <f t="shared" si="51"/>
        <v>15</v>
      </c>
      <c r="V258" s="15" t="str">
        <f t="shared" si="52"/>
        <v>中级专属强化石</v>
      </c>
      <c r="W258" s="15">
        <f t="shared" si="53"/>
        <v>7</v>
      </c>
      <c r="X258" s="15">
        <f t="shared" si="54"/>
        <v>0.15</v>
      </c>
      <c r="Y258" s="15">
        <f t="shared" si="55"/>
        <v>1</v>
      </c>
      <c r="Z258" s="15">
        <f t="shared" si="56"/>
        <v>18</v>
      </c>
      <c r="AA258" s="15">
        <f t="shared" si="57"/>
        <v>0.3</v>
      </c>
    </row>
    <row r="259" spans="13:27" ht="16.5" x14ac:dyDescent="0.2">
      <c r="M259" s="15">
        <v>180</v>
      </c>
      <c r="N259" s="15">
        <f t="shared" si="46"/>
        <v>4</v>
      </c>
      <c r="O259" s="15">
        <f>INDEX(卡牌消耗!$H$13:$H$33,世界BOSS专属武器!N259)</f>
        <v>1501004</v>
      </c>
      <c r="P259" s="49" t="s">
        <v>480</v>
      </c>
      <c r="Q259" s="15">
        <f t="shared" si="47"/>
        <v>26</v>
      </c>
      <c r="R259" s="49" t="str">
        <f t="shared" si="48"/>
        <v>金币</v>
      </c>
      <c r="S259" s="15">
        <f t="shared" si="49"/>
        <v>5000</v>
      </c>
      <c r="T259" s="15" t="str">
        <f t="shared" si="50"/>
        <v>低级专属强化石</v>
      </c>
      <c r="U259" s="15">
        <f t="shared" si="51"/>
        <v>15</v>
      </c>
      <c r="V259" s="15" t="str">
        <f t="shared" si="52"/>
        <v>中级专属强化石</v>
      </c>
      <c r="W259" s="15">
        <f t="shared" si="53"/>
        <v>7</v>
      </c>
      <c r="X259" s="15">
        <f t="shared" si="54"/>
        <v>0.15</v>
      </c>
      <c r="Y259" s="15">
        <f t="shared" si="55"/>
        <v>1</v>
      </c>
      <c r="Z259" s="15">
        <f t="shared" si="56"/>
        <v>21</v>
      </c>
      <c r="AA259" s="15">
        <f t="shared" si="57"/>
        <v>0.32</v>
      </c>
    </row>
    <row r="260" spans="13:27" ht="16.5" x14ac:dyDescent="0.2">
      <c r="M260" s="15">
        <v>181</v>
      </c>
      <c r="N260" s="15">
        <f t="shared" si="46"/>
        <v>4</v>
      </c>
      <c r="O260" s="15">
        <f>INDEX(卡牌消耗!$H$13:$H$33,世界BOSS专属武器!N260)</f>
        <v>1501004</v>
      </c>
      <c r="P260" s="49" t="s">
        <v>480</v>
      </c>
      <c r="Q260" s="15">
        <f t="shared" si="47"/>
        <v>27</v>
      </c>
      <c r="R260" s="49" t="str">
        <f t="shared" si="48"/>
        <v>金币</v>
      </c>
      <c r="S260" s="15">
        <f t="shared" si="49"/>
        <v>5000</v>
      </c>
      <c r="T260" s="15" t="str">
        <f t="shared" si="50"/>
        <v>低级专属强化石</v>
      </c>
      <c r="U260" s="15">
        <f t="shared" si="51"/>
        <v>15</v>
      </c>
      <c r="V260" s="15" t="str">
        <f t="shared" si="52"/>
        <v>中级专属强化石</v>
      </c>
      <c r="W260" s="15">
        <f t="shared" si="53"/>
        <v>7</v>
      </c>
      <c r="X260" s="15">
        <f t="shared" si="54"/>
        <v>0.15</v>
      </c>
      <c r="Y260" s="15">
        <f t="shared" si="55"/>
        <v>1</v>
      </c>
      <c r="Z260" s="15">
        <f t="shared" si="56"/>
        <v>22</v>
      </c>
      <c r="AA260" s="15">
        <f t="shared" si="57"/>
        <v>0.34</v>
      </c>
    </row>
    <row r="261" spans="13:27" ht="16.5" x14ac:dyDescent="0.2">
      <c r="M261" s="15">
        <v>182</v>
      </c>
      <c r="N261" s="15">
        <f t="shared" si="46"/>
        <v>4</v>
      </c>
      <c r="O261" s="15">
        <f>INDEX(卡牌消耗!$H$13:$H$33,世界BOSS专属武器!N261)</f>
        <v>1501004</v>
      </c>
      <c r="P261" s="49" t="s">
        <v>480</v>
      </c>
      <c r="Q261" s="15">
        <f t="shared" si="47"/>
        <v>28</v>
      </c>
      <c r="R261" s="49" t="str">
        <f t="shared" si="48"/>
        <v>金币</v>
      </c>
      <c r="S261" s="15">
        <f t="shared" si="49"/>
        <v>5000</v>
      </c>
      <c r="T261" s="15" t="str">
        <f t="shared" si="50"/>
        <v>低级专属强化石</v>
      </c>
      <c r="U261" s="15">
        <f t="shared" si="51"/>
        <v>15</v>
      </c>
      <c r="V261" s="15" t="str">
        <f t="shared" si="52"/>
        <v>中级专属强化石</v>
      </c>
      <c r="W261" s="15">
        <f t="shared" si="53"/>
        <v>7</v>
      </c>
      <c r="X261" s="15">
        <f t="shared" si="54"/>
        <v>0.15</v>
      </c>
      <c r="Y261" s="15">
        <f t="shared" si="55"/>
        <v>1</v>
      </c>
      <c r="Z261" s="15">
        <f t="shared" si="56"/>
        <v>23</v>
      </c>
      <c r="AA261" s="15">
        <f t="shared" si="57"/>
        <v>0.36</v>
      </c>
    </row>
    <row r="262" spans="13:27" ht="16.5" x14ac:dyDescent="0.2">
      <c r="M262" s="15">
        <v>183</v>
      </c>
      <c r="N262" s="15">
        <f t="shared" si="46"/>
        <v>4</v>
      </c>
      <c r="O262" s="15">
        <f>INDEX(卡牌消耗!$H$13:$H$33,世界BOSS专属武器!N262)</f>
        <v>1501004</v>
      </c>
      <c r="P262" s="49" t="s">
        <v>480</v>
      </c>
      <c r="Q262" s="15">
        <f t="shared" si="47"/>
        <v>29</v>
      </c>
      <c r="R262" s="49" t="str">
        <f t="shared" si="48"/>
        <v>金币</v>
      </c>
      <c r="S262" s="15">
        <f t="shared" si="49"/>
        <v>5000</v>
      </c>
      <c r="T262" s="15" t="str">
        <f t="shared" si="50"/>
        <v>低级专属强化石</v>
      </c>
      <c r="U262" s="15">
        <f t="shared" si="51"/>
        <v>15</v>
      </c>
      <c r="V262" s="15" t="str">
        <f t="shared" si="52"/>
        <v>中级专属强化石</v>
      </c>
      <c r="W262" s="15">
        <f t="shared" si="53"/>
        <v>7</v>
      </c>
      <c r="X262" s="15">
        <f t="shared" si="54"/>
        <v>0.15</v>
      </c>
      <c r="Y262" s="15">
        <f t="shared" si="55"/>
        <v>1</v>
      </c>
      <c r="Z262" s="15">
        <f t="shared" si="56"/>
        <v>25</v>
      </c>
      <c r="AA262" s="15">
        <f t="shared" si="57"/>
        <v>0.38</v>
      </c>
    </row>
    <row r="263" spans="13:27" ht="16.5" x14ac:dyDescent="0.2">
      <c r="M263" s="15">
        <v>184</v>
      </c>
      <c r="N263" s="15">
        <f t="shared" si="46"/>
        <v>4</v>
      </c>
      <c r="O263" s="15">
        <f>INDEX(卡牌消耗!$H$13:$H$33,世界BOSS专属武器!N263)</f>
        <v>1501004</v>
      </c>
      <c r="P263" s="49" t="s">
        <v>480</v>
      </c>
      <c r="Q263" s="15">
        <f t="shared" si="47"/>
        <v>30</v>
      </c>
      <c r="R263" s="49" t="str">
        <f t="shared" si="48"/>
        <v>金币</v>
      </c>
      <c r="S263" s="15">
        <f t="shared" si="49"/>
        <v>10000</v>
      </c>
      <c r="T263" s="15" t="str">
        <f t="shared" si="50"/>
        <v>中级专属强化石</v>
      </c>
      <c r="U263" s="15">
        <f t="shared" si="51"/>
        <v>8</v>
      </c>
      <c r="V263" s="15" t="str">
        <f t="shared" si="52"/>
        <v>高级专属强化石</v>
      </c>
      <c r="W263" s="15">
        <f t="shared" si="53"/>
        <v>3</v>
      </c>
      <c r="X263" s="15">
        <f t="shared" si="54"/>
        <v>0.1</v>
      </c>
      <c r="Y263" s="15">
        <f t="shared" si="55"/>
        <v>1</v>
      </c>
      <c r="Z263" s="15">
        <f t="shared" si="56"/>
        <v>30</v>
      </c>
      <c r="AA263" s="15">
        <f t="shared" si="57"/>
        <v>0.4</v>
      </c>
    </row>
    <row r="264" spans="13:27" ht="16.5" x14ac:dyDescent="0.2">
      <c r="M264" s="15">
        <v>185</v>
      </c>
      <c r="N264" s="15">
        <f t="shared" si="46"/>
        <v>4</v>
      </c>
      <c r="O264" s="15">
        <f>INDEX(卡牌消耗!$H$13:$H$33,世界BOSS专属武器!N264)</f>
        <v>1501004</v>
      </c>
      <c r="P264" s="49" t="s">
        <v>480</v>
      </c>
      <c r="Q264" s="15">
        <f t="shared" si="47"/>
        <v>31</v>
      </c>
      <c r="R264" s="49" t="str">
        <f t="shared" si="48"/>
        <v>金币</v>
      </c>
      <c r="S264" s="15">
        <f t="shared" si="49"/>
        <v>10000</v>
      </c>
      <c r="T264" s="15" t="str">
        <f t="shared" si="50"/>
        <v>中级专属强化石</v>
      </c>
      <c r="U264" s="15">
        <f t="shared" si="51"/>
        <v>8</v>
      </c>
      <c r="V264" s="15" t="str">
        <f t="shared" si="52"/>
        <v>高级专属强化石</v>
      </c>
      <c r="W264" s="15">
        <f t="shared" si="53"/>
        <v>3</v>
      </c>
      <c r="X264" s="15">
        <f t="shared" si="54"/>
        <v>0.1</v>
      </c>
      <c r="Y264" s="15">
        <f t="shared" si="55"/>
        <v>1</v>
      </c>
      <c r="Z264" s="15">
        <f t="shared" si="56"/>
        <v>30</v>
      </c>
      <c r="AA264" s="15">
        <f t="shared" si="57"/>
        <v>0.42670000000000002</v>
      </c>
    </row>
    <row r="265" spans="13:27" ht="16.5" x14ac:dyDescent="0.2">
      <c r="M265" s="15">
        <v>186</v>
      </c>
      <c r="N265" s="15">
        <f t="shared" si="46"/>
        <v>4</v>
      </c>
      <c r="O265" s="15">
        <f>INDEX(卡牌消耗!$H$13:$H$33,世界BOSS专属武器!N265)</f>
        <v>1501004</v>
      </c>
      <c r="P265" s="49" t="s">
        <v>480</v>
      </c>
      <c r="Q265" s="15">
        <f t="shared" si="47"/>
        <v>32</v>
      </c>
      <c r="R265" s="49" t="str">
        <f t="shared" si="48"/>
        <v>金币</v>
      </c>
      <c r="S265" s="15">
        <f t="shared" si="49"/>
        <v>10000</v>
      </c>
      <c r="T265" s="15" t="str">
        <f t="shared" si="50"/>
        <v>中级专属强化石</v>
      </c>
      <c r="U265" s="15">
        <f t="shared" si="51"/>
        <v>8</v>
      </c>
      <c r="V265" s="15" t="str">
        <f t="shared" si="52"/>
        <v>高级专属强化石</v>
      </c>
      <c r="W265" s="15">
        <f t="shared" si="53"/>
        <v>3</v>
      </c>
      <c r="X265" s="15">
        <f t="shared" si="54"/>
        <v>0.1</v>
      </c>
      <c r="Y265" s="15">
        <f t="shared" si="55"/>
        <v>1</v>
      </c>
      <c r="Z265" s="15">
        <f t="shared" si="56"/>
        <v>30</v>
      </c>
      <c r="AA265" s="15">
        <f t="shared" si="57"/>
        <v>0.45329999999999998</v>
      </c>
    </row>
    <row r="266" spans="13:27" ht="16.5" x14ac:dyDescent="0.2">
      <c r="M266" s="15">
        <v>187</v>
      </c>
      <c r="N266" s="15">
        <f t="shared" si="46"/>
        <v>4</v>
      </c>
      <c r="O266" s="15">
        <f>INDEX(卡牌消耗!$H$13:$H$33,世界BOSS专属武器!N266)</f>
        <v>1501004</v>
      </c>
      <c r="P266" s="49" t="s">
        <v>480</v>
      </c>
      <c r="Q266" s="15">
        <f t="shared" si="47"/>
        <v>33</v>
      </c>
      <c r="R266" s="49" t="str">
        <f t="shared" si="48"/>
        <v>金币</v>
      </c>
      <c r="S266" s="15">
        <f t="shared" si="49"/>
        <v>10000</v>
      </c>
      <c r="T266" s="15" t="str">
        <f t="shared" si="50"/>
        <v>中级专属强化石</v>
      </c>
      <c r="U266" s="15">
        <f t="shared" si="51"/>
        <v>8</v>
      </c>
      <c r="V266" s="15" t="str">
        <f t="shared" si="52"/>
        <v>高级专属强化石</v>
      </c>
      <c r="W266" s="15">
        <f t="shared" si="53"/>
        <v>3</v>
      </c>
      <c r="X266" s="15">
        <f t="shared" si="54"/>
        <v>0.1</v>
      </c>
      <c r="Y266" s="15">
        <f t="shared" si="55"/>
        <v>1</v>
      </c>
      <c r="Z266" s="15">
        <f t="shared" si="56"/>
        <v>30</v>
      </c>
      <c r="AA266" s="15">
        <f t="shared" si="57"/>
        <v>0.48</v>
      </c>
    </row>
    <row r="267" spans="13:27" ht="16.5" x14ac:dyDescent="0.2">
      <c r="M267" s="15">
        <v>188</v>
      </c>
      <c r="N267" s="15">
        <f t="shared" si="46"/>
        <v>4</v>
      </c>
      <c r="O267" s="15">
        <f>INDEX(卡牌消耗!$H$13:$H$33,世界BOSS专属武器!N267)</f>
        <v>1501004</v>
      </c>
      <c r="P267" s="49" t="s">
        <v>480</v>
      </c>
      <c r="Q267" s="15">
        <f t="shared" si="47"/>
        <v>34</v>
      </c>
      <c r="R267" s="49" t="str">
        <f t="shared" si="48"/>
        <v>金币</v>
      </c>
      <c r="S267" s="15">
        <f t="shared" si="49"/>
        <v>10000</v>
      </c>
      <c r="T267" s="15" t="str">
        <f t="shared" si="50"/>
        <v>中级专属强化石</v>
      </c>
      <c r="U267" s="15">
        <f t="shared" si="51"/>
        <v>8</v>
      </c>
      <c r="V267" s="15" t="str">
        <f t="shared" si="52"/>
        <v>高级专属强化石</v>
      </c>
      <c r="W267" s="15">
        <f t="shared" si="53"/>
        <v>3</v>
      </c>
      <c r="X267" s="15">
        <f t="shared" si="54"/>
        <v>0.1</v>
      </c>
      <c r="Y267" s="15">
        <f t="shared" si="55"/>
        <v>1</v>
      </c>
      <c r="Z267" s="15">
        <f t="shared" si="56"/>
        <v>30</v>
      </c>
      <c r="AA267" s="15">
        <f t="shared" si="57"/>
        <v>0.50670000000000004</v>
      </c>
    </row>
    <row r="268" spans="13:27" ht="16.5" x14ac:dyDescent="0.2">
      <c r="M268" s="15">
        <v>189</v>
      </c>
      <c r="N268" s="15">
        <f t="shared" si="46"/>
        <v>4</v>
      </c>
      <c r="O268" s="15">
        <f>INDEX(卡牌消耗!$H$13:$H$33,世界BOSS专属武器!N268)</f>
        <v>1501004</v>
      </c>
      <c r="P268" s="49" t="s">
        <v>480</v>
      </c>
      <c r="Q268" s="15">
        <f t="shared" si="47"/>
        <v>35</v>
      </c>
      <c r="R268" s="49" t="str">
        <f t="shared" si="48"/>
        <v>金币</v>
      </c>
      <c r="S268" s="15">
        <f t="shared" si="49"/>
        <v>10000</v>
      </c>
      <c r="T268" s="15" t="str">
        <f t="shared" si="50"/>
        <v>中级专属强化石</v>
      </c>
      <c r="U268" s="15">
        <f t="shared" si="51"/>
        <v>8</v>
      </c>
      <c r="V268" s="15" t="str">
        <f t="shared" si="52"/>
        <v>高级专属强化石</v>
      </c>
      <c r="W268" s="15">
        <f t="shared" si="53"/>
        <v>3</v>
      </c>
      <c r="X268" s="15">
        <f t="shared" si="54"/>
        <v>0.1</v>
      </c>
      <c r="Y268" s="15">
        <f t="shared" si="55"/>
        <v>1</v>
      </c>
      <c r="Z268" s="15">
        <f t="shared" si="56"/>
        <v>30</v>
      </c>
      <c r="AA268" s="15">
        <f t="shared" si="57"/>
        <v>0.5333</v>
      </c>
    </row>
    <row r="269" spans="13:27" ht="16.5" x14ac:dyDescent="0.2">
      <c r="M269" s="15">
        <v>190</v>
      </c>
      <c r="N269" s="15">
        <f t="shared" si="46"/>
        <v>4</v>
      </c>
      <c r="O269" s="15">
        <f>INDEX(卡牌消耗!$H$13:$H$33,世界BOSS专属武器!N269)</f>
        <v>1501004</v>
      </c>
      <c r="P269" s="49" t="s">
        <v>480</v>
      </c>
      <c r="Q269" s="15">
        <f t="shared" si="47"/>
        <v>36</v>
      </c>
      <c r="R269" s="49" t="str">
        <f t="shared" si="48"/>
        <v>金币</v>
      </c>
      <c r="S269" s="15">
        <f t="shared" si="49"/>
        <v>10000</v>
      </c>
      <c r="T269" s="15" t="str">
        <f t="shared" si="50"/>
        <v>中级专属强化石</v>
      </c>
      <c r="U269" s="15">
        <f t="shared" si="51"/>
        <v>8</v>
      </c>
      <c r="V269" s="15" t="str">
        <f t="shared" si="52"/>
        <v>高级专属强化石</v>
      </c>
      <c r="W269" s="15">
        <f t="shared" si="53"/>
        <v>3</v>
      </c>
      <c r="X269" s="15">
        <f t="shared" si="54"/>
        <v>0.1</v>
      </c>
      <c r="Y269" s="15">
        <f t="shared" si="55"/>
        <v>1</v>
      </c>
      <c r="Z269" s="15">
        <f t="shared" si="56"/>
        <v>30</v>
      </c>
      <c r="AA269" s="15">
        <f t="shared" si="57"/>
        <v>0.56000000000000005</v>
      </c>
    </row>
    <row r="270" spans="13:27" ht="16.5" x14ac:dyDescent="0.2">
      <c r="M270" s="15">
        <v>191</v>
      </c>
      <c r="N270" s="15">
        <f t="shared" si="46"/>
        <v>4</v>
      </c>
      <c r="O270" s="15">
        <f>INDEX(卡牌消耗!$H$13:$H$33,世界BOSS专属武器!N270)</f>
        <v>1501004</v>
      </c>
      <c r="P270" s="49" t="s">
        <v>480</v>
      </c>
      <c r="Q270" s="15">
        <f t="shared" si="47"/>
        <v>37</v>
      </c>
      <c r="R270" s="49" t="str">
        <f t="shared" si="48"/>
        <v>金币</v>
      </c>
      <c r="S270" s="15">
        <f t="shared" si="49"/>
        <v>10000</v>
      </c>
      <c r="T270" s="15" t="str">
        <f t="shared" si="50"/>
        <v>中级专属强化石</v>
      </c>
      <c r="U270" s="15">
        <f t="shared" si="51"/>
        <v>8</v>
      </c>
      <c r="V270" s="15" t="str">
        <f t="shared" si="52"/>
        <v>高级专属强化石</v>
      </c>
      <c r="W270" s="15">
        <f t="shared" si="53"/>
        <v>3</v>
      </c>
      <c r="X270" s="15">
        <f t="shared" si="54"/>
        <v>0.1</v>
      </c>
      <c r="Y270" s="15">
        <f t="shared" si="55"/>
        <v>1</v>
      </c>
      <c r="Z270" s="15">
        <f t="shared" si="56"/>
        <v>30</v>
      </c>
      <c r="AA270" s="15">
        <f t="shared" si="57"/>
        <v>0.5867</v>
      </c>
    </row>
    <row r="271" spans="13:27" ht="16.5" x14ac:dyDescent="0.2">
      <c r="M271" s="15">
        <v>192</v>
      </c>
      <c r="N271" s="15">
        <f t="shared" si="46"/>
        <v>4</v>
      </c>
      <c r="O271" s="15">
        <f>INDEX(卡牌消耗!$H$13:$H$33,世界BOSS专属武器!N271)</f>
        <v>1501004</v>
      </c>
      <c r="P271" s="49" t="s">
        <v>480</v>
      </c>
      <c r="Q271" s="15">
        <f t="shared" si="47"/>
        <v>38</v>
      </c>
      <c r="R271" s="49" t="str">
        <f t="shared" si="48"/>
        <v>金币</v>
      </c>
      <c r="S271" s="15">
        <f t="shared" si="49"/>
        <v>10000</v>
      </c>
      <c r="T271" s="15" t="str">
        <f t="shared" si="50"/>
        <v>中级专属强化石</v>
      </c>
      <c r="U271" s="15">
        <f t="shared" si="51"/>
        <v>8</v>
      </c>
      <c r="V271" s="15" t="str">
        <f t="shared" si="52"/>
        <v>高级专属强化石</v>
      </c>
      <c r="W271" s="15">
        <f t="shared" si="53"/>
        <v>3</v>
      </c>
      <c r="X271" s="15">
        <f t="shared" si="54"/>
        <v>0.1</v>
      </c>
      <c r="Y271" s="15">
        <f t="shared" si="55"/>
        <v>1</v>
      </c>
      <c r="Z271" s="15">
        <f t="shared" si="56"/>
        <v>30</v>
      </c>
      <c r="AA271" s="15">
        <f t="shared" si="57"/>
        <v>0.61329999999999996</v>
      </c>
    </row>
    <row r="272" spans="13:27" ht="16.5" x14ac:dyDescent="0.2">
      <c r="M272" s="15">
        <v>193</v>
      </c>
      <c r="N272" s="15">
        <f t="shared" si="46"/>
        <v>4</v>
      </c>
      <c r="O272" s="15">
        <f>INDEX(卡牌消耗!$H$13:$H$33,世界BOSS专属武器!N272)</f>
        <v>1501004</v>
      </c>
      <c r="P272" s="49" t="s">
        <v>480</v>
      </c>
      <c r="Q272" s="15">
        <f t="shared" si="47"/>
        <v>39</v>
      </c>
      <c r="R272" s="49" t="str">
        <f t="shared" si="48"/>
        <v>金币</v>
      </c>
      <c r="S272" s="15">
        <f t="shared" si="49"/>
        <v>10000</v>
      </c>
      <c r="T272" s="15" t="str">
        <f t="shared" si="50"/>
        <v>中级专属强化石</v>
      </c>
      <c r="U272" s="15">
        <f t="shared" si="51"/>
        <v>8</v>
      </c>
      <c r="V272" s="15" t="str">
        <f t="shared" si="52"/>
        <v>高级专属强化石</v>
      </c>
      <c r="W272" s="15">
        <f t="shared" si="53"/>
        <v>3</v>
      </c>
      <c r="X272" s="15">
        <f t="shared" si="54"/>
        <v>0.1</v>
      </c>
      <c r="Y272" s="15">
        <f t="shared" si="55"/>
        <v>1</v>
      </c>
      <c r="Z272" s="15">
        <f t="shared" si="56"/>
        <v>30</v>
      </c>
      <c r="AA272" s="15">
        <f t="shared" si="57"/>
        <v>0.64</v>
      </c>
    </row>
    <row r="273" spans="13:27" ht="16.5" x14ac:dyDescent="0.2">
      <c r="M273" s="15">
        <v>194</v>
      </c>
      <c r="N273" s="15">
        <f t="shared" ref="N273:N336" si="58">INT((M273-1)/51)+1</f>
        <v>4</v>
      </c>
      <c r="O273" s="15">
        <f>INDEX(卡牌消耗!$H$13:$H$33,世界BOSS专属武器!N273)</f>
        <v>1501004</v>
      </c>
      <c r="P273" s="49" t="s">
        <v>480</v>
      </c>
      <c r="Q273" s="15">
        <f t="shared" ref="Q273:Q336" si="59">MOD(M273-1,51)</f>
        <v>40</v>
      </c>
      <c r="R273" s="49" t="str">
        <f t="shared" ref="R273:R336" si="60">IF(Q273&gt;0,"金币","[x]")</f>
        <v>金币</v>
      </c>
      <c r="S273" s="15">
        <f t="shared" ref="S273:S336" si="61">IF(Q273&gt;0,INDEX($V$27:$V$76,Q273),"[x]")</f>
        <v>20000</v>
      </c>
      <c r="T273" s="15" t="str">
        <f t="shared" ref="T273:T336" si="62">IF(Q273&gt;0,INDEX($W$27:$W$76,Q273),"[x]")</f>
        <v>高级专属强化石</v>
      </c>
      <c r="U273" s="15">
        <f t="shared" ref="U273:U336" si="63">IF(Q273&gt;0,INDEX($AA$27:$AF$76,Q273,INDEX($Y$27:$Y$76,Q273)),"[x]")</f>
        <v>5</v>
      </c>
      <c r="V273" s="15" t="str">
        <f t="shared" ref="V273:V336" si="64">IF(AND(Q273&gt;=20,Q273&lt;40),INDEX($X$27:$X$76,Q273),"[x]")</f>
        <v>[x]</v>
      </c>
      <c r="W273" s="15" t="str">
        <f t="shared" ref="W273:W336" si="65">IF(AND(Q273&gt;=20,Q273&lt;40),INDEX($AA$27:$AF$76,Q273,INDEX($Z$27:$Z$76,Q273)),"[x]")</f>
        <v>[x]</v>
      </c>
      <c r="X273" s="15">
        <f t="shared" ref="X273:X336" si="66">IF(Q273&gt;0,INDEX($T$27:$T$76,Q273),"[x]")</f>
        <v>0.1</v>
      </c>
      <c r="Y273" s="15">
        <f t="shared" ref="Y273:Y336" si="67">IF(Q273&gt;0,1,"[x]")</f>
        <v>1</v>
      </c>
      <c r="Z273" s="15">
        <f t="shared" ref="Z273:Z336" si="68">IF(Q273&gt;0,INDEX($AG$27:$AG$76,Q273),"[x]")</f>
        <v>35</v>
      </c>
      <c r="AA273" s="15">
        <f t="shared" ref="AA273:AA336" si="69">IF(Q273&gt;0,INDEX($AL$27:$AL$76,Q273),"[x]")</f>
        <v>0.66669999999999996</v>
      </c>
    </row>
    <row r="274" spans="13:27" ht="16.5" x14ac:dyDescent="0.2">
      <c r="M274" s="15">
        <v>195</v>
      </c>
      <c r="N274" s="15">
        <f t="shared" si="58"/>
        <v>4</v>
      </c>
      <c r="O274" s="15">
        <f>INDEX(卡牌消耗!$H$13:$H$33,世界BOSS专属武器!N274)</f>
        <v>1501004</v>
      </c>
      <c r="P274" s="49" t="s">
        <v>480</v>
      </c>
      <c r="Q274" s="15">
        <f t="shared" si="59"/>
        <v>41</v>
      </c>
      <c r="R274" s="49" t="str">
        <f t="shared" si="60"/>
        <v>金币</v>
      </c>
      <c r="S274" s="15">
        <f t="shared" si="61"/>
        <v>20000</v>
      </c>
      <c r="T274" s="15" t="str">
        <f t="shared" si="62"/>
        <v>高级专属强化石</v>
      </c>
      <c r="U274" s="15">
        <f t="shared" si="63"/>
        <v>5</v>
      </c>
      <c r="V274" s="15" t="str">
        <f t="shared" si="64"/>
        <v>[x]</v>
      </c>
      <c r="W274" s="15" t="str">
        <f t="shared" si="65"/>
        <v>[x]</v>
      </c>
      <c r="X274" s="15">
        <f t="shared" si="66"/>
        <v>0.1</v>
      </c>
      <c r="Y274" s="15">
        <f t="shared" si="67"/>
        <v>1</v>
      </c>
      <c r="Z274" s="15">
        <f t="shared" si="68"/>
        <v>40</v>
      </c>
      <c r="AA274" s="15">
        <f t="shared" si="69"/>
        <v>0.7</v>
      </c>
    </row>
    <row r="275" spans="13:27" ht="16.5" x14ac:dyDescent="0.2">
      <c r="M275" s="15">
        <v>196</v>
      </c>
      <c r="N275" s="15">
        <f t="shared" si="58"/>
        <v>4</v>
      </c>
      <c r="O275" s="15">
        <f>INDEX(卡牌消耗!$H$13:$H$33,世界BOSS专属武器!N275)</f>
        <v>1501004</v>
      </c>
      <c r="P275" s="49" t="s">
        <v>480</v>
      </c>
      <c r="Q275" s="15">
        <f t="shared" si="59"/>
        <v>42</v>
      </c>
      <c r="R275" s="49" t="str">
        <f t="shared" si="60"/>
        <v>金币</v>
      </c>
      <c r="S275" s="15">
        <f t="shared" si="61"/>
        <v>20000</v>
      </c>
      <c r="T275" s="15" t="str">
        <f t="shared" si="62"/>
        <v>高级专属强化石</v>
      </c>
      <c r="U275" s="15">
        <f t="shared" si="63"/>
        <v>5</v>
      </c>
      <c r="V275" s="15" t="str">
        <f t="shared" si="64"/>
        <v>[x]</v>
      </c>
      <c r="W275" s="15" t="str">
        <f t="shared" si="65"/>
        <v>[x]</v>
      </c>
      <c r="X275" s="15">
        <f t="shared" si="66"/>
        <v>0.1</v>
      </c>
      <c r="Y275" s="15">
        <f t="shared" si="67"/>
        <v>1</v>
      </c>
      <c r="Z275" s="15">
        <f t="shared" si="68"/>
        <v>45</v>
      </c>
      <c r="AA275" s="15">
        <f t="shared" si="69"/>
        <v>0.73329999999999995</v>
      </c>
    </row>
    <row r="276" spans="13:27" ht="16.5" x14ac:dyDescent="0.2">
      <c r="M276" s="15">
        <v>197</v>
      </c>
      <c r="N276" s="15">
        <f t="shared" si="58"/>
        <v>4</v>
      </c>
      <c r="O276" s="15">
        <f>INDEX(卡牌消耗!$H$13:$H$33,世界BOSS专属武器!N276)</f>
        <v>1501004</v>
      </c>
      <c r="P276" s="49" t="s">
        <v>480</v>
      </c>
      <c r="Q276" s="15">
        <f t="shared" si="59"/>
        <v>43</v>
      </c>
      <c r="R276" s="49" t="str">
        <f t="shared" si="60"/>
        <v>金币</v>
      </c>
      <c r="S276" s="15">
        <f t="shared" si="61"/>
        <v>20000</v>
      </c>
      <c r="T276" s="15" t="str">
        <f t="shared" si="62"/>
        <v>高级专属强化石</v>
      </c>
      <c r="U276" s="15">
        <f t="shared" si="63"/>
        <v>5</v>
      </c>
      <c r="V276" s="15" t="str">
        <f t="shared" si="64"/>
        <v>[x]</v>
      </c>
      <c r="W276" s="15" t="str">
        <f t="shared" si="65"/>
        <v>[x]</v>
      </c>
      <c r="X276" s="15">
        <f t="shared" si="66"/>
        <v>0.1</v>
      </c>
      <c r="Y276" s="15">
        <f t="shared" si="67"/>
        <v>1</v>
      </c>
      <c r="Z276" s="15">
        <f t="shared" si="68"/>
        <v>50</v>
      </c>
      <c r="AA276" s="15">
        <f t="shared" si="69"/>
        <v>0.76670000000000005</v>
      </c>
    </row>
    <row r="277" spans="13:27" ht="16.5" x14ac:dyDescent="0.2">
      <c r="M277" s="15">
        <v>198</v>
      </c>
      <c r="N277" s="15">
        <f t="shared" si="58"/>
        <v>4</v>
      </c>
      <c r="O277" s="15">
        <f>INDEX(卡牌消耗!$H$13:$H$33,世界BOSS专属武器!N277)</f>
        <v>1501004</v>
      </c>
      <c r="P277" s="49" t="s">
        <v>480</v>
      </c>
      <c r="Q277" s="15">
        <f t="shared" si="59"/>
        <v>44</v>
      </c>
      <c r="R277" s="49" t="str">
        <f t="shared" si="60"/>
        <v>金币</v>
      </c>
      <c r="S277" s="15">
        <f t="shared" si="61"/>
        <v>20000</v>
      </c>
      <c r="T277" s="15" t="str">
        <f t="shared" si="62"/>
        <v>高级专属强化石</v>
      </c>
      <c r="U277" s="15">
        <f t="shared" si="63"/>
        <v>5</v>
      </c>
      <c r="V277" s="15" t="str">
        <f t="shared" si="64"/>
        <v>[x]</v>
      </c>
      <c r="W277" s="15" t="str">
        <f t="shared" si="65"/>
        <v>[x]</v>
      </c>
      <c r="X277" s="15">
        <f t="shared" si="66"/>
        <v>0.1</v>
      </c>
      <c r="Y277" s="15">
        <f t="shared" si="67"/>
        <v>1</v>
      </c>
      <c r="Z277" s="15">
        <f t="shared" si="68"/>
        <v>55</v>
      </c>
      <c r="AA277" s="15">
        <f t="shared" si="69"/>
        <v>0.8</v>
      </c>
    </row>
    <row r="278" spans="13:27" ht="16.5" x14ac:dyDescent="0.2">
      <c r="M278" s="15">
        <v>199</v>
      </c>
      <c r="N278" s="15">
        <f t="shared" si="58"/>
        <v>4</v>
      </c>
      <c r="O278" s="15">
        <f>INDEX(卡牌消耗!$H$13:$H$33,世界BOSS专属武器!N278)</f>
        <v>1501004</v>
      </c>
      <c r="P278" s="49" t="s">
        <v>480</v>
      </c>
      <c r="Q278" s="15">
        <f t="shared" si="59"/>
        <v>45</v>
      </c>
      <c r="R278" s="49" t="str">
        <f t="shared" si="60"/>
        <v>金币</v>
      </c>
      <c r="S278" s="15">
        <f t="shared" si="61"/>
        <v>20000</v>
      </c>
      <c r="T278" s="15" t="str">
        <f t="shared" si="62"/>
        <v>高级专属强化石</v>
      </c>
      <c r="U278" s="15">
        <f t="shared" si="63"/>
        <v>6</v>
      </c>
      <c r="V278" s="15" t="str">
        <f t="shared" si="64"/>
        <v>[x]</v>
      </c>
      <c r="W278" s="15" t="str">
        <f t="shared" si="65"/>
        <v>[x]</v>
      </c>
      <c r="X278" s="15">
        <f t="shared" si="66"/>
        <v>0.1</v>
      </c>
      <c r="Y278" s="15">
        <f t="shared" si="67"/>
        <v>1</v>
      </c>
      <c r="Z278" s="15">
        <f t="shared" si="68"/>
        <v>60</v>
      </c>
      <c r="AA278" s="15">
        <f t="shared" si="69"/>
        <v>0.83330000000000004</v>
      </c>
    </row>
    <row r="279" spans="13:27" ht="16.5" x14ac:dyDescent="0.2">
      <c r="M279" s="15">
        <v>200</v>
      </c>
      <c r="N279" s="15">
        <f t="shared" si="58"/>
        <v>4</v>
      </c>
      <c r="O279" s="15">
        <f>INDEX(卡牌消耗!$H$13:$H$33,世界BOSS专属武器!N279)</f>
        <v>1501004</v>
      </c>
      <c r="P279" s="49" t="s">
        <v>480</v>
      </c>
      <c r="Q279" s="15">
        <f t="shared" si="59"/>
        <v>46</v>
      </c>
      <c r="R279" s="49" t="str">
        <f t="shared" si="60"/>
        <v>金币</v>
      </c>
      <c r="S279" s="15">
        <f t="shared" si="61"/>
        <v>20000</v>
      </c>
      <c r="T279" s="15" t="str">
        <f t="shared" si="62"/>
        <v>高级专属强化石</v>
      </c>
      <c r="U279" s="15">
        <f t="shared" si="63"/>
        <v>7</v>
      </c>
      <c r="V279" s="15" t="str">
        <f t="shared" si="64"/>
        <v>[x]</v>
      </c>
      <c r="W279" s="15" t="str">
        <f t="shared" si="65"/>
        <v>[x]</v>
      </c>
      <c r="X279" s="15">
        <f t="shared" si="66"/>
        <v>0.1</v>
      </c>
      <c r="Y279" s="15">
        <f t="shared" si="67"/>
        <v>1</v>
      </c>
      <c r="Z279" s="15">
        <f t="shared" si="68"/>
        <v>70</v>
      </c>
      <c r="AA279" s="15">
        <f t="shared" si="69"/>
        <v>0.86670000000000003</v>
      </c>
    </row>
    <row r="280" spans="13:27" ht="16.5" x14ac:dyDescent="0.2">
      <c r="M280" s="15">
        <v>201</v>
      </c>
      <c r="N280" s="15">
        <f t="shared" si="58"/>
        <v>4</v>
      </c>
      <c r="O280" s="15">
        <f>INDEX(卡牌消耗!$H$13:$H$33,世界BOSS专属武器!N280)</f>
        <v>1501004</v>
      </c>
      <c r="P280" s="49" t="s">
        <v>480</v>
      </c>
      <c r="Q280" s="15">
        <f t="shared" si="59"/>
        <v>47</v>
      </c>
      <c r="R280" s="49" t="str">
        <f t="shared" si="60"/>
        <v>金币</v>
      </c>
      <c r="S280" s="15">
        <f t="shared" si="61"/>
        <v>20000</v>
      </c>
      <c r="T280" s="15" t="str">
        <f t="shared" si="62"/>
        <v>高级专属强化石</v>
      </c>
      <c r="U280" s="15">
        <f t="shared" si="63"/>
        <v>8</v>
      </c>
      <c r="V280" s="15" t="str">
        <f t="shared" si="64"/>
        <v>[x]</v>
      </c>
      <c r="W280" s="15" t="str">
        <f t="shared" si="65"/>
        <v>[x]</v>
      </c>
      <c r="X280" s="15">
        <f t="shared" si="66"/>
        <v>0.1</v>
      </c>
      <c r="Y280" s="15">
        <f t="shared" si="67"/>
        <v>1</v>
      </c>
      <c r="Z280" s="15">
        <f t="shared" si="68"/>
        <v>80</v>
      </c>
      <c r="AA280" s="15">
        <f t="shared" si="69"/>
        <v>0.9</v>
      </c>
    </row>
    <row r="281" spans="13:27" ht="16.5" x14ac:dyDescent="0.2">
      <c r="M281" s="15">
        <v>202</v>
      </c>
      <c r="N281" s="15">
        <f t="shared" si="58"/>
        <v>4</v>
      </c>
      <c r="O281" s="15">
        <f>INDEX(卡牌消耗!$H$13:$H$33,世界BOSS专属武器!N281)</f>
        <v>1501004</v>
      </c>
      <c r="P281" s="49" t="s">
        <v>480</v>
      </c>
      <c r="Q281" s="15">
        <f t="shared" si="59"/>
        <v>48</v>
      </c>
      <c r="R281" s="49" t="str">
        <f t="shared" si="60"/>
        <v>金币</v>
      </c>
      <c r="S281" s="15">
        <f t="shared" si="61"/>
        <v>20000</v>
      </c>
      <c r="T281" s="15" t="str">
        <f t="shared" si="62"/>
        <v>高级专属强化石</v>
      </c>
      <c r="U281" s="15">
        <f t="shared" si="63"/>
        <v>9</v>
      </c>
      <c r="V281" s="15" t="str">
        <f t="shared" si="64"/>
        <v>[x]</v>
      </c>
      <c r="W281" s="15" t="str">
        <f t="shared" si="65"/>
        <v>[x]</v>
      </c>
      <c r="X281" s="15">
        <f t="shared" si="66"/>
        <v>0.1</v>
      </c>
      <c r="Y281" s="15">
        <f t="shared" si="67"/>
        <v>1</v>
      </c>
      <c r="Z281" s="15">
        <f t="shared" si="68"/>
        <v>100</v>
      </c>
      <c r="AA281" s="15">
        <f t="shared" si="69"/>
        <v>0.93330000000000002</v>
      </c>
    </row>
    <row r="282" spans="13:27" ht="16.5" x14ac:dyDescent="0.2">
      <c r="M282" s="15">
        <v>203</v>
      </c>
      <c r="N282" s="15">
        <f t="shared" si="58"/>
        <v>4</v>
      </c>
      <c r="O282" s="15">
        <f>INDEX(卡牌消耗!$H$13:$H$33,世界BOSS专属武器!N282)</f>
        <v>1501004</v>
      </c>
      <c r="P282" s="49" t="s">
        <v>480</v>
      </c>
      <c r="Q282" s="15">
        <f t="shared" si="59"/>
        <v>49</v>
      </c>
      <c r="R282" s="49" t="str">
        <f t="shared" si="60"/>
        <v>金币</v>
      </c>
      <c r="S282" s="15">
        <f t="shared" si="61"/>
        <v>20000</v>
      </c>
      <c r="T282" s="15" t="str">
        <f t="shared" si="62"/>
        <v>高级专属强化石</v>
      </c>
      <c r="U282" s="15">
        <f t="shared" si="63"/>
        <v>10</v>
      </c>
      <c r="V282" s="15" t="str">
        <f t="shared" si="64"/>
        <v>[x]</v>
      </c>
      <c r="W282" s="15" t="str">
        <f t="shared" si="65"/>
        <v>[x]</v>
      </c>
      <c r="X282" s="15">
        <f t="shared" si="66"/>
        <v>0.1</v>
      </c>
      <c r="Y282" s="15">
        <f t="shared" si="67"/>
        <v>1</v>
      </c>
      <c r="Z282" s="15">
        <f t="shared" si="68"/>
        <v>120</v>
      </c>
      <c r="AA282" s="15">
        <f t="shared" si="69"/>
        <v>0.9667</v>
      </c>
    </row>
    <row r="283" spans="13:27" ht="16.5" x14ac:dyDescent="0.2">
      <c r="M283" s="15">
        <v>204</v>
      </c>
      <c r="N283" s="15">
        <f t="shared" si="58"/>
        <v>4</v>
      </c>
      <c r="O283" s="15">
        <f>INDEX(卡牌消耗!$H$13:$H$33,世界BOSS专属武器!N283)</f>
        <v>1501004</v>
      </c>
      <c r="P283" s="49" t="s">
        <v>480</v>
      </c>
      <c r="Q283" s="15">
        <f t="shared" si="59"/>
        <v>50</v>
      </c>
      <c r="R283" s="49" t="str">
        <f t="shared" si="60"/>
        <v>金币</v>
      </c>
      <c r="S283" s="15">
        <f t="shared" si="61"/>
        <v>20000</v>
      </c>
      <c r="T283" s="15" t="str">
        <f t="shared" si="62"/>
        <v>高级专属强化石</v>
      </c>
      <c r="U283" s="15">
        <f t="shared" si="63"/>
        <v>15</v>
      </c>
      <c r="V283" s="15" t="str">
        <f t="shared" si="64"/>
        <v>[x]</v>
      </c>
      <c r="W283" s="15" t="str">
        <f t="shared" si="65"/>
        <v>[x]</v>
      </c>
      <c r="X283" s="15">
        <f t="shared" si="66"/>
        <v>0.1</v>
      </c>
      <c r="Y283" s="15">
        <f t="shared" si="67"/>
        <v>1</v>
      </c>
      <c r="Z283" s="15">
        <f t="shared" si="68"/>
        <v>150</v>
      </c>
      <c r="AA283" s="15">
        <f t="shared" si="69"/>
        <v>1</v>
      </c>
    </row>
    <row r="284" spans="13:27" ht="16.5" x14ac:dyDescent="0.2">
      <c r="M284" s="15">
        <v>205</v>
      </c>
      <c r="N284" s="15">
        <f t="shared" si="58"/>
        <v>5</v>
      </c>
      <c r="O284" s="15">
        <f>INDEX(卡牌消耗!$H$13:$H$33,世界BOSS专属武器!N284)</f>
        <v>1501005</v>
      </c>
      <c r="P284" s="49" t="s">
        <v>480</v>
      </c>
      <c r="Q284" s="15">
        <f t="shared" si="59"/>
        <v>0</v>
      </c>
      <c r="R284" s="49" t="str">
        <f t="shared" si="60"/>
        <v>[x]</v>
      </c>
      <c r="S284" s="15" t="str">
        <f t="shared" si="61"/>
        <v>[x]</v>
      </c>
      <c r="T284" s="15" t="str">
        <f t="shared" si="62"/>
        <v>[x]</v>
      </c>
      <c r="U284" s="15" t="str">
        <f t="shared" si="63"/>
        <v>[x]</v>
      </c>
      <c r="V284" s="15" t="str">
        <f t="shared" si="64"/>
        <v>[x]</v>
      </c>
      <c r="W284" s="15" t="str">
        <f t="shared" si="65"/>
        <v>[x]</v>
      </c>
      <c r="X284" s="15" t="str">
        <f t="shared" si="66"/>
        <v>[x]</v>
      </c>
      <c r="Y284" s="15" t="str">
        <f t="shared" si="67"/>
        <v>[x]</v>
      </c>
      <c r="Z284" s="15" t="str">
        <f t="shared" si="68"/>
        <v>[x]</v>
      </c>
      <c r="AA284" s="15" t="str">
        <f t="shared" si="69"/>
        <v>[x]</v>
      </c>
    </row>
    <row r="285" spans="13:27" ht="16.5" x14ac:dyDescent="0.2">
      <c r="M285" s="15">
        <v>206</v>
      </c>
      <c r="N285" s="15">
        <f t="shared" si="58"/>
        <v>5</v>
      </c>
      <c r="O285" s="15">
        <f>INDEX(卡牌消耗!$H$13:$H$33,世界BOSS专属武器!N285)</f>
        <v>1501005</v>
      </c>
      <c r="P285" s="49" t="s">
        <v>480</v>
      </c>
      <c r="Q285" s="15">
        <f t="shared" si="59"/>
        <v>1</v>
      </c>
      <c r="R285" s="49" t="str">
        <f t="shared" si="60"/>
        <v>金币</v>
      </c>
      <c r="S285" s="15">
        <f t="shared" si="61"/>
        <v>100</v>
      </c>
      <c r="T285" s="15" t="str">
        <f t="shared" si="62"/>
        <v>低级专属强化石</v>
      </c>
      <c r="U285" s="15">
        <f t="shared" si="63"/>
        <v>1</v>
      </c>
      <c r="V285" s="15" t="str">
        <f t="shared" si="64"/>
        <v>[x]</v>
      </c>
      <c r="W285" s="15" t="str">
        <f t="shared" si="65"/>
        <v>[x]</v>
      </c>
      <c r="X285" s="15">
        <f t="shared" si="66"/>
        <v>1</v>
      </c>
      <c r="Y285" s="15">
        <f t="shared" si="67"/>
        <v>1</v>
      </c>
      <c r="Z285" s="15">
        <f t="shared" si="68"/>
        <v>1</v>
      </c>
      <c r="AA285" s="15">
        <f t="shared" si="69"/>
        <v>6.7000000000000002E-3</v>
      </c>
    </row>
    <row r="286" spans="13:27" ht="16.5" x14ac:dyDescent="0.2">
      <c r="M286" s="15">
        <v>207</v>
      </c>
      <c r="N286" s="15">
        <f t="shared" si="58"/>
        <v>5</v>
      </c>
      <c r="O286" s="15">
        <f>INDEX(卡牌消耗!$H$13:$H$33,世界BOSS专属武器!N286)</f>
        <v>1501005</v>
      </c>
      <c r="P286" s="49" t="s">
        <v>480</v>
      </c>
      <c r="Q286" s="15">
        <f t="shared" si="59"/>
        <v>2</v>
      </c>
      <c r="R286" s="49" t="str">
        <f t="shared" si="60"/>
        <v>金币</v>
      </c>
      <c r="S286" s="15">
        <f t="shared" si="61"/>
        <v>200</v>
      </c>
      <c r="T286" s="15" t="str">
        <f t="shared" si="62"/>
        <v>低级专属强化石</v>
      </c>
      <c r="U286" s="15">
        <f t="shared" si="63"/>
        <v>1</v>
      </c>
      <c r="V286" s="15" t="str">
        <f t="shared" si="64"/>
        <v>[x]</v>
      </c>
      <c r="W286" s="15" t="str">
        <f t="shared" si="65"/>
        <v>[x]</v>
      </c>
      <c r="X286" s="15">
        <f t="shared" si="66"/>
        <v>0.5</v>
      </c>
      <c r="Y286" s="15">
        <f t="shared" si="67"/>
        <v>1</v>
      </c>
      <c r="Z286" s="15">
        <f t="shared" si="68"/>
        <v>2</v>
      </c>
      <c r="AA286" s="15">
        <f t="shared" si="69"/>
        <v>1.3299999999999999E-2</v>
      </c>
    </row>
    <row r="287" spans="13:27" ht="16.5" x14ac:dyDescent="0.2">
      <c r="M287" s="15">
        <v>208</v>
      </c>
      <c r="N287" s="15">
        <f t="shared" si="58"/>
        <v>5</v>
      </c>
      <c r="O287" s="15">
        <f>INDEX(卡牌消耗!$H$13:$H$33,世界BOSS专属武器!N287)</f>
        <v>1501005</v>
      </c>
      <c r="P287" s="49" t="s">
        <v>480</v>
      </c>
      <c r="Q287" s="15">
        <f t="shared" si="59"/>
        <v>3</v>
      </c>
      <c r="R287" s="49" t="str">
        <f t="shared" si="60"/>
        <v>金币</v>
      </c>
      <c r="S287" s="15">
        <f t="shared" si="61"/>
        <v>300</v>
      </c>
      <c r="T287" s="15" t="str">
        <f t="shared" si="62"/>
        <v>低级专属强化石</v>
      </c>
      <c r="U287" s="15">
        <f t="shared" si="63"/>
        <v>2</v>
      </c>
      <c r="V287" s="15" t="str">
        <f t="shared" si="64"/>
        <v>[x]</v>
      </c>
      <c r="W287" s="15" t="str">
        <f t="shared" si="65"/>
        <v>[x]</v>
      </c>
      <c r="X287" s="15">
        <f t="shared" si="66"/>
        <v>0.48</v>
      </c>
      <c r="Y287" s="15">
        <f t="shared" si="67"/>
        <v>1</v>
      </c>
      <c r="Z287" s="15">
        <f t="shared" si="68"/>
        <v>3</v>
      </c>
      <c r="AA287" s="15">
        <f t="shared" si="69"/>
        <v>0.02</v>
      </c>
    </row>
    <row r="288" spans="13:27" ht="16.5" x14ac:dyDescent="0.2">
      <c r="M288" s="15">
        <v>209</v>
      </c>
      <c r="N288" s="15">
        <f t="shared" si="58"/>
        <v>5</v>
      </c>
      <c r="O288" s="15">
        <f>INDEX(卡牌消耗!$H$13:$H$33,世界BOSS专属武器!N288)</f>
        <v>1501005</v>
      </c>
      <c r="P288" s="49" t="s">
        <v>480</v>
      </c>
      <c r="Q288" s="15">
        <f t="shared" si="59"/>
        <v>4</v>
      </c>
      <c r="R288" s="49" t="str">
        <f t="shared" si="60"/>
        <v>金币</v>
      </c>
      <c r="S288" s="15">
        <f t="shared" si="61"/>
        <v>400</v>
      </c>
      <c r="T288" s="15" t="str">
        <f t="shared" si="62"/>
        <v>低级专属强化石</v>
      </c>
      <c r="U288" s="15">
        <f t="shared" si="63"/>
        <v>3</v>
      </c>
      <c r="V288" s="15" t="str">
        <f t="shared" si="64"/>
        <v>[x]</v>
      </c>
      <c r="W288" s="15" t="str">
        <f t="shared" si="65"/>
        <v>[x]</v>
      </c>
      <c r="X288" s="15">
        <f t="shared" si="66"/>
        <v>0.46</v>
      </c>
      <c r="Y288" s="15">
        <f t="shared" si="67"/>
        <v>1</v>
      </c>
      <c r="Z288" s="15">
        <f t="shared" si="68"/>
        <v>3</v>
      </c>
      <c r="AA288" s="15">
        <f t="shared" si="69"/>
        <v>2.6700000000000002E-2</v>
      </c>
    </row>
    <row r="289" spans="13:27" ht="16.5" x14ac:dyDescent="0.2">
      <c r="M289" s="15">
        <v>210</v>
      </c>
      <c r="N289" s="15">
        <f t="shared" si="58"/>
        <v>5</v>
      </c>
      <c r="O289" s="15">
        <f>INDEX(卡牌消耗!$H$13:$H$33,世界BOSS专属武器!N289)</f>
        <v>1501005</v>
      </c>
      <c r="P289" s="49" t="s">
        <v>480</v>
      </c>
      <c r="Q289" s="15">
        <f t="shared" si="59"/>
        <v>5</v>
      </c>
      <c r="R289" s="49" t="str">
        <f t="shared" si="60"/>
        <v>金币</v>
      </c>
      <c r="S289" s="15">
        <f t="shared" si="61"/>
        <v>500</v>
      </c>
      <c r="T289" s="15" t="str">
        <f t="shared" si="62"/>
        <v>低级专属强化石</v>
      </c>
      <c r="U289" s="15">
        <f t="shared" si="63"/>
        <v>4</v>
      </c>
      <c r="V289" s="15" t="str">
        <f t="shared" si="64"/>
        <v>[x]</v>
      </c>
      <c r="W289" s="15" t="str">
        <f t="shared" si="65"/>
        <v>[x]</v>
      </c>
      <c r="X289" s="15">
        <f t="shared" si="66"/>
        <v>0.44</v>
      </c>
      <c r="Y289" s="15">
        <f t="shared" si="67"/>
        <v>1</v>
      </c>
      <c r="Z289" s="15">
        <f t="shared" si="68"/>
        <v>3</v>
      </c>
      <c r="AA289" s="15">
        <f t="shared" si="69"/>
        <v>3.3300000000000003E-2</v>
      </c>
    </row>
    <row r="290" spans="13:27" ht="16.5" x14ac:dyDescent="0.2">
      <c r="M290" s="15">
        <v>211</v>
      </c>
      <c r="N290" s="15">
        <f t="shared" si="58"/>
        <v>5</v>
      </c>
      <c r="O290" s="15">
        <f>INDEX(卡牌消耗!$H$13:$H$33,世界BOSS专属武器!N290)</f>
        <v>1501005</v>
      </c>
      <c r="P290" s="49" t="s">
        <v>480</v>
      </c>
      <c r="Q290" s="15">
        <f t="shared" si="59"/>
        <v>6</v>
      </c>
      <c r="R290" s="49" t="str">
        <f t="shared" si="60"/>
        <v>金币</v>
      </c>
      <c r="S290" s="15">
        <f t="shared" si="61"/>
        <v>600</v>
      </c>
      <c r="T290" s="15" t="str">
        <f t="shared" si="62"/>
        <v>低级专属强化石</v>
      </c>
      <c r="U290" s="15">
        <f t="shared" si="63"/>
        <v>5</v>
      </c>
      <c r="V290" s="15" t="str">
        <f t="shared" si="64"/>
        <v>[x]</v>
      </c>
      <c r="W290" s="15" t="str">
        <f t="shared" si="65"/>
        <v>[x]</v>
      </c>
      <c r="X290" s="15">
        <f t="shared" si="66"/>
        <v>0.42</v>
      </c>
      <c r="Y290" s="15">
        <f t="shared" si="67"/>
        <v>1</v>
      </c>
      <c r="Z290" s="15">
        <f t="shared" si="68"/>
        <v>4</v>
      </c>
      <c r="AA290" s="15">
        <f t="shared" si="69"/>
        <v>0.04</v>
      </c>
    </row>
    <row r="291" spans="13:27" ht="16.5" x14ac:dyDescent="0.2">
      <c r="M291" s="15">
        <v>212</v>
      </c>
      <c r="N291" s="15">
        <f t="shared" si="58"/>
        <v>5</v>
      </c>
      <c r="O291" s="15">
        <f>INDEX(卡牌消耗!$H$13:$H$33,世界BOSS专属武器!N291)</f>
        <v>1501005</v>
      </c>
      <c r="P291" s="49" t="s">
        <v>480</v>
      </c>
      <c r="Q291" s="15">
        <f t="shared" si="59"/>
        <v>7</v>
      </c>
      <c r="R291" s="49" t="str">
        <f t="shared" si="60"/>
        <v>金币</v>
      </c>
      <c r="S291" s="15">
        <f t="shared" si="61"/>
        <v>700</v>
      </c>
      <c r="T291" s="15" t="str">
        <f t="shared" si="62"/>
        <v>低级专属强化石</v>
      </c>
      <c r="U291" s="15">
        <f t="shared" si="63"/>
        <v>5</v>
      </c>
      <c r="V291" s="15" t="str">
        <f t="shared" si="64"/>
        <v>[x]</v>
      </c>
      <c r="W291" s="15" t="str">
        <f t="shared" si="65"/>
        <v>[x]</v>
      </c>
      <c r="X291" s="15">
        <f t="shared" si="66"/>
        <v>0.4</v>
      </c>
      <c r="Y291" s="15">
        <f t="shared" si="67"/>
        <v>1</v>
      </c>
      <c r="Z291" s="15">
        <f t="shared" si="68"/>
        <v>4</v>
      </c>
      <c r="AA291" s="15">
        <f t="shared" si="69"/>
        <v>4.6699999999999998E-2</v>
      </c>
    </row>
    <row r="292" spans="13:27" ht="16.5" x14ac:dyDescent="0.2">
      <c r="M292" s="15">
        <v>213</v>
      </c>
      <c r="N292" s="15">
        <f t="shared" si="58"/>
        <v>5</v>
      </c>
      <c r="O292" s="15">
        <f>INDEX(卡牌消耗!$H$13:$H$33,世界BOSS专属武器!N292)</f>
        <v>1501005</v>
      </c>
      <c r="P292" s="49" t="s">
        <v>480</v>
      </c>
      <c r="Q292" s="15">
        <f t="shared" si="59"/>
        <v>8</v>
      </c>
      <c r="R292" s="49" t="str">
        <f t="shared" si="60"/>
        <v>金币</v>
      </c>
      <c r="S292" s="15">
        <f t="shared" si="61"/>
        <v>800</v>
      </c>
      <c r="T292" s="15" t="str">
        <f t="shared" si="62"/>
        <v>低级专属强化石</v>
      </c>
      <c r="U292" s="15">
        <f t="shared" si="63"/>
        <v>5</v>
      </c>
      <c r="V292" s="15" t="str">
        <f t="shared" si="64"/>
        <v>[x]</v>
      </c>
      <c r="W292" s="15" t="str">
        <f t="shared" si="65"/>
        <v>[x]</v>
      </c>
      <c r="X292" s="15">
        <f t="shared" si="66"/>
        <v>0.38</v>
      </c>
      <c r="Y292" s="15">
        <f t="shared" si="67"/>
        <v>1</v>
      </c>
      <c r="Z292" s="15">
        <f t="shared" si="68"/>
        <v>5</v>
      </c>
      <c r="AA292" s="15">
        <f t="shared" si="69"/>
        <v>5.33E-2</v>
      </c>
    </row>
    <row r="293" spans="13:27" ht="16.5" x14ac:dyDescent="0.2">
      <c r="M293" s="15">
        <v>214</v>
      </c>
      <c r="N293" s="15">
        <f t="shared" si="58"/>
        <v>5</v>
      </c>
      <c r="O293" s="15">
        <f>INDEX(卡牌消耗!$H$13:$H$33,世界BOSS专属武器!N293)</f>
        <v>1501005</v>
      </c>
      <c r="P293" s="49" t="s">
        <v>480</v>
      </c>
      <c r="Q293" s="15">
        <f t="shared" si="59"/>
        <v>9</v>
      </c>
      <c r="R293" s="49" t="str">
        <f t="shared" si="60"/>
        <v>金币</v>
      </c>
      <c r="S293" s="15">
        <f t="shared" si="61"/>
        <v>900</v>
      </c>
      <c r="T293" s="15" t="str">
        <f t="shared" si="62"/>
        <v>低级专属强化石</v>
      </c>
      <c r="U293" s="15">
        <f t="shared" si="63"/>
        <v>5</v>
      </c>
      <c r="V293" s="15" t="str">
        <f t="shared" si="64"/>
        <v>[x]</v>
      </c>
      <c r="W293" s="15" t="str">
        <f t="shared" si="65"/>
        <v>[x]</v>
      </c>
      <c r="X293" s="15">
        <f t="shared" si="66"/>
        <v>0.36</v>
      </c>
      <c r="Y293" s="15">
        <f t="shared" si="67"/>
        <v>1</v>
      </c>
      <c r="Z293" s="15">
        <f t="shared" si="68"/>
        <v>5</v>
      </c>
      <c r="AA293" s="15">
        <f t="shared" si="69"/>
        <v>0.06</v>
      </c>
    </row>
    <row r="294" spans="13:27" ht="16.5" x14ac:dyDescent="0.2">
      <c r="M294" s="15">
        <v>215</v>
      </c>
      <c r="N294" s="15">
        <f t="shared" si="58"/>
        <v>5</v>
      </c>
      <c r="O294" s="15">
        <f>INDEX(卡牌消耗!$H$13:$H$33,世界BOSS专属武器!N294)</f>
        <v>1501005</v>
      </c>
      <c r="P294" s="49" t="s">
        <v>480</v>
      </c>
      <c r="Q294" s="15">
        <f t="shared" si="59"/>
        <v>10</v>
      </c>
      <c r="R294" s="49" t="str">
        <f t="shared" si="60"/>
        <v>金币</v>
      </c>
      <c r="S294" s="15">
        <f t="shared" si="61"/>
        <v>1000</v>
      </c>
      <c r="T294" s="15" t="str">
        <f t="shared" si="62"/>
        <v>低级专属强化石</v>
      </c>
      <c r="U294" s="15">
        <f t="shared" si="63"/>
        <v>7</v>
      </c>
      <c r="V294" s="15" t="str">
        <f t="shared" si="64"/>
        <v>[x]</v>
      </c>
      <c r="W294" s="15" t="str">
        <f t="shared" si="65"/>
        <v>[x]</v>
      </c>
      <c r="X294" s="15">
        <f t="shared" si="66"/>
        <v>0.35</v>
      </c>
      <c r="Y294" s="15">
        <f t="shared" si="67"/>
        <v>1</v>
      </c>
      <c r="Z294" s="15">
        <f t="shared" si="68"/>
        <v>5</v>
      </c>
      <c r="AA294" s="15">
        <f t="shared" si="69"/>
        <v>6.6699999999999995E-2</v>
      </c>
    </row>
    <row r="295" spans="13:27" ht="16.5" x14ac:dyDescent="0.2">
      <c r="M295" s="15">
        <v>216</v>
      </c>
      <c r="N295" s="15">
        <f t="shared" si="58"/>
        <v>5</v>
      </c>
      <c r="O295" s="15">
        <f>INDEX(卡牌消耗!$H$13:$H$33,世界BOSS专属武器!N295)</f>
        <v>1501005</v>
      </c>
      <c r="P295" s="49" t="s">
        <v>480</v>
      </c>
      <c r="Q295" s="15">
        <f t="shared" si="59"/>
        <v>11</v>
      </c>
      <c r="R295" s="49" t="str">
        <f t="shared" si="60"/>
        <v>金币</v>
      </c>
      <c r="S295" s="15">
        <f t="shared" si="61"/>
        <v>1000</v>
      </c>
      <c r="T295" s="15" t="str">
        <f t="shared" si="62"/>
        <v>低级专属强化石</v>
      </c>
      <c r="U295" s="15">
        <f t="shared" si="63"/>
        <v>7</v>
      </c>
      <c r="V295" s="15" t="str">
        <f t="shared" si="64"/>
        <v>[x]</v>
      </c>
      <c r="W295" s="15" t="str">
        <f t="shared" si="65"/>
        <v>[x]</v>
      </c>
      <c r="X295" s="15">
        <f t="shared" si="66"/>
        <v>0.33</v>
      </c>
      <c r="Y295" s="15">
        <f t="shared" si="67"/>
        <v>1</v>
      </c>
      <c r="Z295" s="15">
        <f t="shared" si="68"/>
        <v>6</v>
      </c>
      <c r="AA295" s="15">
        <f t="shared" si="69"/>
        <v>0.08</v>
      </c>
    </row>
    <row r="296" spans="13:27" ht="16.5" x14ac:dyDescent="0.2">
      <c r="M296" s="15">
        <v>217</v>
      </c>
      <c r="N296" s="15">
        <f t="shared" si="58"/>
        <v>5</v>
      </c>
      <c r="O296" s="15">
        <f>INDEX(卡牌消耗!$H$13:$H$33,世界BOSS专属武器!N296)</f>
        <v>1501005</v>
      </c>
      <c r="P296" s="49" t="s">
        <v>480</v>
      </c>
      <c r="Q296" s="15">
        <f t="shared" si="59"/>
        <v>12</v>
      </c>
      <c r="R296" s="49" t="str">
        <f t="shared" si="60"/>
        <v>金币</v>
      </c>
      <c r="S296" s="15">
        <f t="shared" si="61"/>
        <v>1000</v>
      </c>
      <c r="T296" s="15" t="str">
        <f t="shared" si="62"/>
        <v>低级专属强化石</v>
      </c>
      <c r="U296" s="15">
        <f t="shared" si="63"/>
        <v>7</v>
      </c>
      <c r="V296" s="15" t="str">
        <f t="shared" si="64"/>
        <v>[x]</v>
      </c>
      <c r="W296" s="15" t="str">
        <f t="shared" si="65"/>
        <v>[x]</v>
      </c>
      <c r="X296" s="15">
        <f t="shared" si="66"/>
        <v>0.31</v>
      </c>
      <c r="Y296" s="15">
        <f t="shared" si="67"/>
        <v>1</v>
      </c>
      <c r="Z296" s="15">
        <f t="shared" si="68"/>
        <v>6</v>
      </c>
      <c r="AA296" s="15">
        <f t="shared" si="69"/>
        <v>9.3299999999999994E-2</v>
      </c>
    </row>
    <row r="297" spans="13:27" ht="16.5" x14ac:dyDescent="0.2">
      <c r="M297" s="15">
        <v>218</v>
      </c>
      <c r="N297" s="15">
        <f t="shared" si="58"/>
        <v>5</v>
      </c>
      <c r="O297" s="15">
        <f>INDEX(卡牌消耗!$H$13:$H$33,世界BOSS专属武器!N297)</f>
        <v>1501005</v>
      </c>
      <c r="P297" s="49" t="s">
        <v>480</v>
      </c>
      <c r="Q297" s="15">
        <f t="shared" si="59"/>
        <v>13</v>
      </c>
      <c r="R297" s="49" t="str">
        <f t="shared" si="60"/>
        <v>金币</v>
      </c>
      <c r="S297" s="15">
        <f t="shared" si="61"/>
        <v>1000</v>
      </c>
      <c r="T297" s="15" t="str">
        <f t="shared" si="62"/>
        <v>低级专属强化石</v>
      </c>
      <c r="U297" s="15">
        <f t="shared" si="63"/>
        <v>7</v>
      </c>
      <c r="V297" s="15" t="str">
        <f t="shared" si="64"/>
        <v>[x]</v>
      </c>
      <c r="W297" s="15" t="str">
        <f t="shared" si="65"/>
        <v>[x]</v>
      </c>
      <c r="X297" s="15">
        <f t="shared" si="66"/>
        <v>0.28999999999999998</v>
      </c>
      <c r="Y297" s="15">
        <f t="shared" si="67"/>
        <v>1</v>
      </c>
      <c r="Z297" s="15">
        <f t="shared" si="68"/>
        <v>7</v>
      </c>
      <c r="AA297" s="15">
        <f t="shared" si="69"/>
        <v>0.1067</v>
      </c>
    </row>
    <row r="298" spans="13:27" ht="16.5" x14ac:dyDescent="0.2">
      <c r="M298" s="15">
        <v>219</v>
      </c>
      <c r="N298" s="15">
        <f t="shared" si="58"/>
        <v>5</v>
      </c>
      <c r="O298" s="15">
        <f>INDEX(卡牌消耗!$H$13:$H$33,世界BOSS专属武器!N298)</f>
        <v>1501005</v>
      </c>
      <c r="P298" s="49" t="s">
        <v>480</v>
      </c>
      <c r="Q298" s="15">
        <f t="shared" si="59"/>
        <v>14</v>
      </c>
      <c r="R298" s="49" t="str">
        <f t="shared" si="60"/>
        <v>金币</v>
      </c>
      <c r="S298" s="15">
        <f t="shared" si="61"/>
        <v>1000</v>
      </c>
      <c r="T298" s="15" t="str">
        <f t="shared" si="62"/>
        <v>低级专属强化石</v>
      </c>
      <c r="U298" s="15">
        <f t="shared" si="63"/>
        <v>7</v>
      </c>
      <c r="V298" s="15" t="str">
        <f t="shared" si="64"/>
        <v>[x]</v>
      </c>
      <c r="W298" s="15" t="str">
        <f t="shared" si="65"/>
        <v>[x]</v>
      </c>
      <c r="X298" s="15">
        <f t="shared" si="66"/>
        <v>0.27</v>
      </c>
      <c r="Y298" s="15">
        <f t="shared" si="67"/>
        <v>1</v>
      </c>
      <c r="Z298" s="15">
        <f t="shared" si="68"/>
        <v>7</v>
      </c>
      <c r="AA298" s="15">
        <f t="shared" si="69"/>
        <v>0.12</v>
      </c>
    </row>
    <row r="299" spans="13:27" ht="16.5" x14ac:dyDescent="0.2">
      <c r="M299" s="15">
        <v>220</v>
      </c>
      <c r="N299" s="15">
        <f t="shared" si="58"/>
        <v>5</v>
      </c>
      <c r="O299" s="15">
        <f>INDEX(卡牌消耗!$H$13:$H$33,世界BOSS专属武器!N299)</f>
        <v>1501005</v>
      </c>
      <c r="P299" s="49" t="s">
        <v>480</v>
      </c>
      <c r="Q299" s="15">
        <f t="shared" si="59"/>
        <v>15</v>
      </c>
      <c r="R299" s="49" t="str">
        <f t="shared" si="60"/>
        <v>金币</v>
      </c>
      <c r="S299" s="15">
        <f t="shared" si="61"/>
        <v>1000</v>
      </c>
      <c r="T299" s="15" t="str">
        <f t="shared" si="62"/>
        <v>低级专属强化石</v>
      </c>
      <c r="U299" s="15">
        <f t="shared" si="63"/>
        <v>10</v>
      </c>
      <c r="V299" s="15" t="str">
        <f t="shared" si="64"/>
        <v>[x]</v>
      </c>
      <c r="W299" s="15" t="str">
        <f t="shared" si="65"/>
        <v>[x]</v>
      </c>
      <c r="X299" s="15">
        <f t="shared" si="66"/>
        <v>0.25</v>
      </c>
      <c r="Y299" s="15">
        <f t="shared" si="67"/>
        <v>1</v>
      </c>
      <c r="Z299" s="15">
        <f t="shared" si="68"/>
        <v>8</v>
      </c>
      <c r="AA299" s="15">
        <f t="shared" si="69"/>
        <v>0.1333</v>
      </c>
    </row>
    <row r="300" spans="13:27" ht="16.5" x14ac:dyDescent="0.2">
      <c r="M300" s="15">
        <v>221</v>
      </c>
      <c r="N300" s="15">
        <f t="shared" si="58"/>
        <v>5</v>
      </c>
      <c r="O300" s="15">
        <f>INDEX(卡牌消耗!$H$13:$H$33,世界BOSS专属武器!N300)</f>
        <v>1501005</v>
      </c>
      <c r="P300" s="49" t="s">
        <v>480</v>
      </c>
      <c r="Q300" s="15">
        <f t="shared" si="59"/>
        <v>16</v>
      </c>
      <c r="R300" s="49" t="str">
        <f t="shared" si="60"/>
        <v>金币</v>
      </c>
      <c r="S300" s="15">
        <f t="shared" si="61"/>
        <v>1000</v>
      </c>
      <c r="T300" s="15" t="str">
        <f t="shared" si="62"/>
        <v>低级专属强化石</v>
      </c>
      <c r="U300" s="15">
        <f t="shared" si="63"/>
        <v>10</v>
      </c>
      <c r="V300" s="15" t="str">
        <f t="shared" si="64"/>
        <v>[x]</v>
      </c>
      <c r="W300" s="15" t="str">
        <f t="shared" si="65"/>
        <v>[x]</v>
      </c>
      <c r="X300" s="15">
        <f t="shared" si="66"/>
        <v>0.23</v>
      </c>
      <c r="Y300" s="15">
        <f t="shared" si="67"/>
        <v>1</v>
      </c>
      <c r="Z300" s="15">
        <f t="shared" si="68"/>
        <v>9</v>
      </c>
      <c r="AA300" s="15">
        <f t="shared" si="69"/>
        <v>0.1467</v>
      </c>
    </row>
    <row r="301" spans="13:27" ht="16.5" x14ac:dyDescent="0.2">
      <c r="M301" s="15">
        <v>222</v>
      </c>
      <c r="N301" s="15">
        <f t="shared" si="58"/>
        <v>5</v>
      </c>
      <c r="O301" s="15">
        <f>INDEX(卡牌消耗!$H$13:$H$33,世界BOSS专属武器!N301)</f>
        <v>1501005</v>
      </c>
      <c r="P301" s="49" t="s">
        <v>480</v>
      </c>
      <c r="Q301" s="15">
        <f t="shared" si="59"/>
        <v>17</v>
      </c>
      <c r="R301" s="49" t="str">
        <f t="shared" si="60"/>
        <v>金币</v>
      </c>
      <c r="S301" s="15">
        <f t="shared" si="61"/>
        <v>1000</v>
      </c>
      <c r="T301" s="15" t="str">
        <f t="shared" si="62"/>
        <v>低级专属强化石</v>
      </c>
      <c r="U301" s="15">
        <f t="shared" si="63"/>
        <v>10</v>
      </c>
      <c r="V301" s="15" t="str">
        <f t="shared" si="64"/>
        <v>[x]</v>
      </c>
      <c r="W301" s="15" t="str">
        <f t="shared" si="65"/>
        <v>[x]</v>
      </c>
      <c r="X301" s="15">
        <f t="shared" si="66"/>
        <v>0.21</v>
      </c>
      <c r="Y301" s="15">
        <f t="shared" si="67"/>
        <v>1</v>
      </c>
      <c r="Z301" s="15">
        <f t="shared" si="68"/>
        <v>10</v>
      </c>
      <c r="AA301" s="15">
        <f t="shared" si="69"/>
        <v>0.16</v>
      </c>
    </row>
    <row r="302" spans="13:27" ht="16.5" x14ac:dyDescent="0.2">
      <c r="M302" s="15">
        <v>223</v>
      </c>
      <c r="N302" s="15">
        <f t="shared" si="58"/>
        <v>5</v>
      </c>
      <c r="O302" s="15">
        <f>INDEX(卡牌消耗!$H$13:$H$33,世界BOSS专属武器!N302)</f>
        <v>1501005</v>
      </c>
      <c r="P302" s="49" t="s">
        <v>480</v>
      </c>
      <c r="Q302" s="15">
        <f t="shared" si="59"/>
        <v>18</v>
      </c>
      <c r="R302" s="49" t="str">
        <f t="shared" si="60"/>
        <v>金币</v>
      </c>
      <c r="S302" s="15">
        <f t="shared" si="61"/>
        <v>1000</v>
      </c>
      <c r="T302" s="15" t="str">
        <f t="shared" si="62"/>
        <v>低级专属强化石</v>
      </c>
      <c r="U302" s="15">
        <f t="shared" si="63"/>
        <v>10</v>
      </c>
      <c r="V302" s="15" t="str">
        <f t="shared" si="64"/>
        <v>[x]</v>
      </c>
      <c r="W302" s="15" t="str">
        <f t="shared" si="65"/>
        <v>[x]</v>
      </c>
      <c r="X302" s="15">
        <f t="shared" si="66"/>
        <v>0.19</v>
      </c>
      <c r="Y302" s="15">
        <f t="shared" si="67"/>
        <v>1</v>
      </c>
      <c r="Z302" s="15">
        <f t="shared" si="68"/>
        <v>11</v>
      </c>
      <c r="AA302" s="15">
        <f t="shared" si="69"/>
        <v>0.17330000000000001</v>
      </c>
    </row>
    <row r="303" spans="13:27" ht="16.5" x14ac:dyDescent="0.2">
      <c r="M303" s="15">
        <v>224</v>
      </c>
      <c r="N303" s="15">
        <f t="shared" si="58"/>
        <v>5</v>
      </c>
      <c r="O303" s="15">
        <f>INDEX(卡牌消耗!$H$13:$H$33,世界BOSS专属武器!N303)</f>
        <v>1501005</v>
      </c>
      <c r="P303" s="49" t="s">
        <v>480</v>
      </c>
      <c r="Q303" s="15">
        <f t="shared" si="59"/>
        <v>19</v>
      </c>
      <c r="R303" s="49" t="str">
        <f t="shared" si="60"/>
        <v>金币</v>
      </c>
      <c r="S303" s="15">
        <f t="shared" si="61"/>
        <v>1000</v>
      </c>
      <c r="T303" s="15" t="str">
        <f t="shared" si="62"/>
        <v>低级专属强化石</v>
      </c>
      <c r="U303" s="15">
        <f t="shared" si="63"/>
        <v>10</v>
      </c>
      <c r="V303" s="15" t="str">
        <f t="shared" si="64"/>
        <v>[x]</v>
      </c>
      <c r="W303" s="15" t="str">
        <f t="shared" si="65"/>
        <v>[x]</v>
      </c>
      <c r="X303" s="15">
        <f t="shared" si="66"/>
        <v>0.17</v>
      </c>
      <c r="Y303" s="15">
        <f t="shared" si="67"/>
        <v>1</v>
      </c>
      <c r="Z303" s="15">
        <f t="shared" si="68"/>
        <v>12</v>
      </c>
      <c r="AA303" s="15">
        <f t="shared" si="69"/>
        <v>0.1867</v>
      </c>
    </row>
    <row r="304" spans="13:27" ht="16.5" x14ac:dyDescent="0.2">
      <c r="M304" s="15">
        <v>225</v>
      </c>
      <c r="N304" s="15">
        <f t="shared" si="58"/>
        <v>5</v>
      </c>
      <c r="O304" s="15">
        <f>INDEX(卡牌消耗!$H$13:$H$33,世界BOSS专属武器!N304)</f>
        <v>1501005</v>
      </c>
      <c r="P304" s="49" t="s">
        <v>480</v>
      </c>
      <c r="Q304" s="15">
        <f t="shared" si="59"/>
        <v>20</v>
      </c>
      <c r="R304" s="49" t="str">
        <f t="shared" si="60"/>
        <v>金币</v>
      </c>
      <c r="S304" s="15">
        <f t="shared" si="61"/>
        <v>5000</v>
      </c>
      <c r="T304" s="15" t="str">
        <f t="shared" si="62"/>
        <v>低级专属强化石</v>
      </c>
      <c r="U304" s="15">
        <f t="shared" si="63"/>
        <v>15</v>
      </c>
      <c r="V304" s="15" t="str">
        <f t="shared" si="64"/>
        <v>中级专属强化石</v>
      </c>
      <c r="W304" s="15">
        <f t="shared" si="65"/>
        <v>7</v>
      </c>
      <c r="X304" s="15">
        <f t="shared" si="66"/>
        <v>0.15</v>
      </c>
      <c r="Y304" s="15">
        <f t="shared" si="67"/>
        <v>1</v>
      </c>
      <c r="Z304" s="15">
        <f t="shared" si="68"/>
        <v>15</v>
      </c>
      <c r="AA304" s="15">
        <f t="shared" si="69"/>
        <v>0.2</v>
      </c>
    </row>
    <row r="305" spans="13:27" ht="16.5" x14ac:dyDescent="0.2">
      <c r="M305" s="15">
        <v>226</v>
      </c>
      <c r="N305" s="15">
        <f t="shared" si="58"/>
        <v>5</v>
      </c>
      <c r="O305" s="15">
        <f>INDEX(卡牌消耗!$H$13:$H$33,世界BOSS专属武器!N305)</f>
        <v>1501005</v>
      </c>
      <c r="P305" s="49" t="s">
        <v>480</v>
      </c>
      <c r="Q305" s="15">
        <f t="shared" si="59"/>
        <v>21</v>
      </c>
      <c r="R305" s="49" t="str">
        <f t="shared" si="60"/>
        <v>金币</v>
      </c>
      <c r="S305" s="15">
        <f t="shared" si="61"/>
        <v>5000</v>
      </c>
      <c r="T305" s="15" t="str">
        <f t="shared" si="62"/>
        <v>低级专属强化石</v>
      </c>
      <c r="U305" s="15">
        <f t="shared" si="63"/>
        <v>15</v>
      </c>
      <c r="V305" s="15" t="str">
        <f t="shared" si="64"/>
        <v>中级专属强化石</v>
      </c>
      <c r="W305" s="15">
        <f t="shared" si="65"/>
        <v>7</v>
      </c>
      <c r="X305" s="15">
        <f t="shared" si="66"/>
        <v>0.15</v>
      </c>
      <c r="Y305" s="15">
        <f t="shared" si="67"/>
        <v>1</v>
      </c>
      <c r="Z305" s="15">
        <f t="shared" si="68"/>
        <v>15</v>
      </c>
      <c r="AA305" s="15">
        <f t="shared" si="69"/>
        <v>0.22</v>
      </c>
    </row>
    <row r="306" spans="13:27" ht="16.5" x14ac:dyDescent="0.2">
      <c r="M306" s="15">
        <v>227</v>
      </c>
      <c r="N306" s="15">
        <f t="shared" si="58"/>
        <v>5</v>
      </c>
      <c r="O306" s="15">
        <f>INDEX(卡牌消耗!$H$13:$H$33,世界BOSS专属武器!N306)</f>
        <v>1501005</v>
      </c>
      <c r="P306" s="49" t="s">
        <v>480</v>
      </c>
      <c r="Q306" s="15">
        <f t="shared" si="59"/>
        <v>22</v>
      </c>
      <c r="R306" s="49" t="str">
        <f t="shared" si="60"/>
        <v>金币</v>
      </c>
      <c r="S306" s="15">
        <f t="shared" si="61"/>
        <v>5000</v>
      </c>
      <c r="T306" s="15" t="str">
        <f t="shared" si="62"/>
        <v>低级专属强化石</v>
      </c>
      <c r="U306" s="15">
        <f t="shared" si="63"/>
        <v>15</v>
      </c>
      <c r="V306" s="15" t="str">
        <f t="shared" si="64"/>
        <v>中级专属强化石</v>
      </c>
      <c r="W306" s="15">
        <f t="shared" si="65"/>
        <v>7</v>
      </c>
      <c r="X306" s="15">
        <f t="shared" si="66"/>
        <v>0.15</v>
      </c>
      <c r="Y306" s="15">
        <f t="shared" si="67"/>
        <v>1</v>
      </c>
      <c r="Z306" s="15">
        <f t="shared" si="68"/>
        <v>15</v>
      </c>
      <c r="AA306" s="15">
        <f t="shared" si="69"/>
        <v>0.24</v>
      </c>
    </row>
    <row r="307" spans="13:27" ht="16.5" x14ac:dyDescent="0.2">
      <c r="M307" s="15">
        <v>228</v>
      </c>
      <c r="N307" s="15">
        <f t="shared" si="58"/>
        <v>5</v>
      </c>
      <c r="O307" s="15">
        <f>INDEX(卡牌消耗!$H$13:$H$33,世界BOSS专属武器!N307)</f>
        <v>1501005</v>
      </c>
      <c r="P307" s="49" t="s">
        <v>480</v>
      </c>
      <c r="Q307" s="15">
        <f t="shared" si="59"/>
        <v>23</v>
      </c>
      <c r="R307" s="49" t="str">
        <f t="shared" si="60"/>
        <v>金币</v>
      </c>
      <c r="S307" s="15">
        <f t="shared" si="61"/>
        <v>5000</v>
      </c>
      <c r="T307" s="15" t="str">
        <f t="shared" si="62"/>
        <v>低级专属强化石</v>
      </c>
      <c r="U307" s="15">
        <f t="shared" si="63"/>
        <v>15</v>
      </c>
      <c r="V307" s="15" t="str">
        <f t="shared" si="64"/>
        <v>中级专属强化石</v>
      </c>
      <c r="W307" s="15">
        <f t="shared" si="65"/>
        <v>7</v>
      </c>
      <c r="X307" s="15">
        <f t="shared" si="66"/>
        <v>0.15</v>
      </c>
      <c r="Y307" s="15">
        <f t="shared" si="67"/>
        <v>1</v>
      </c>
      <c r="Z307" s="15">
        <f t="shared" si="68"/>
        <v>18</v>
      </c>
      <c r="AA307" s="15">
        <f t="shared" si="69"/>
        <v>0.26</v>
      </c>
    </row>
    <row r="308" spans="13:27" ht="16.5" x14ac:dyDescent="0.2">
      <c r="M308" s="15">
        <v>229</v>
      </c>
      <c r="N308" s="15">
        <f t="shared" si="58"/>
        <v>5</v>
      </c>
      <c r="O308" s="15">
        <f>INDEX(卡牌消耗!$H$13:$H$33,世界BOSS专属武器!N308)</f>
        <v>1501005</v>
      </c>
      <c r="P308" s="49" t="s">
        <v>480</v>
      </c>
      <c r="Q308" s="15">
        <f t="shared" si="59"/>
        <v>24</v>
      </c>
      <c r="R308" s="49" t="str">
        <f t="shared" si="60"/>
        <v>金币</v>
      </c>
      <c r="S308" s="15">
        <f t="shared" si="61"/>
        <v>5000</v>
      </c>
      <c r="T308" s="15" t="str">
        <f t="shared" si="62"/>
        <v>低级专属强化石</v>
      </c>
      <c r="U308" s="15">
        <f t="shared" si="63"/>
        <v>15</v>
      </c>
      <c r="V308" s="15" t="str">
        <f t="shared" si="64"/>
        <v>中级专属强化石</v>
      </c>
      <c r="W308" s="15">
        <f t="shared" si="65"/>
        <v>7</v>
      </c>
      <c r="X308" s="15">
        <f t="shared" si="66"/>
        <v>0.15</v>
      </c>
      <c r="Y308" s="15">
        <f t="shared" si="67"/>
        <v>1</v>
      </c>
      <c r="Z308" s="15">
        <f t="shared" si="68"/>
        <v>18</v>
      </c>
      <c r="AA308" s="15">
        <f t="shared" si="69"/>
        <v>0.28000000000000003</v>
      </c>
    </row>
    <row r="309" spans="13:27" ht="16.5" x14ac:dyDescent="0.2">
      <c r="M309" s="15">
        <v>230</v>
      </c>
      <c r="N309" s="15">
        <f t="shared" si="58"/>
        <v>5</v>
      </c>
      <c r="O309" s="15">
        <f>INDEX(卡牌消耗!$H$13:$H$33,世界BOSS专属武器!N309)</f>
        <v>1501005</v>
      </c>
      <c r="P309" s="49" t="s">
        <v>480</v>
      </c>
      <c r="Q309" s="15">
        <f t="shared" si="59"/>
        <v>25</v>
      </c>
      <c r="R309" s="49" t="str">
        <f t="shared" si="60"/>
        <v>金币</v>
      </c>
      <c r="S309" s="15">
        <f t="shared" si="61"/>
        <v>5000</v>
      </c>
      <c r="T309" s="15" t="str">
        <f t="shared" si="62"/>
        <v>低级专属强化石</v>
      </c>
      <c r="U309" s="15">
        <f t="shared" si="63"/>
        <v>15</v>
      </c>
      <c r="V309" s="15" t="str">
        <f t="shared" si="64"/>
        <v>中级专属强化石</v>
      </c>
      <c r="W309" s="15">
        <f t="shared" si="65"/>
        <v>7</v>
      </c>
      <c r="X309" s="15">
        <f t="shared" si="66"/>
        <v>0.15</v>
      </c>
      <c r="Y309" s="15">
        <f t="shared" si="67"/>
        <v>1</v>
      </c>
      <c r="Z309" s="15">
        <f t="shared" si="68"/>
        <v>18</v>
      </c>
      <c r="AA309" s="15">
        <f t="shared" si="69"/>
        <v>0.3</v>
      </c>
    </row>
    <row r="310" spans="13:27" ht="16.5" x14ac:dyDescent="0.2">
      <c r="M310" s="15">
        <v>231</v>
      </c>
      <c r="N310" s="15">
        <f t="shared" si="58"/>
        <v>5</v>
      </c>
      <c r="O310" s="15">
        <f>INDEX(卡牌消耗!$H$13:$H$33,世界BOSS专属武器!N310)</f>
        <v>1501005</v>
      </c>
      <c r="P310" s="49" t="s">
        <v>480</v>
      </c>
      <c r="Q310" s="15">
        <f t="shared" si="59"/>
        <v>26</v>
      </c>
      <c r="R310" s="49" t="str">
        <f t="shared" si="60"/>
        <v>金币</v>
      </c>
      <c r="S310" s="15">
        <f t="shared" si="61"/>
        <v>5000</v>
      </c>
      <c r="T310" s="15" t="str">
        <f t="shared" si="62"/>
        <v>低级专属强化石</v>
      </c>
      <c r="U310" s="15">
        <f t="shared" si="63"/>
        <v>15</v>
      </c>
      <c r="V310" s="15" t="str">
        <f t="shared" si="64"/>
        <v>中级专属强化石</v>
      </c>
      <c r="W310" s="15">
        <f t="shared" si="65"/>
        <v>7</v>
      </c>
      <c r="X310" s="15">
        <f t="shared" si="66"/>
        <v>0.15</v>
      </c>
      <c r="Y310" s="15">
        <f t="shared" si="67"/>
        <v>1</v>
      </c>
      <c r="Z310" s="15">
        <f t="shared" si="68"/>
        <v>21</v>
      </c>
      <c r="AA310" s="15">
        <f t="shared" si="69"/>
        <v>0.32</v>
      </c>
    </row>
    <row r="311" spans="13:27" ht="16.5" x14ac:dyDescent="0.2">
      <c r="M311" s="15">
        <v>232</v>
      </c>
      <c r="N311" s="15">
        <f t="shared" si="58"/>
        <v>5</v>
      </c>
      <c r="O311" s="15">
        <f>INDEX(卡牌消耗!$H$13:$H$33,世界BOSS专属武器!N311)</f>
        <v>1501005</v>
      </c>
      <c r="P311" s="49" t="s">
        <v>480</v>
      </c>
      <c r="Q311" s="15">
        <f t="shared" si="59"/>
        <v>27</v>
      </c>
      <c r="R311" s="49" t="str">
        <f t="shared" si="60"/>
        <v>金币</v>
      </c>
      <c r="S311" s="15">
        <f t="shared" si="61"/>
        <v>5000</v>
      </c>
      <c r="T311" s="15" t="str">
        <f t="shared" si="62"/>
        <v>低级专属强化石</v>
      </c>
      <c r="U311" s="15">
        <f t="shared" si="63"/>
        <v>15</v>
      </c>
      <c r="V311" s="15" t="str">
        <f t="shared" si="64"/>
        <v>中级专属强化石</v>
      </c>
      <c r="W311" s="15">
        <f t="shared" si="65"/>
        <v>7</v>
      </c>
      <c r="X311" s="15">
        <f t="shared" si="66"/>
        <v>0.15</v>
      </c>
      <c r="Y311" s="15">
        <f t="shared" si="67"/>
        <v>1</v>
      </c>
      <c r="Z311" s="15">
        <f t="shared" si="68"/>
        <v>22</v>
      </c>
      <c r="AA311" s="15">
        <f t="shared" si="69"/>
        <v>0.34</v>
      </c>
    </row>
    <row r="312" spans="13:27" ht="16.5" x14ac:dyDescent="0.2">
      <c r="M312" s="15">
        <v>233</v>
      </c>
      <c r="N312" s="15">
        <f t="shared" si="58"/>
        <v>5</v>
      </c>
      <c r="O312" s="15">
        <f>INDEX(卡牌消耗!$H$13:$H$33,世界BOSS专属武器!N312)</f>
        <v>1501005</v>
      </c>
      <c r="P312" s="49" t="s">
        <v>480</v>
      </c>
      <c r="Q312" s="15">
        <f t="shared" si="59"/>
        <v>28</v>
      </c>
      <c r="R312" s="49" t="str">
        <f t="shared" si="60"/>
        <v>金币</v>
      </c>
      <c r="S312" s="15">
        <f t="shared" si="61"/>
        <v>5000</v>
      </c>
      <c r="T312" s="15" t="str">
        <f t="shared" si="62"/>
        <v>低级专属强化石</v>
      </c>
      <c r="U312" s="15">
        <f t="shared" si="63"/>
        <v>15</v>
      </c>
      <c r="V312" s="15" t="str">
        <f t="shared" si="64"/>
        <v>中级专属强化石</v>
      </c>
      <c r="W312" s="15">
        <f t="shared" si="65"/>
        <v>7</v>
      </c>
      <c r="X312" s="15">
        <f t="shared" si="66"/>
        <v>0.15</v>
      </c>
      <c r="Y312" s="15">
        <f t="shared" si="67"/>
        <v>1</v>
      </c>
      <c r="Z312" s="15">
        <f t="shared" si="68"/>
        <v>23</v>
      </c>
      <c r="AA312" s="15">
        <f t="shared" si="69"/>
        <v>0.36</v>
      </c>
    </row>
    <row r="313" spans="13:27" ht="16.5" x14ac:dyDescent="0.2">
      <c r="M313" s="15">
        <v>234</v>
      </c>
      <c r="N313" s="15">
        <f t="shared" si="58"/>
        <v>5</v>
      </c>
      <c r="O313" s="15">
        <f>INDEX(卡牌消耗!$H$13:$H$33,世界BOSS专属武器!N313)</f>
        <v>1501005</v>
      </c>
      <c r="P313" s="49" t="s">
        <v>480</v>
      </c>
      <c r="Q313" s="15">
        <f t="shared" si="59"/>
        <v>29</v>
      </c>
      <c r="R313" s="49" t="str">
        <f t="shared" si="60"/>
        <v>金币</v>
      </c>
      <c r="S313" s="15">
        <f t="shared" si="61"/>
        <v>5000</v>
      </c>
      <c r="T313" s="15" t="str">
        <f t="shared" si="62"/>
        <v>低级专属强化石</v>
      </c>
      <c r="U313" s="15">
        <f t="shared" si="63"/>
        <v>15</v>
      </c>
      <c r="V313" s="15" t="str">
        <f t="shared" si="64"/>
        <v>中级专属强化石</v>
      </c>
      <c r="W313" s="15">
        <f t="shared" si="65"/>
        <v>7</v>
      </c>
      <c r="X313" s="15">
        <f t="shared" si="66"/>
        <v>0.15</v>
      </c>
      <c r="Y313" s="15">
        <f t="shared" si="67"/>
        <v>1</v>
      </c>
      <c r="Z313" s="15">
        <f t="shared" si="68"/>
        <v>25</v>
      </c>
      <c r="AA313" s="15">
        <f t="shared" si="69"/>
        <v>0.38</v>
      </c>
    </row>
    <row r="314" spans="13:27" ht="16.5" x14ac:dyDescent="0.2">
      <c r="M314" s="15">
        <v>235</v>
      </c>
      <c r="N314" s="15">
        <f t="shared" si="58"/>
        <v>5</v>
      </c>
      <c r="O314" s="15">
        <f>INDEX(卡牌消耗!$H$13:$H$33,世界BOSS专属武器!N314)</f>
        <v>1501005</v>
      </c>
      <c r="P314" s="49" t="s">
        <v>480</v>
      </c>
      <c r="Q314" s="15">
        <f t="shared" si="59"/>
        <v>30</v>
      </c>
      <c r="R314" s="49" t="str">
        <f t="shared" si="60"/>
        <v>金币</v>
      </c>
      <c r="S314" s="15">
        <f t="shared" si="61"/>
        <v>10000</v>
      </c>
      <c r="T314" s="15" t="str">
        <f t="shared" si="62"/>
        <v>中级专属强化石</v>
      </c>
      <c r="U314" s="15">
        <f t="shared" si="63"/>
        <v>8</v>
      </c>
      <c r="V314" s="15" t="str">
        <f t="shared" si="64"/>
        <v>高级专属强化石</v>
      </c>
      <c r="W314" s="15">
        <f t="shared" si="65"/>
        <v>3</v>
      </c>
      <c r="X314" s="15">
        <f t="shared" si="66"/>
        <v>0.1</v>
      </c>
      <c r="Y314" s="15">
        <f t="shared" si="67"/>
        <v>1</v>
      </c>
      <c r="Z314" s="15">
        <f t="shared" si="68"/>
        <v>30</v>
      </c>
      <c r="AA314" s="15">
        <f t="shared" si="69"/>
        <v>0.4</v>
      </c>
    </row>
    <row r="315" spans="13:27" ht="16.5" x14ac:dyDescent="0.2">
      <c r="M315" s="15">
        <v>236</v>
      </c>
      <c r="N315" s="15">
        <f t="shared" si="58"/>
        <v>5</v>
      </c>
      <c r="O315" s="15">
        <f>INDEX(卡牌消耗!$H$13:$H$33,世界BOSS专属武器!N315)</f>
        <v>1501005</v>
      </c>
      <c r="P315" s="49" t="s">
        <v>480</v>
      </c>
      <c r="Q315" s="15">
        <f t="shared" si="59"/>
        <v>31</v>
      </c>
      <c r="R315" s="49" t="str">
        <f t="shared" si="60"/>
        <v>金币</v>
      </c>
      <c r="S315" s="15">
        <f t="shared" si="61"/>
        <v>10000</v>
      </c>
      <c r="T315" s="15" t="str">
        <f t="shared" si="62"/>
        <v>中级专属强化石</v>
      </c>
      <c r="U315" s="15">
        <f t="shared" si="63"/>
        <v>8</v>
      </c>
      <c r="V315" s="15" t="str">
        <f t="shared" si="64"/>
        <v>高级专属强化石</v>
      </c>
      <c r="W315" s="15">
        <f t="shared" si="65"/>
        <v>3</v>
      </c>
      <c r="X315" s="15">
        <f t="shared" si="66"/>
        <v>0.1</v>
      </c>
      <c r="Y315" s="15">
        <f t="shared" si="67"/>
        <v>1</v>
      </c>
      <c r="Z315" s="15">
        <f t="shared" si="68"/>
        <v>30</v>
      </c>
      <c r="AA315" s="15">
        <f t="shared" si="69"/>
        <v>0.42670000000000002</v>
      </c>
    </row>
    <row r="316" spans="13:27" ht="16.5" x14ac:dyDescent="0.2">
      <c r="M316" s="15">
        <v>237</v>
      </c>
      <c r="N316" s="15">
        <f t="shared" si="58"/>
        <v>5</v>
      </c>
      <c r="O316" s="15">
        <f>INDEX(卡牌消耗!$H$13:$H$33,世界BOSS专属武器!N316)</f>
        <v>1501005</v>
      </c>
      <c r="P316" s="49" t="s">
        <v>480</v>
      </c>
      <c r="Q316" s="15">
        <f t="shared" si="59"/>
        <v>32</v>
      </c>
      <c r="R316" s="49" t="str">
        <f t="shared" si="60"/>
        <v>金币</v>
      </c>
      <c r="S316" s="15">
        <f t="shared" si="61"/>
        <v>10000</v>
      </c>
      <c r="T316" s="15" t="str">
        <f t="shared" si="62"/>
        <v>中级专属强化石</v>
      </c>
      <c r="U316" s="15">
        <f t="shared" si="63"/>
        <v>8</v>
      </c>
      <c r="V316" s="15" t="str">
        <f t="shared" si="64"/>
        <v>高级专属强化石</v>
      </c>
      <c r="W316" s="15">
        <f t="shared" si="65"/>
        <v>3</v>
      </c>
      <c r="X316" s="15">
        <f t="shared" si="66"/>
        <v>0.1</v>
      </c>
      <c r="Y316" s="15">
        <f t="shared" si="67"/>
        <v>1</v>
      </c>
      <c r="Z316" s="15">
        <f t="shared" si="68"/>
        <v>30</v>
      </c>
      <c r="AA316" s="15">
        <f t="shared" si="69"/>
        <v>0.45329999999999998</v>
      </c>
    </row>
    <row r="317" spans="13:27" ht="16.5" x14ac:dyDescent="0.2">
      <c r="M317" s="15">
        <v>238</v>
      </c>
      <c r="N317" s="15">
        <f t="shared" si="58"/>
        <v>5</v>
      </c>
      <c r="O317" s="15">
        <f>INDEX(卡牌消耗!$H$13:$H$33,世界BOSS专属武器!N317)</f>
        <v>1501005</v>
      </c>
      <c r="P317" s="49" t="s">
        <v>480</v>
      </c>
      <c r="Q317" s="15">
        <f t="shared" si="59"/>
        <v>33</v>
      </c>
      <c r="R317" s="49" t="str">
        <f t="shared" si="60"/>
        <v>金币</v>
      </c>
      <c r="S317" s="15">
        <f t="shared" si="61"/>
        <v>10000</v>
      </c>
      <c r="T317" s="15" t="str">
        <f t="shared" si="62"/>
        <v>中级专属强化石</v>
      </c>
      <c r="U317" s="15">
        <f t="shared" si="63"/>
        <v>8</v>
      </c>
      <c r="V317" s="15" t="str">
        <f t="shared" si="64"/>
        <v>高级专属强化石</v>
      </c>
      <c r="W317" s="15">
        <f t="shared" si="65"/>
        <v>3</v>
      </c>
      <c r="X317" s="15">
        <f t="shared" si="66"/>
        <v>0.1</v>
      </c>
      <c r="Y317" s="15">
        <f t="shared" si="67"/>
        <v>1</v>
      </c>
      <c r="Z317" s="15">
        <f t="shared" si="68"/>
        <v>30</v>
      </c>
      <c r="AA317" s="15">
        <f t="shared" si="69"/>
        <v>0.48</v>
      </c>
    </row>
    <row r="318" spans="13:27" ht="16.5" x14ac:dyDescent="0.2">
      <c r="M318" s="15">
        <v>239</v>
      </c>
      <c r="N318" s="15">
        <f t="shared" si="58"/>
        <v>5</v>
      </c>
      <c r="O318" s="15">
        <f>INDEX(卡牌消耗!$H$13:$H$33,世界BOSS专属武器!N318)</f>
        <v>1501005</v>
      </c>
      <c r="P318" s="49" t="s">
        <v>480</v>
      </c>
      <c r="Q318" s="15">
        <f t="shared" si="59"/>
        <v>34</v>
      </c>
      <c r="R318" s="49" t="str">
        <f t="shared" si="60"/>
        <v>金币</v>
      </c>
      <c r="S318" s="15">
        <f t="shared" si="61"/>
        <v>10000</v>
      </c>
      <c r="T318" s="15" t="str">
        <f t="shared" si="62"/>
        <v>中级专属强化石</v>
      </c>
      <c r="U318" s="15">
        <f t="shared" si="63"/>
        <v>8</v>
      </c>
      <c r="V318" s="15" t="str">
        <f t="shared" si="64"/>
        <v>高级专属强化石</v>
      </c>
      <c r="W318" s="15">
        <f t="shared" si="65"/>
        <v>3</v>
      </c>
      <c r="X318" s="15">
        <f t="shared" si="66"/>
        <v>0.1</v>
      </c>
      <c r="Y318" s="15">
        <f t="shared" si="67"/>
        <v>1</v>
      </c>
      <c r="Z318" s="15">
        <f t="shared" si="68"/>
        <v>30</v>
      </c>
      <c r="AA318" s="15">
        <f t="shared" si="69"/>
        <v>0.50670000000000004</v>
      </c>
    </row>
    <row r="319" spans="13:27" ht="16.5" x14ac:dyDescent="0.2">
      <c r="M319" s="15">
        <v>240</v>
      </c>
      <c r="N319" s="15">
        <f t="shared" si="58"/>
        <v>5</v>
      </c>
      <c r="O319" s="15">
        <f>INDEX(卡牌消耗!$H$13:$H$33,世界BOSS专属武器!N319)</f>
        <v>1501005</v>
      </c>
      <c r="P319" s="49" t="s">
        <v>480</v>
      </c>
      <c r="Q319" s="15">
        <f t="shared" si="59"/>
        <v>35</v>
      </c>
      <c r="R319" s="49" t="str">
        <f t="shared" si="60"/>
        <v>金币</v>
      </c>
      <c r="S319" s="15">
        <f t="shared" si="61"/>
        <v>10000</v>
      </c>
      <c r="T319" s="15" t="str">
        <f t="shared" si="62"/>
        <v>中级专属强化石</v>
      </c>
      <c r="U319" s="15">
        <f t="shared" si="63"/>
        <v>8</v>
      </c>
      <c r="V319" s="15" t="str">
        <f t="shared" si="64"/>
        <v>高级专属强化石</v>
      </c>
      <c r="W319" s="15">
        <f t="shared" si="65"/>
        <v>3</v>
      </c>
      <c r="X319" s="15">
        <f t="shared" si="66"/>
        <v>0.1</v>
      </c>
      <c r="Y319" s="15">
        <f t="shared" si="67"/>
        <v>1</v>
      </c>
      <c r="Z319" s="15">
        <f t="shared" si="68"/>
        <v>30</v>
      </c>
      <c r="AA319" s="15">
        <f t="shared" si="69"/>
        <v>0.5333</v>
      </c>
    </row>
    <row r="320" spans="13:27" ht="16.5" x14ac:dyDescent="0.2">
      <c r="M320" s="15">
        <v>241</v>
      </c>
      <c r="N320" s="15">
        <f t="shared" si="58"/>
        <v>5</v>
      </c>
      <c r="O320" s="15">
        <f>INDEX(卡牌消耗!$H$13:$H$33,世界BOSS专属武器!N320)</f>
        <v>1501005</v>
      </c>
      <c r="P320" s="49" t="s">
        <v>480</v>
      </c>
      <c r="Q320" s="15">
        <f t="shared" si="59"/>
        <v>36</v>
      </c>
      <c r="R320" s="49" t="str">
        <f t="shared" si="60"/>
        <v>金币</v>
      </c>
      <c r="S320" s="15">
        <f t="shared" si="61"/>
        <v>10000</v>
      </c>
      <c r="T320" s="15" t="str">
        <f t="shared" si="62"/>
        <v>中级专属强化石</v>
      </c>
      <c r="U320" s="15">
        <f t="shared" si="63"/>
        <v>8</v>
      </c>
      <c r="V320" s="15" t="str">
        <f t="shared" si="64"/>
        <v>高级专属强化石</v>
      </c>
      <c r="W320" s="15">
        <f t="shared" si="65"/>
        <v>3</v>
      </c>
      <c r="X320" s="15">
        <f t="shared" si="66"/>
        <v>0.1</v>
      </c>
      <c r="Y320" s="15">
        <f t="shared" si="67"/>
        <v>1</v>
      </c>
      <c r="Z320" s="15">
        <f t="shared" si="68"/>
        <v>30</v>
      </c>
      <c r="AA320" s="15">
        <f t="shared" si="69"/>
        <v>0.56000000000000005</v>
      </c>
    </row>
    <row r="321" spans="13:27" ht="16.5" x14ac:dyDescent="0.2">
      <c r="M321" s="15">
        <v>242</v>
      </c>
      <c r="N321" s="15">
        <f t="shared" si="58"/>
        <v>5</v>
      </c>
      <c r="O321" s="15">
        <f>INDEX(卡牌消耗!$H$13:$H$33,世界BOSS专属武器!N321)</f>
        <v>1501005</v>
      </c>
      <c r="P321" s="49" t="s">
        <v>480</v>
      </c>
      <c r="Q321" s="15">
        <f t="shared" si="59"/>
        <v>37</v>
      </c>
      <c r="R321" s="49" t="str">
        <f t="shared" si="60"/>
        <v>金币</v>
      </c>
      <c r="S321" s="15">
        <f t="shared" si="61"/>
        <v>10000</v>
      </c>
      <c r="T321" s="15" t="str">
        <f t="shared" si="62"/>
        <v>中级专属强化石</v>
      </c>
      <c r="U321" s="15">
        <f t="shared" si="63"/>
        <v>8</v>
      </c>
      <c r="V321" s="15" t="str">
        <f t="shared" si="64"/>
        <v>高级专属强化石</v>
      </c>
      <c r="W321" s="15">
        <f t="shared" si="65"/>
        <v>3</v>
      </c>
      <c r="X321" s="15">
        <f t="shared" si="66"/>
        <v>0.1</v>
      </c>
      <c r="Y321" s="15">
        <f t="shared" si="67"/>
        <v>1</v>
      </c>
      <c r="Z321" s="15">
        <f t="shared" si="68"/>
        <v>30</v>
      </c>
      <c r="AA321" s="15">
        <f t="shared" si="69"/>
        <v>0.5867</v>
      </c>
    </row>
    <row r="322" spans="13:27" ht="16.5" x14ac:dyDescent="0.2">
      <c r="M322" s="15">
        <v>243</v>
      </c>
      <c r="N322" s="15">
        <f t="shared" si="58"/>
        <v>5</v>
      </c>
      <c r="O322" s="15">
        <f>INDEX(卡牌消耗!$H$13:$H$33,世界BOSS专属武器!N322)</f>
        <v>1501005</v>
      </c>
      <c r="P322" s="49" t="s">
        <v>480</v>
      </c>
      <c r="Q322" s="15">
        <f t="shared" si="59"/>
        <v>38</v>
      </c>
      <c r="R322" s="49" t="str">
        <f t="shared" si="60"/>
        <v>金币</v>
      </c>
      <c r="S322" s="15">
        <f t="shared" si="61"/>
        <v>10000</v>
      </c>
      <c r="T322" s="15" t="str">
        <f t="shared" si="62"/>
        <v>中级专属强化石</v>
      </c>
      <c r="U322" s="15">
        <f t="shared" si="63"/>
        <v>8</v>
      </c>
      <c r="V322" s="15" t="str">
        <f t="shared" si="64"/>
        <v>高级专属强化石</v>
      </c>
      <c r="W322" s="15">
        <f t="shared" si="65"/>
        <v>3</v>
      </c>
      <c r="X322" s="15">
        <f t="shared" si="66"/>
        <v>0.1</v>
      </c>
      <c r="Y322" s="15">
        <f t="shared" si="67"/>
        <v>1</v>
      </c>
      <c r="Z322" s="15">
        <f t="shared" si="68"/>
        <v>30</v>
      </c>
      <c r="AA322" s="15">
        <f t="shared" si="69"/>
        <v>0.61329999999999996</v>
      </c>
    </row>
    <row r="323" spans="13:27" ht="16.5" x14ac:dyDescent="0.2">
      <c r="M323" s="15">
        <v>244</v>
      </c>
      <c r="N323" s="15">
        <f t="shared" si="58"/>
        <v>5</v>
      </c>
      <c r="O323" s="15">
        <f>INDEX(卡牌消耗!$H$13:$H$33,世界BOSS专属武器!N323)</f>
        <v>1501005</v>
      </c>
      <c r="P323" s="49" t="s">
        <v>480</v>
      </c>
      <c r="Q323" s="15">
        <f t="shared" si="59"/>
        <v>39</v>
      </c>
      <c r="R323" s="49" t="str">
        <f t="shared" si="60"/>
        <v>金币</v>
      </c>
      <c r="S323" s="15">
        <f t="shared" si="61"/>
        <v>10000</v>
      </c>
      <c r="T323" s="15" t="str">
        <f t="shared" si="62"/>
        <v>中级专属强化石</v>
      </c>
      <c r="U323" s="15">
        <f t="shared" si="63"/>
        <v>8</v>
      </c>
      <c r="V323" s="15" t="str">
        <f t="shared" si="64"/>
        <v>高级专属强化石</v>
      </c>
      <c r="W323" s="15">
        <f t="shared" si="65"/>
        <v>3</v>
      </c>
      <c r="X323" s="15">
        <f t="shared" si="66"/>
        <v>0.1</v>
      </c>
      <c r="Y323" s="15">
        <f t="shared" si="67"/>
        <v>1</v>
      </c>
      <c r="Z323" s="15">
        <f t="shared" si="68"/>
        <v>30</v>
      </c>
      <c r="AA323" s="15">
        <f t="shared" si="69"/>
        <v>0.64</v>
      </c>
    </row>
    <row r="324" spans="13:27" ht="16.5" x14ac:dyDescent="0.2">
      <c r="M324" s="15">
        <v>245</v>
      </c>
      <c r="N324" s="15">
        <f t="shared" si="58"/>
        <v>5</v>
      </c>
      <c r="O324" s="15">
        <f>INDEX(卡牌消耗!$H$13:$H$33,世界BOSS专属武器!N324)</f>
        <v>1501005</v>
      </c>
      <c r="P324" s="49" t="s">
        <v>480</v>
      </c>
      <c r="Q324" s="15">
        <f t="shared" si="59"/>
        <v>40</v>
      </c>
      <c r="R324" s="49" t="str">
        <f t="shared" si="60"/>
        <v>金币</v>
      </c>
      <c r="S324" s="15">
        <f t="shared" si="61"/>
        <v>20000</v>
      </c>
      <c r="T324" s="15" t="str">
        <f t="shared" si="62"/>
        <v>高级专属强化石</v>
      </c>
      <c r="U324" s="15">
        <f t="shared" si="63"/>
        <v>5</v>
      </c>
      <c r="V324" s="15" t="str">
        <f t="shared" si="64"/>
        <v>[x]</v>
      </c>
      <c r="W324" s="15" t="str">
        <f t="shared" si="65"/>
        <v>[x]</v>
      </c>
      <c r="X324" s="15">
        <f t="shared" si="66"/>
        <v>0.1</v>
      </c>
      <c r="Y324" s="15">
        <f t="shared" si="67"/>
        <v>1</v>
      </c>
      <c r="Z324" s="15">
        <f t="shared" si="68"/>
        <v>35</v>
      </c>
      <c r="AA324" s="15">
        <f t="shared" si="69"/>
        <v>0.66669999999999996</v>
      </c>
    </row>
    <row r="325" spans="13:27" ht="16.5" x14ac:dyDescent="0.2">
      <c r="M325" s="15">
        <v>246</v>
      </c>
      <c r="N325" s="15">
        <f t="shared" si="58"/>
        <v>5</v>
      </c>
      <c r="O325" s="15">
        <f>INDEX(卡牌消耗!$H$13:$H$33,世界BOSS专属武器!N325)</f>
        <v>1501005</v>
      </c>
      <c r="P325" s="49" t="s">
        <v>480</v>
      </c>
      <c r="Q325" s="15">
        <f t="shared" si="59"/>
        <v>41</v>
      </c>
      <c r="R325" s="49" t="str">
        <f t="shared" si="60"/>
        <v>金币</v>
      </c>
      <c r="S325" s="15">
        <f t="shared" si="61"/>
        <v>20000</v>
      </c>
      <c r="T325" s="15" t="str">
        <f t="shared" si="62"/>
        <v>高级专属强化石</v>
      </c>
      <c r="U325" s="15">
        <f t="shared" si="63"/>
        <v>5</v>
      </c>
      <c r="V325" s="15" t="str">
        <f t="shared" si="64"/>
        <v>[x]</v>
      </c>
      <c r="W325" s="15" t="str">
        <f t="shared" si="65"/>
        <v>[x]</v>
      </c>
      <c r="X325" s="15">
        <f t="shared" si="66"/>
        <v>0.1</v>
      </c>
      <c r="Y325" s="15">
        <f t="shared" si="67"/>
        <v>1</v>
      </c>
      <c r="Z325" s="15">
        <f t="shared" si="68"/>
        <v>40</v>
      </c>
      <c r="AA325" s="15">
        <f t="shared" si="69"/>
        <v>0.7</v>
      </c>
    </row>
    <row r="326" spans="13:27" ht="16.5" x14ac:dyDescent="0.2">
      <c r="M326" s="15">
        <v>247</v>
      </c>
      <c r="N326" s="15">
        <f t="shared" si="58"/>
        <v>5</v>
      </c>
      <c r="O326" s="15">
        <f>INDEX(卡牌消耗!$H$13:$H$33,世界BOSS专属武器!N326)</f>
        <v>1501005</v>
      </c>
      <c r="P326" s="49" t="s">
        <v>480</v>
      </c>
      <c r="Q326" s="15">
        <f t="shared" si="59"/>
        <v>42</v>
      </c>
      <c r="R326" s="49" t="str">
        <f t="shared" si="60"/>
        <v>金币</v>
      </c>
      <c r="S326" s="15">
        <f t="shared" si="61"/>
        <v>20000</v>
      </c>
      <c r="T326" s="15" t="str">
        <f t="shared" si="62"/>
        <v>高级专属强化石</v>
      </c>
      <c r="U326" s="15">
        <f t="shared" si="63"/>
        <v>5</v>
      </c>
      <c r="V326" s="15" t="str">
        <f t="shared" si="64"/>
        <v>[x]</v>
      </c>
      <c r="W326" s="15" t="str">
        <f t="shared" si="65"/>
        <v>[x]</v>
      </c>
      <c r="X326" s="15">
        <f t="shared" si="66"/>
        <v>0.1</v>
      </c>
      <c r="Y326" s="15">
        <f t="shared" si="67"/>
        <v>1</v>
      </c>
      <c r="Z326" s="15">
        <f t="shared" si="68"/>
        <v>45</v>
      </c>
      <c r="AA326" s="15">
        <f t="shared" si="69"/>
        <v>0.73329999999999995</v>
      </c>
    </row>
    <row r="327" spans="13:27" ht="16.5" x14ac:dyDescent="0.2">
      <c r="M327" s="15">
        <v>248</v>
      </c>
      <c r="N327" s="15">
        <f t="shared" si="58"/>
        <v>5</v>
      </c>
      <c r="O327" s="15">
        <f>INDEX(卡牌消耗!$H$13:$H$33,世界BOSS专属武器!N327)</f>
        <v>1501005</v>
      </c>
      <c r="P327" s="49" t="s">
        <v>480</v>
      </c>
      <c r="Q327" s="15">
        <f t="shared" si="59"/>
        <v>43</v>
      </c>
      <c r="R327" s="49" t="str">
        <f t="shared" si="60"/>
        <v>金币</v>
      </c>
      <c r="S327" s="15">
        <f t="shared" si="61"/>
        <v>20000</v>
      </c>
      <c r="T327" s="15" t="str">
        <f t="shared" si="62"/>
        <v>高级专属强化石</v>
      </c>
      <c r="U327" s="15">
        <f t="shared" si="63"/>
        <v>5</v>
      </c>
      <c r="V327" s="15" t="str">
        <f t="shared" si="64"/>
        <v>[x]</v>
      </c>
      <c r="W327" s="15" t="str">
        <f t="shared" si="65"/>
        <v>[x]</v>
      </c>
      <c r="X327" s="15">
        <f t="shared" si="66"/>
        <v>0.1</v>
      </c>
      <c r="Y327" s="15">
        <f t="shared" si="67"/>
        <v>1</v>
      </c>
      <c r="Z327" s="15">
        <f t="shared" si="68"/>
        <v>50</v>
      </c>
      <c r="AA327" s="15">
        <f t="shared" si="69"/>
        <v>0.76670000000000005</v>
      </c>
    </row>
    <row r="328" spans="13:27" ht="16.5" x14ac:dyDescent="0.2">
      <c r="M328" s="15">
        <v>249</v>
      </c>
      <c r="N328" s="15">
        <f t="shared" si="58"/>
        <v>5</v>
      </c>
      <c r="O328" s="15">
        <f>INDEX(卡牌消耗!$H$13:$H$33,世界BOSS专属武器!N328)</f>
        <v>1501005</v>
      </c>
      <c r="P328" s="49" t="s">
        <v>480</v>
      </c>
      <c r="Q328" s="15">
        <f t="shared" si="59"/>
        <v>44</v>
      </c>
      <c r="R328" s="49" t="str">
        <f t="shared" si="60"/>
        <v>金币</v>
      </c>
      <c r="S328" s="15">
        <f t="shared" si="61"/>
        <v>20000</v>
      </c>
      <c r="T328" s="15" t="str">
        <f t="shared" si="62"/>
        <v>高级专属强化石</v>
      </c>
      <c r="U328" s="15">
        <f t="shared" si="63"/>
        <v>5</v>
      </c>
      <c r="V328" s="15" t="str">
        <f t="shared" si="64"/>
        <v>[x]</v>
      </c>
      <c r="W328" s="15" t="str">
        <f t="shared" si="65"/>
        <v>[x]</v>
      </c>
      <c r="X328" s="15">
        <f t="shared" si="66"/>
        <v>0.1</v>
      </c>
      <c r="Y328" s="15">
        <f t="shared" si="67"/>
        <v>1</v>
      </c>
      <c r="Z328" s="15">
        <f t="shared" si="68"/>
        <v>55</v>
      </c>
      <c r="AA328" s="15">
        <f t="shared" si="69"/>
        <v>0.8</v>
      </c>
    </row>
    <row r="329" spans="13:27" ht="16.5" x14ac:dyDescent="0.2">
      <c r="M329" s="15">
        <v>250</v>
      </c>
      <c r="N329" s="15">
        <f t="shared" si="58"/>
        <v>5</v>
      </c>
      <c r="O329" s="15">
        <f>INDEX(卡牌消耗!$H$13:$H$33,世界BOSS专属武器!N329)</f>
        <v>1501005</v>
      </c>
      <c r="P329" s="49" t="s">
        <v>480</v>
      </c>
      <c r="Q329" s="15">
        <f t="shared" si="59"/>
        <v>45</v>
      </c>
      <c r="R329" s="49" t="str">
        <f t="shared" si="60"/>
        <v>金币</v>
      </c>
      <c r="S329" s="15">
        <f t="shared" si="61"/>
        <v>20000</v>
      </c>
      <c r="T329" s="15" t="str">
        <f t="shared" si="62"/>
        <v>高级专属强化石</v>
      </c>
      <c r="U329" s="15">
        <f t="shared" si="63"/>
        <v>6</v>
      </c>
      <c r="V329" s="15" t="str">
        <f t="shared" si="64"/>
        <v>[x]</v>
      </c>
      <c r="W329" s="15" t="str">
        <f t="shared" si="65"/>
        <v>[x]</v>
      </c>
      <c r="X329" s="15">
        <f t="shared" si="66"/>
        <v>0.1</v>
      </c>
      <c r="Y329" s="15">
        <f t="shared" si="67"/>
        <v>1</v>
      </c>
      <c r="Z329" s="15">
        <f t="shared" si="68"/>
        <v>60</v>
      </c>
      <c r="AA329" s="15">
        <f t="shared" si="69"/>
        <v>0.83330000000000004</v>
      </c>
    </row>
    <row r="330" spans="13:27" ht="16.5" x14ac:dyDescent="0.2">
      <c r="M330" s="15">
        <v>251</v>
      </c>
      <c r="N330" s="15">
        <f t="shared" si="58"/>
        <v>5</v>
      </c>
      <c r="O330" s="15">
        <f>INDEX(卡牌消耗!$H$13:$H$33,世界BOSS专属武器!N330)</f>
        <v>1501005</v>
      </c>
      <c r="P330" s="49" t="s">
        <v>480</v>
      </c>
      <c r="Q330" s="15">
        <f t="shared" si="59"/>
        <v>46</v>
      </c>
      <c r="R330" s="49" t="str">
        <f t="shared" si="60"/>
        <v>金币</v>
      </c>
      <c r="S330" s="15">
        <f t="shared" si="61"/>
        <v>20000</v>
      </c>
      <c r="T330" s="15" t="str">
        <f t="shared" si="62"/>
        <v>高级专属强化石</v>
      </c>
      <c r="U330" s="15">
        <f t="shared" si="63"/>
        <v>7</v>
      </c>
      <c r="V330" s="15" t="str">
        <f t="shared" si="64"/>
        <v>[x]</v>
      </c>
      <c r="W330" s="15" t="str">
        <f t="shared" si="65"/>
        <v>[x]</v>
      </c>
      <c r="X330" s="15">
        <f t="shared" si="66"/>
        <v>0.1</v>
      </c>
      <c r="Y330" s="15">
        <f t="shared" si="67"/>
        <v>1</v>
      </c>
      <c r="Z330" s="15">
        <f t="shared" si="68"/>
        <v>70</v>
      </c>
      <c r="AA330" s="15">
        <f t="shared" si="69"/>
        <v>0.86670000000000003</v>
      </c>
    </row>
    <row r="331" spans="13:27" ht="16.5" x14ac:dyDescent="0.2">
      <c r="M331" s="15">
        <v>252</v>
      </c>
      <c r="N331" s="15">
        <f t="shared" si="58"/>
        <v>5</v>
      </c>
      <c r="O331" s="15">
        <f>INDEX(卡牌消耗!$H$13:$H$33,世界BOSS专属武器!N331)</f>
        <v>1501005</v>
      </c>
      <c r="P331" s="49" t="s">
        <v>480</v>
      </c>
      <c r="Q331" s="15">
        <f t="shared" si="59"/>
        <v>47</v>
      </c>
      <c r="R331" s="49" t="str">
        <f t="shared" si="60"/>
        <v>金币</v>
      </c>
      <c r="S331" s="15">
        <f t="shared" si="61"/>
        <v>20000</v>
      </c>
      <c r="T331" s="15" t="str">
        <f t="shared" si="62"/>
        <v>高级专属强化石</v>
      </c>
      <c r="U331" s="15">
        <f t="shared" si="63"/>
        <v>8</v>
      </c>
      <c r="V331" s="15" t="str">
        <f t="shared" si="64"/>
        <v>[x]</v>
      </c>
      <c r="W331" s="15" t="str">
        <f t="shared" si="65"/>
        <v>[x]</v>
      </c>
      <c r="X331" s="15">
        <f t="shared" si="66"/>
        <v>0.1</v>
      </c>
      <c r="Y331" s="15">
        <f t="shared" si="67"/>
        <v>1</v>
      </c>
      <c r="Z331" s="15">
        <f t="shared" si="68"/>
        <v>80</v>
      </c>
      <c r="AA331" s="15">
        <f t="shared" si="69"/>
        <v>0.9</v>
      </c>
    </row>
    <row r="332" spans="13:27" ht="16.5" x14ac:dyDescent="0.2">
      <c r="M332" s="15">
        <v>253</v>
      </c>
      <c r="N332" s="15">
        <f t="shared" si="58"/>
        <v>5</v>
      </c>
      <c r="O332" s="15">
        <f>INDEX(卡牌消耗!$H$13:$H$33,世界BOSS专属武器!N332)</f>
        <v>1501005</v>
      </c>
      <c r="P332" s="49" t="s">
        <v>480</v>
      </c>
      <c r="Q332" s="15">
        <f t="shared" si="59"/>
        <v>48</v>
      </c>
      <c r="R332" s="49" t="str">
        <f t="shared" si="60"/>
        <v>金币</v>
      </c>
      <c r="S332" s="15">
        <f t="shared" si="61"/>
        <v>20000</v>
      </c>
      <c r="T332" s="15" t="str">
        <f t="shared" si="62"/>
        <v>高级专属强化石</v>
      </c>
      <c r="U332" s="15">
        <f t="shared" si="63"/>
        <v>9</v>
      </c>
      <c r="V332" s="15" t="str">
        <f t="shared" si="64"/>
        <v>[x]</v>
      </c>
      <c r="W332" s="15" t="str">
        <f t="shared" si="65"/>
        <v>[x]</v>
      </c>
      <c r="X332" s="15">
        <f t="shared" si="66"/>
        <v>0.1</v>
      </c>
      <c r="Y332" s="15">
        <f t="shared" si="67"/>
        <v>1</v>
      </c>
      <c r="Z332" s="15">
        <f t="shared" si="68"/>
        <v>100</v>
      </c>
      <c r="AA332" s="15">
        <f t="shared" si="69"/>
        <v>0.93330000000000002</v>
      </c>
    </row>
    <row r="333" spans="13:27" ht="16.5" x14ac:dyDescent="0.2">
      <c r="M333" s="15">
        <v>254</v>
      </c>
      <c r="N333" s="15">
        <f t="shared" si="58"/>
        <v>5</v>
      </c>
      <c r="O333" s="15">
        <f>INDEX(卡牌消耗!$H$13:$H$33,世界BOSS专属武器!N333)</f>
        <v>1501005</v>
      </c>
      <c r="P333" s="49" t="s">
        <v>480</v>
      </c>
      <c r="Q333" s="15">
        <f t="shared" si="59"/>
        <v>49</v>
      </c>
      <c r="R333" s="49" t="str">
        <f t="shared" si="60"/>
        <v>金币</v>
      </c>
      <c r="S333" s="15">
        <f t="shared" si="61"/>
        <v>20000</v>
      </c>
      <c r="T333" s="15" t="str">
        <f t="shared" si="62"/>
        <v>高级专属强化石</v>
      </c>
      <c r="U333" s="15">
        <f t="shared" si="63"/>
        <v>10</v>
      </c>
      <c r="V333" s="15" t="str">
        <f t="shared" si="64"/>
        <v>[x]</v>
      </c>
      <c r="W333" s="15" t="str">
        <f t="shared" si="65"/>
        <v>[x]</v>
      </c>
      <c r="X333" s="15">
        <f t="shared" si="66"/>
        <v>0.1</v>
      </c>
      <c r="Y333" s="15">
        <f t="shared" si="67"/>
        <v>1</v>
      </c>
      <c r="Z333" s="15">
        <f t="shared" si="68"/>
        <v>120</v>
      </c>
      <c r="AA333" s="15">
        <f t="shared" si="69"/>
        <v>0.9667</v>
      </c>
    </row>
    <row r="334" spans="13:27" ht="16.5" x14ac:dyDescent="0.2">
      <c r="M334" s="15">
        <v>255</v>
      </c>
      <c r="N334" s="15">
        <f t="shared" si="58"/>
        <v>5</v>
      </c>
      <c r="O334" s="15">
        <f>INDEX(卡牌消耗!$H$13:$H$33,世界BOSS专属武器!N334)</f>
        <v>1501005</v>
      </c>
      <c r="P334" s="49" t="s">
        <v>480</v>
      </c>
      <c r="Q334" s="15">
        <f t="shared" si="59"/>
        <v>50</v>
      </c>
      <c r="R334" s="49" t="str">
        <f t="shared" si="60"/>
        <v>金币</v>
      </c>
      <c r="S334" s="15">
        <f t="shared" si="61"/>
        <v>20000</v>
      </c>
      <c r="T334" s="15" t="str">
        <f t="shared" si="62"/>
        <v>高级专属强化石</v>
      </c>
      <c r="U334" s="15">
        <f t="shared" si="63"/>
        <v>15</v>
      </c>
      <c r="V334" s="15" t="str">
        <f t="shared" si="64"/>
        <v>[x]</v>
      </c>
      <c r="W334" s="15" t="str">
        <f t="shared" si="65"/>
        <v>[x]</v>
      </c>
      <c r="X334" s="15">
        <f t="shared" si="66"/>
        <v>0.1</v>
      </c>
      <c r="Y334" s="15">
        <f t="shared" si="67"/>
        <v>1</v>
      </c>
      <c r="Z334" s="15">
        <f t="shared" si="68"/>
        <v>150</v>
      </c>
      <c r="AA334" s="15">
        <f t="shared" si="69"/>
        <v>1</v>
      </c>
    </row>
    <row r="335" spans="13:27" ht="16.5" x14ac:dyDescent="0.2">
      <c r="M335" s="15">
        <v>256</v>
      </c>
      <c r="N335" s="15">
        <f t="shared" si="58"/>
        <v>6</v>
      </c>
      <c r="O335" s="15">
        <f>INDEX(卡牌消耗!$H$13:$H$33,世界BOSS专属武器!N335)</f>
        <v>1501006</v>
      </c>
      <c r="P335" s="49" t="s">
        <v>480</v>
      </c>
      <c r="Q335" s="15">
        <f t="shared" si="59"/>
        <v>0</v>
      </c>
      <c r="R335" s="49" t="str">
        <f t="shared" si="60"/>
        <v>[x]</v>
      </c>
      <c r="S335" s="15" t="str">
        <f t="shared" si="61"/>
        <v>[x]</v>
      </c>
      <c r="T335" s="15" t="str">
        <f t="shared" si="62"/>
        <v>[x]</v>
      </c>
      <c r="U335" s="15" t="str">
        <f t="shared" si="63"/>
        <v>[x]</v>
      </c>
      <c r="V335" s="15" t="str">
        <f t="shared" si="64"/>
        <v>[x]</v>
      </c>
      <c r="W335" s="15" t="str">
        <f t="shared" si="65"/>
        <v>[x]</v>
      </c>
      <c r="X335" s="15" t="str">
        <f t="shared" si="66"/>
        <v>[x]</v>
      </c>
      <c r="Y335" s="15" t="str">
        <f t="shared" si="67"/>
        <v>[x]</v>
      </c>
      <c r="Z335" s="15" t="str">
        <f t="shared" si="68"/>
        <v>[x]</v>
      </c>
      <c r="AA335" s="15" t="str">
        <f t="shared" si="69"/>
        <v>[x]</v>
      </c>
    </row>
    <row r="336" spans="13:27" ht="16.5" x14ac:dyDescent="0.2">
      <c r="M336" s="15">
        <v>257</v>
      </c>
      <c r="N336" s="15">
        <f t="shared" si="58"/>
        <v>6</v>
      </c>
      <c r="O336" s="15">
        <f>INDEX(卡牌消耗!$H$13:$H$33,世界BOSS专属武器!N336)</f>
        <v>1501006</v>
      </c>
      <c r="P336" s="49" t="s">
        <v>480</v>
      </c>
      <c r="Q336" s="15">
        <f t="shared" si="59"/>
        <v>1</v>
      </c>
      <c r="R336" s="49" t="str">
        <f t="shared" si="60"/>
        <v>金币</v>
      </c>
      <c r="S336" s="15">
        <f t="shared" si="61"/>
        <v>100</v>
      </c>
      <c r="T336" s="15" t="str">
        <f t="shared" si="62"/>
        <v>低级专属强化石</v>
      </c>
      <c r="U336" s="15">
        <f t="shared" si="63"/>
        <v>1</v>
      </c>
      <c r="V336" s="15" t="str">
        <f t="shared" si="64"/>
        <v>[x]</v>
      </c>
      <c r="W336" s="15" t="str">
        <f t="shared" si="65"/>
        <v>[x]</v>
      </c>
      <c r="X336" s="15">
        <f t="shared" si="66"/>
        <v>1</v>
      </c>
      <c r="Y336" s="15">
        <f t="shared" si="67"/>
        <v>1</v>
      </c>
      <c r="Z336" s="15">
        <f t="shared" si="68"/>
        <v>1</v>
      </c>
      <c r="AA336" s="15">
        <f t="shared" si="69"/>
        <v>6.7000000000000002E-3</v>
      </c>
    </row>
    <row r="337" spans="13:27" ht="16.5" x14ac:dyDescent="0.2">
      <c r="M337" s="15">
        <v>258</v>
      </c>
      <c r="N337" s="15">
        <f t="shared" ref="N337:N400" si="70">INT((M337-1)/51)+1</f>
        <v>6</v>
      </c>
      <c r="O337" s="15">
        <f>INDEX(卡牌消耗!$H$13:$H$33,世界BOSS专属武器!N337)</f>
        <v>1501006</v>
      </c>
      <c r="P337" s="49" t="s">
        <v>480</v>
      </c>
      <c r="Q337" s="15">
        <f t="shared" ref="Q337:Q400" si="71">MOD(M337-1,51)</f>
        <v>2</v>
      </c>
      <c r="R337" s="49" t="str">
        <f t="shared" ref="R337:R400" si="72">IF(Q337&gt;0,"金币","[x]")</f>
        <v>金币</v>
      </c>
      <c r="S337" s="15">
        <f t="shared" ref="S337:S400" si="73">IF(Q337&gt;0,INDEX($V$27:$V$76,Q337),"[x]")</f>
        <v>200</v>
      </c>
      <c r="T337" s="15" t="str">
        <f t="shared" ref="T337:T400" si="74">IF(Q337&gt;0,INDEX($W$27:$W$76,Q337),"[x]")</f>
        <v>低级专属强化石</v>
      </c>
      <c r="U337" s="15">
        <f t="shared" ref="U337:U400" si="75">IF(Q337&gt;0,INDEX($AA$27:$AF$76,Q337,INDEX($Y$27:$Y$76,Q337)),"[x]")</f>
        <v>1</v>
      </c>
      <c r="V337" s="15" t="str">
        <f t="shared" ref="V337:V400" si="76">IF(AND(Q337&gt;=20,Q337&lt;40),INDEX($X$27:$X$76,Q337),"[x]")</f>
        <v>[x]</v>
      </c>
      <c r="W337" s="15" t="str">
        <f t="shared" ref="W337:W400" si="77">IF(AND(Q337&gt;=20,Q337&lt;40),INDEX($AA$27:$AF$76,Q337,INDEX($Z$27:$Z$76,Q337)),"[x]")</f>
        <v>[x]</v>
      </c>
      <c r="X337" s="15">
        <f t="shared" ref="X337:X400" si="78">IF(Q337&gt;0,INDEX($T$27:$T$76,Q337),"[x]")</f>
        <v>0.5</v>
      </c>
      <c r="Y337" s="15">
        <f t="shared" ref="Y337:Y400" si="79">IF(Q337&gt;0,1,"[x]")</f>
        <v>1</v>
      </c>
      <c r="Z337" s="15">
        <f t="shared" ref="Z337:Z400" si="80">IF(Q337&gt;0,INDEX($AG$27:$AG$76,Q337),"[x]")</f>
        <v>2</v>
      </c>
      <c r="AA337" s="15">
        <f t="shared" ref="AA337:AA400" si="81">IF(Q337&gt;0,INDEX($AL$27:$AL$76,Q337),"[x]")</f>
        <v>1.3299999999999999E-2</v>
      </c>
    </row>
    <row r="338" spans="13:27" ht="16.5" x14ac:dyDescent="0.2">
      <c r="M338" s="15">
        <v>259</v>
      </c>
      <c r="N338" s="15">
        <f t="shared" si="70"/>
        <v>6</v>
      </c>
      <c r="O338" s="15">
        <f>INDEX(卡牌消耗!$H$13:$H$33,世界BOSS专属武器!N338)</f>
        <v>1501006</v>
      </c>
      <c r="P338" s="49" t="s">
        <v>480</v>
      </c>
      <c r="Q338" s="15">
        <f t="shared" si="71"/>
        <v>3</v>
      </c>
      <c r="R338" s="49" t="str">
        <f t="shared" si="72"/>
        <v>金币</v>
      </c>
      <c r="S338" s="15">
        <f t="shared" si="73"/>
        <v>300</v>
      </c>
      <c r="T338" s="15" t="str">
        <f t="shared" si="74"/>
        <v>低级专属强化石</v>
      </c>
      <c r="U338" s="15">
        <f t="shared" si="75"/>
        <v>2</v>
      </c>
      <c r="V338" s="15" t="str">
        <f t="shared" si="76"/>
        <v>[x]</v>
      </c>
      <c r="W338" s="15" t="str">
        <f t="shared" si="77"/>
        <v>[x]</v>
      </c>
      <c r="X338" s="15">
        <f t="shared" si="78"/>
        <v>0.48</v>
      </c>
      <c r="Y338" s="15">
        <f t="shared" si="79"/>
        <v>1</v>
      </c>
      <c r="Z338" s="15">
        <f t="shared" si="80"/>
        <v>3</v>
      </c>
      <c r="AA338" s="15">
        <f t="shared" si="81"/>
        <v>0.02</v>
      </c>
    </row>
    <row r="339" spans="13:27" ht="16.5" x14ac:dyDescent="0.2">
      <c r="M339" s="15">
        <v>260</v>
      </c>
      <c r="N339" s="15">
        <f t="shared" si="70"/>
        <v>6</v>
      </c>
      <c r="O339" s="15">
        <f>INDEX(卡牌消耗!$H$13:$H$33,世界BOSS专属武器!N339)</f>
        <v>1501006</v>
      </c>
      <c r="P339" s="49" t="s">
        <v>480</v>
      </c>
      <c r="Q339" s="15">
        <f t="shared" si="71"/>
        <v>4</v>
      </c>
      <c r="R339" s="49" t="str">
        <f t="shared" si="72"/>
        <v>金币</v>
      </c>
      <c r="S339" s="15">
        <f t="shared" si="73"/>
        <v>400</v>
      </c>
      <c r="T339" s="15" t="str">
        <f t="shared" si="74"/>
        <v>低级专属强化石</v>
      </c>
      <c r="U339" s="15">
        <f t="shared" si="75"/>
        <v>3</v>
      </c>
      <c r="V339" s="15" t="str">
        <f t="shared" si="76"/>
        <v>[x]</v>
      </c>
      <c r="W339" s="15" t="str">
        <f t="shared" si="77"/>
        <v>[x]</v>
      </c>
      <c r="X339" s="15">
        <f t="shared" si="78"/>
        <v>0.46</v>
      </c>
      <c r="Y339" s="15">
        <f t="shared" si="79"/>
        <v>1</v>
      </c>
      <c r="Z339" s="15">
        <f t="shared" si="80"/>
        <v>3</v>
      </c>
      <c r="AA339" s="15">
        <f t="shared" si="81"/>
        <v>2.6700000000000002E-2</v>
      </c>
    </row>
    <row r="340" spans="13:27" ht="16.5" x14ac:dyDescent="0.2">
      <c r="M340" s="15">
        <v>261</v>
      </c>
      <c r="N340" s="15">
        <f t="shared" si="70"/>
        <v>6</v>
      </c>
      <c r="O340" s="15">
        <f>INDEX(卡牌消耗!$H$13:$H$33,世界BOSS专属武器!N340)</f>
        <v>1501006</v>
      </c>
      <c r="P340" s="49" t="s">
        <v>480</v>
      </c>
      <c r="Q340" s="15">
        <f t="shared" si="71"/>
        <v>5</v>
      </c>
      <c r="R340" s="49" t="str">
        <f t="shared" si="72"/>
        <v>金币</v>
      </c>
      <c r="S340" s="15">
        <f t="shared" si="73"/>
        <v>500</v>
      </c>
      <c r="T340" s="15" t="str">
        <f t="shared" si="74"/>
        <v>低级专属强化石</v>
      </c>
      <c r="U340" s="15">
        <f t="shared" si="75"/>
        <v>4</v>
      </c>
      <c r="V340" s="15" t="str">
        <f t="shared" si="76"/>
        <v>[x]</v>
      </c>
      <c r="W340" s="15" t="str">
        <f t="shared" si="77"/>
        <v>[x]</v>
      </c>
      <c r="X340" s="15">
        <f t="shared" si="78"/>
        <v>0.44</v>
      </c>
      <c r="Y340" s="15">
        <f t="shared" si="79"/>
        <v>1</v>
      </c>
      <c r="Z340" s="15">
        <f t="shared" si="80"/>
        <v>3</v>
      </c>
      <c r="AA340" s="15">
        <f t="shared" si="81"/>
        <v>3.3300000000000003E-2</v>
      </c>
    </row>
    <row r="341" spans="13:27" ht="16.5" x14ac:dyDescent="0.2">
      <c r="M341" s="15">
        <v>262</v>
      </c>
      <c r="N341" s="15">
        <f t="shared" si="70"/>
        <v>6</v>
      </c>
      <c r="O341" s="15">
        <f>INDEX(卡牌消耗!$H$13:$H$33,世界BOSS专属武器!N341)</f>
        <v>1501006</v>
      </c>
      <c r="P341" s="49" t="s">
        <v>480</v>
      </c>
      <c r="Q341" s="15">
        <f t="shared" si="71"/>
        <v>6</v>
      </c>
      <c r="R341" s="49" t="str">
        <f t="shared" si="72"/>
        <v>金币</v>
      </c>
      <c r="S341" s="15">
        <f t="shared" si="73"/>
        <v>600</v>
      </c>
      <c r="T341" s="15" t="str">
        <f t="shared" si="74"/>
        <v>低级专属强化石</v>
      </c>
      <c r="U341" s="15">
        <f t="shared" si="75"/>
        <v>5</v>
      </c>
      <c r="V341" s="15" t="str">
        <f t="shared" si="76"/>
        <v>[x]</v>
      </c>
      <c r="W341" s="15" t="str">
        <f t="shared" si="77"/>
        <v>[x]</v>
      </c>
      <c r="X341" s="15">
        <f t="shared" si="78"/>
        <v>0.42</v>
      </c>
      <c r="Y341" s="15">
        <f t="shared" si="79"/>
        <v>1</v>
      </c>
      <c r="Z341" s="15">
        <f t="shared" si="80"/>
        <v>4</v>
      </c>
      <c r="AA341" s="15">
        <f t="shared" si="81"/>
        <v>0.04</v>
      </c>
    </row>
    <row r="342" spans="13:27" ht="16.5" x14ac:dyDescent="0.2">
      <c r="M342" s="15">
        <v>263</v>
      </c>
      <c r="N342" s="15">
        <f t="shared" si="70"/>
        <v>6</v>
      </c>
      <c r="O342" s="15">
        <f>INDEX(卡牌消耗!$H$13:$H$33,世界BOSS专属武器!N342)</f>
        <v>1501006</v>
      </c>
      <c r="P342" s="49" t="s">
        <v>480</v>
      </c>
      <c r="Q342" s="15">
        <f t="shared" si="71"/>
        <v>7</v>
      </c>
      <c r="R342" s="49" t="str">
        <f t="shared" si="72"/>
        <v>金币</v>
      </c>
      <c r="S342" s="15">
        <f t="shared" si="73"/>
        <v>700</v>
      </c>
      <c r="T342" s="15" t="str">
        <f t="shared" si="74"/>
        <v>低级专属强化石</v>
      </c>
      <c r="U342" s="15">
        <f t="shared" si="75"/>
        <v>5</v>
      </c>
      <c r="V342" s="15" t="str">
        <f t="shared" si="76"/>
        <v>[x]</v>
      </c>
      <c r="W342" s="15" t="str">
        <f t="shared" si="77"/>
        <v>[x]</v>
      </c>
      <c r="X342" s="15">
        <f t="shared" si="78"/>
        <v>0.4</v>
      </c>
      <c r="Y342" s="15">
        <f t="shared" si="79"/>
        <v>1</v>
      </c>
      <c r="Z342" s="15">
        <f t="shared" si="80"/>
        <v>4</v>
      </c>
      <c r="AA342" s="15">
        <f t="shared" si="81"/>
        <v>4.6699999999999998E-2</v>
      </c>
    </row>
    <row r="343" spans="13:27" ht="16.5" x14ac:dyDescent="0.2">
      <c r="M343" s="15">
        <v>264</v>
      </c>
      <c r="N343" s="15">
        <f t="shared" si="70"/>
        <v>6</v>
      </c>
      <c r="O343" s="15">
        <f>INDEX(卡牌消耗!$H$13:$H$33,世界BOSS专属武器!N343)</f>
        <v>1501006</v>
      </c>
      <c r="P343" s="49" t="s">
        <v>480</v>
      </c>
      <c r="Q343" s="15">
        <f t="shared" si="71"/>
        <v>8</v>
      </c>
      <c r="R343" s="49" t="str">
        <f t="shared" si="72"/>
        <v>金币</v>
      </c>
      <c r="S343" s="15">
        <f t="shared" si="73"/>
        <v>800</v>
      </c>
      <c r="T343" s="15" t="str">
        <f t="shared" si="74"/>
        <v>低级专属强化石</v>
      </c>
      <c r="U343" s="15">
        <f t="shared" si="75"/>
        <v>5</v>
      </c>
      <c r="V343" s="15" t="str">
        <f t="shared" si="76"/>
        <v>[x]</v>
      </c>
      <c r="W343" s="15" t="str">
        <f t="shared" si="77"/>
        <v>[x]</v>
      </c>
      <c r="X343" s="15">
        <f t="shared" si="78"/>
        <v>0.38</v>
      </c>
      <c r="Y343" s="15">
        <f t="shared" si="79"/>
        <v>1</v>
      </c>
      <c r="Z343" s="15">
        <f t="shared" si="80"/>
        <v>5</v>
      </c>
      <c r="AA343" s="15">
        <f t="shared" si="81"/>
        <v>5.33E-2</v>
      </c>
    </row>
    <row r="344" spans="13:27" ht="16.5" x14ac:dyDescent="0.2">
      <c r="M344" s="15">
        <v>265</v>
      </c>
      <c r="N344" s="15">
        <f t="shared" si="70"/>
        <v>6</v>
      </c>
      <c r="O344" s="15">
        <f>INDEX(卡牌消耗!$H$13:$H$33,世界BOSS专属武器!N344)</f>
        <v>1501006</v>
      </c>
      <c r="P344" s="49" t="s">
        <v>480</v>
      </c>
      <c r="Q344" s="15">
        <f t="shared" si="71"/>
        <v>9</v>
      </c>
      <c r="R344" s="49" t="str">
        <f t="shared" si="72"/>
        <v>金币</v>
      </c>
      <c r="S344" s="15">
        <f t="shared" si="73"/>
        <v>900</v>
      </c>
      <c r="T344" s="15" t="str">
        <f t="shared" si="74"/>
        <v>低级专属强化石</v>
      </c>
      <c r="U344" s="15">
        <f t="shared" si="75"/>
        <v>5</v>
      </c>
      <c r="V344" s="15" t="str">
        <f t="shared" si="76"/>
        <v>[x]</v>
      </c>
      <c r="W344" s="15" t="str">
        <f t="shared" si="77"/>
        <v>[x]</v>
      </c>
      <c r="X344" s="15">
        <f t="shared" si="78"/>
        <v>0.36</v>
      </c>
      <c r="Y344" s="15">
        <f t="shared" si="79"/>
        <v>1</v>
      </c>
      <c r="Z344" s="15">
        <f t="shared" si="80"/>
        <v>5</v>
      </c>
      <c r="AA344" s="15">
        <f t="shared" si="81"/>
        <v>0.06</v>
      </c>
    </row>
    <row r="345" spans="13:27" ht="16.5" x14ac:dyDescent="0.2">
      <c r="M345" s="15">
        <v>266</v>
      </c>
      <c r="N345" s="15">
        <f t="shared" si="70"/>
        <v>6</v>
      </c>
      <c r="O345" s="15">
        <f>INDEX(卡牌消耗!$H$13:$H$33,世界BOSS专属武器!N345)</f>
        <v>1501006</v>
      </c>
      <c r="P345" s="49" t="s">
        <v>480</v>
      </c>
      <c r="Q345" s="15">
        <f t="shared" si="71"/>
        <v>10</v>
      </c>
      <c r="R345" s="49" t="str">
        <f t="shared" si="72"/>
        <v>金币</v>
      </c>
      <c r="S345" s="15">
        <f t="shared" si="73"/>
        <v>1000</v>
      </c>
      <c r="T345" s="15" t="str">
        <f t="shared" si="74"/>
        <v>低级专属强化石</v>
      </c>
      <c r="U345" s="15">
        <f t="shared" si="75"/>
        <v>7</v>
      </c>
      <c r="V345" s="15" t="str">
        <f t="shared" si="76"/>
        <v>[x]</v>
      </c>
      <c r="W345" s="15" t="str">
        <f t="shared" si="77"/>
        <v>[x]</v>
      </c>
      <c r="X345" s="15">
        <f t="shared" si="78"/>
        <v>0.35</v>
      </c>
      <c r="Y345" s="15">
        <f t="shared" si="79"/>
        <v>1</v>
      </c>
      <c r="Z345" s="15">
        <f t="shared" si="80"/>
        <v>5</v>
      </c>
      <c r="AA345" s="15">
        <f t="shared" si="81"/>
        <v>6.6699999999999995E-2</v>
      </c>
    </row>
    <row r="346" spans="13:27" ht="16.5" x14ac:dyDescent="0.2">
      <c r="M346" s="15">
        <v>267</v>
      </c>
      <c r="N346" s="15">
        <f t="shared" si="70"/>
        <v>6</v>
      </c>
      <c r="O346" s="15">
        <f>INDEX(卡牌消耗!$H$13:$H$33,世界BOSS专属武器!N346)</f>
        <v>1501006</v>
      </c>
      <c r="P346" s="49" t="s">
        <v>480</v>
      </c>
      <c r="Q346" s="15">
        <f t="shared" si="71"/>
        <v>11</v>
      </c>
      <c r="R346" s="49" t="str">
        <f t="shared" si="72"/>
        <v>金币</v>
      </c>
      <c r="S346" s="15">
        <f t="shared" si="73"/>
        <v>1000</v>
      </c>
      <c r="T346" s="15" t="str">
        <f t="shared" si="74"/>
        <v>低级专属强化石</v>
      </c>
      <c r="U346" s="15">
        <f t="shared" si="75"/>
        <v>7</v>
      </c>
      <c r="V346" s="15" t="str">
        <f t="shared" si="76"/>
        <v>[x]</v>
      </c>
      <c r="W346" s="15" t="str">
        <f t="shared" si="77"/>
        <v>[x]</v>
      </c>
      <c r="X346" s="15">
        <f t="shared" si="78"/>
        <v>0.33</v>
      </c>
      <c r="Y346" s="15">
        <f t="shared" si="79"/>
        <v>1</v>
      </c>
      <c r="Z346" s="15">
        <f t="shared" si="80"/>
        <v>6</v>
      </c>
      <c r="AA346" s="15">
        <f t="shared" si="81"/>
        <v>0.08</v>
      </c>
    </row>
    <row r="347" spans="13:27" ht="16.5" x14ac:dyDescent="0.2">
      <c r="M347" s="15">
        <v>268</v>
      </c>
      <c r="N347" s="15">
        <f t="shared" si="70"/>
        <v>6</v>
      </c>
      <c r="O347" s="15">
        <f>INDEX(卡牌消耗!$H$13:$H$33,世界BOSS专属武器!N347)</f>
        <v>1501006</v>
      </c>
      <c r="P347" s="49" t="s">
        <v>480</v>
      </c>
      <c r="Q347" s="15">
        <f t="shared" si="71"/>
        <v>12</v>
      </c>
      <c r="R347" s="49" t="str">
        <f t="shared" si="72"/>
        <v>金币</v>
      </c>
      <c r="S347" s="15">
        <f t="shared" si="73"/>
        <v>1000</v>
      </c>
      <c r="T347" s="15" t="str">
        <f t="shared" si="74"/>
        <v>低级专属强化石</v>
      </c>
      <c r="U347" s="15">
        <f t="shared" si="75"/>
        <v>7</v>
      </c>
      <c r="V347" s="15" t="str">
        <f t="shared" si="76"/>
        <v>[x]</v>
      </c>
      <c r="W347" s="15" t="str">
        <f t="shared" si="77"/>
        <v>[x]</v>
      </c>
      <c r="X347" s="15">
        <f t="shared" si="78"/>
        <v>0.31</v>
      </c>
      <c r="Y347" s="15">
        <f t="shared" si="79"/>
        <v>1</v>
      </c>
      <c r="Z347" s="15">
        <f t="shared" si="80"/>
        <v>6</v>
      </c>
      <c r="AA347" s="15">
        <f t="shared" si="81"/>
        <v>9.3299999999999994E-2</v>
      </c>
    </row>
    <row r="348" spans="13:27" ht="16.5" x14ac:dyDescent="0.2">
      <c r="M348" s="15">
        <v>269</v>
      </c>
      <c r="N348" s="15">
        <f t="shared" si="70"/>
        <v>6</v>
      </c>
      <c r="O348" s="15">
        <f>INDEX(卡牌消耗!$H$13:$H$33,世界BOSS专属武器!N348)</f>
        <v>1501006</v>
      </c>
      <c r="P348" s="49" t="s">
        <v>480</v>
      </c>
      <c r="Q348" s="15">
        <f t="shared" si="71"/>
        <v>13</v>
      </c>
      <c r="R348" s="49" t="str">
        <f t="shared" si="72"/>
        <v>金币</v>
      </c>
      <c r="S348" s="15">
        <f t="shared" si="73"/>
        <v>1000</v>
      </c>
      <c r="T348" s="15" t="str">
        <f t="shared" si="74"/>
        <v>低级专属强化石</v>
      </c>
      <c r="U348" s="15">
        <f t="shared" si="75"/>
        <v>7</v>
      </c>
      <c r="V348" s="15" t="str">
        <f t="shared" si="76"/>
        <v>[x]</v>
      </c>
      <c r="W348" s="15" t="str">
        <f t="shared" si="77"/>
        <v>[x]</v>
      </c>
      <c r="X348" s="15">
        <f t="shared" si="78"/>
        <v>0.28999999999999998</v>
      </c>
      <c r="Y348" s="15">
        <f t="shared" si="79"/>
        <v>1</v>
      </c>
      <c r="Z348" s="15">
        <f t="shared" si="80"/>
        <v>7</v>
      </c>
      <c r="AA348" s="15">
        <f t="shared" si="81"/>
        <v>0.1067</v>
      </c>
    </row>
    <row r="349" spans="13:27" ht="16.5" x14ac:dyDescent="0.2">
      <c r="M349" s="15">
        <v>270</v>
      </c>
      <c r="N349" s="15">
        <f t="shared" si="70"/>
        <v>6</v>
      </c>
      <c r="O349" s="15">
        <f>INDEX(卡牌消耗!$H$13:$H$33,世界BOSS专属武器!N349)</f>
        <v>1501006</v>
      </c>
      <c r="P349" s="49" t="s">
        <v>480</v>
      </c>
      <c r="Q349" s="15">
        <f t="shared" si="71"/>
        <v>14</v>
      </c>
      <c r="R349" s="49" t="str">
        <f t="shared" si="72"/>
        <v>金币</v>
      </c>
      <c r="S349" s="15">
        <f t="shared" si="73"/>
        <v>1000</v>
      </c>
      <c r="T349" s="15" t="str">
        <f t="shared" si="74"/>
        <v>低级专属强化石</v>
      </c>
      <c r="U349" s="15">
        <f t="shared" si="75"/>
        <v>7</v>
      </c>
      <c r="V349" s="15" t="str">
        <f t="shared" si="76"/>
        <v>[x]</v>
      </c>
      <c r="W349" s="15" t="str">
        <f t="shared" si="77"/>
        <v>[x]</v>
      </c>
      <c r="X349" s="15">
        <f t="shared" si="78"/>
        <v>0.27</v>
      </c>
      <c r="Y349" s="15">
        <f t="shared" si="79"/>
        <v>1</v>
      </c>
      <c r="Z349" s="15">
        <f t="shared" si="80"/>
        <v>7</v>
      </c>
      <c r="AA349" s="15">
        <f t="shared" si="81"/>
        <v>0.12</v>
      </c>
    </row>
    <row r="350" spans="13:27" ht="16.5" x14ac:dyDescent="0.2">
      <c r="M350" s="15">
        <v>271</v>
      </c>
      <c r="N350" s="15">
        <f t="shared" si="70"/>
        <v>6</v>
      </c>
      <c r="O350" s="15">
        <f>INDEX(卡牌消耗!$H$13:$H$33,世界BOSS专属武器!N350)</f>
        <v>1501006</v>
      </c>
      <c r="P350" s="49" t="s">
        <v>480</v>
      </c>
      <c r="Q350" s="15">
        <f t="shared" si="71"/>
        <v>15</v>
      </c>
      <c r="R350" s="49" t="str">
        <f t="shared" si="72"/>
        <v>金币</v>
      </c>
      <c r="S350" s="15">
        <f t="shared" si="73"/>
        <v>1000</v>
      </c>
      <c r="T350" s="15" t="str">
        <f t="shared" si="74"/>
        <v>低级专属强化石</v>
      </c>
      <c r="U350" s="15">
        <f t="shared" si="75"/>
        <v>10</v>
      </c>
      <c r="V350" s="15" t="str">
        <f t="shared" si="76"/>
        <v>[x]</v>
      </c>
      <c r="W350" s="15" t="str">
        <f t="shared" si="77"/>
        <v>[x]</v>
      </c>
      <c r="X350" s="15">
        <f t="shared" si="78"/>
        <v>0.25</v>
      </c>
      <c r="Y350" s="15">
        <f t="shared" si="79"/>
        <v>1</v>
      </c>
      <c r="Z350" s="15">
        <f t="shared" si="80"/>
        <v>8</v>
      </c>
      <c r="AA350" s="15">
        <f t="shared" si="81"/>
        <v>0.1333</v>
      </c>
    </row>
    <row r="351" spans="13:27" ht="16.5" x14ac:dyDescent="0.2">
      <c r="M351" s="15">
        <v>272</v>
      </c>
      <c r="N351" s="15">
        <f t="shared" si="70"/>
        <v>6</v>
      </c>
      <c r="O351" s="15">
        <f>INDEX(卡牌消耗!$H$13:$H$33,世界BOSS专属武器!N351)</f>
        <v>1501006</v>
      </c>
      <c r="P351" s="49" t="s">
        <v>480</v>
      </c>
      <c r="Q351" s="15">
        <f t="shared" si="71"/>
        <v>16</v>
      </c>
      <c r="R351" s="49" t="str">
        <f t="shared" si="72"/>
        <v>金币</v>
      </c>
      <c r="S351" s="15">
        <f t="shared" si="73"/>
        <v>1000</v>
      </c>
      <c r="T351" s="15" t="str">
        <f t="shared" si="74"/>
        <v>低级专属强化石</v>
      </c>
      <c r="U351" s="15">
        <f t="shared" si="75"/>
        <v>10</v>
      </c>
      <c r="V351" s="15" t="str">
        <f t="shared" si="76"/>
        <v>[x]</v>
      </c>
      <c r="W351" s="15" t="str">
        <f t="shared" si="77"/>
        <v>[x]</v>
      </c>
      <c r="X351" s="15">
        <f t="shared" si="78"/>
        <v>0.23</v>
      </c>
      <c r="Y351" s="15">
        <f t="shared" si="79"/>
        <v>1</v>
      </c>
      <c r="Z351" s="15">
        <f t="shared" si="80"/>
        <v>9</v>
      </c>
      <c r="AA351" s="15">
        <f t="shared" si="81"/>
        <v>0.1467</v>
      </c>
    </row>
    <row r="352" spans="13:27" ht="16.5" x14ac:dyDescent="0.2">
      <c r="M352" s="15">
        <v>273</v>
      </c>
      <c r="N352" s="15">
        <f t="shared" si="70"/>
        <v>6</v>
      </c>
      <c r="O352" s="15">
        <f>INDEX(卡牌消耗!$H$13:$H$33,世界BOSS专属武器!N352)</f>
        <v>1501006</v>
      </c>
      <c r="P352" s="49" t="s">
        <v>480</v>
      </c>
      <c r="Q352" s="15">
        <f t="shared" si="71"/>
        <v>17</v>
      </c>
      <c r="R352" s="49" t="str">
        <f t="shared" si="72"/>
        <v>金币</v>
      </c>
      <c r="S352" s="15">
        <f t="shared" si="73"/>
        <v>1000</v>
      </c>
      <c r="T352" s="15" t="str">
        <f t="shared" si="74"/>
        <v>低级专属强化石</v>
      </c>
      <c r="U352" s="15">
        <f t="shared" si="75"/>
        <v>10</v>
      </c>
      <c r="V352" s="15" t="str">
        <f t="shared" si="76"/>
        <v>[x]</v>
      </c>
      <c r="W352" s="15" t="str">
        <f t="shared" si="77"/>
        <v>[x]</v>
      </c>
      <c r="X352" s="15">
        <f t="shared" si="78"/>
        <v>0.21</v>
      </c>
      <c r="Y352" s="15">
        <f t="shared" si="79"/>
        <v>1</v>
      </c>
      <c r="Z352" s="15">
        <f t="shared" si="80"/>
        <v>10</v>
      </c>
      <c r="AA352" s="15">
        <f t="shared" si="81"/>
        <v>0.16</v>
      </c>
    </row>
    <row r="353" spans="13:27" ht="16.5" x14ac:dyDescent="0.2">
      <c r="M353" s="15">
        <v>274</v>
      </c>
      <c r="N353" s="15">
        <f t="shared" si="70"/>
        <v>6</v>
      </c>
      <c r="O353" s="15">
        <f>INDEX(卡牌消耗!$H$13:$H$33,世界BOSS专属武器!N353)</f>
        <v>1501006</v>
      </c>
      <c r="P353" s="49" t="s">
        <v>480</v>
      </c>
      <c r="Q353" s="15">
        <f t="shared" si="71"/>
        <v>18</v>
      </c>
      <c r="R353" s="49" t="str">
        <f t="shared" si="72"/>
        <v>金币</v>
      </c>
      <c r="S353" s="15">
        <f t="shared" si="73"/>
        <v>1000</v>
      </c>
      <c r="T353" s="15" t="str">
        <f t="shared" si="74"/>
        <v>低级专属强化石</v>
      </c>
      <c r="U353" s="15">
        <f t="shared" si="75"/>
        <v>10</v>
      </c>
      <c r="V353" s="15" t="str">
        <f t="shared" si="76"/>
        <v>[x]</v>
      </c>
      <c r="W353" s="15" t="str">
        <f t="shared" si="77"/>
        <v>[x]</v>
      </c>
      <c r="X353" s="15">
        <f t="shared" si="78"/>
        <v>0.19</v>
      </c>
      <c r="Y353" s="15">
        <f t="shared" si="79"/>
        <v>1</v>
      </c>
      <c r="Z353" s="15">
        <f t="shared" si="80"/>
        <v>11</v>
      </c>
      <c r="AA353" s="15">
        <f t="shared" si="81"/>
        <v>0.17330000000000001</v>
      </c>
    </row>
    <row r="354" spans="13:27" ht="16.5" x14ac:dyDescent="0.2">
      <c r="M354" s="15">
        <v>275</v>
      </c>
      <c r="N354" s="15">
        <f t="shared" si="70"/>
        <v>6</v>
      </c>
      <c r="O354" s="15">
        <f>INDEX(卡牌消耗!$H$13:$H$33,世界BOSS专属武器!N354)</f>
        <v>1501006</v>
      </c>
      <c r="P354" s="49" t="s">
        <v>480</v>
      </c>
      <c r="Q354" s="15">
        <f t="shared" si="71"/>
        <v>19</v>
      </c>
      <c r="R354" s="49" t="str">
        <f t="shared" si="72"/>
        <v>金币</v>
      </c>
      <c r="S354" s="15">
        <f t="shared" si="73"/>
        <v>1000</v>
      </c>
      <c r="T354" s="15" t="str">
        <f t="shared" si="74"/>
        <v>低级专属强化石</v>
      </c>
      <c r="U354" s="15">
        <f t="shared" si="75"/>
        <v>10</v>
      </c>
      <c r="V354" s="15" t="str">
        <f t="shared" si="76"/>
        <v>[x]</v>
      </c>
      <c r="W354" s="15" t="str">
        <f t="shared" si="77"/>
        <v>[x]</v>
      </c>
      <c r="X354" s="15">
        <f t="shared" si="78"/>
        <v>0.17</v>
      </c>
      <c r="Y354" s="15">
        <f t="shared" si="79"/>
        <v>1</v>
      </c>
      <c r="Z354" s="15">
        <f t="shared" si="80"/>
        <v>12</v>
      </c>
      <c r="AA354" s="15">
        <f t="shared" si="81"/>
        <v>0.1867</v>
      </c>
    </row>
    <row r="355" spans="13:27" ht="16.5" x14ac:dyDescent="0.2">
      <c r="M355" s="15">
        <v>276</v>
      </c>
      <c r="N355" s="15">
        <f t="shared" si="70"/>
        <v>6</v>
      </c>
      <c r="O355" s="15">
        <f>INDEX(卡牌消耗!$H$13:$H$33,世界BOSS专属武器!N355)</f>
        <v>1501006</v>
      </c>
      <c r="P355" s="49" t="s">
        <v>480</v>
      </c>
      <c r="Q355" s="15">
        <f t="shared" si="71"/>
        <v>20</v>
      </c>
      <c r="R355" s="49" t="str">
        <f t="shared" si="72"/>
        <v>金币</v>
      </c>
      <c r="S355" s="15">
        <f t="shared" si="73"/>
        <v>5000</v>
      </c>
      <c r="T355" s="15" t="str">
        <f t="shared" si="74"/>
        <v>低级专属强化石</v>
      </c>
      <c r="U355" s="15">
        <f t="shared" si="75"/>
        <v>15</v>
      </c>
      <c r="V355" s="15" t="str">
        <f t="shared" si="76"/>
        <v>中级专属强化石</v>
      </c>
      <c r="W355" s="15">
        <f t="shared" si="77"/>
        <v>7</v>
      </c>
      <c r="X355" s="15">
        <f t="shared" si="78"/>
        <v>0.15</v>
      </c>
      <c r="Y355" s="15">
        <f t="shared" si="79"/>
        <v>1</v>
      </c>
      <c r="Z355" s="15">
        <f t="shared" si="80"/>
        <v>15</v>
      </c>
      <c r="AA355" s="15">
        <f t="shared" si="81"/>
        <v>0.2</v>
      </c>
    </row>
    <row r="356" spans="13:27" ht="16.5" x14ac:dyDescent="0.2">
      <c r="M356" s="15">
        <v>277</v>
      </c>
      <c r="N356" s="15">
        <f t="shared" si="70"/>
        <v>6</v>
      </c>
      <c r="O356" s="15">
        <f>INDEX(卡牌消耗!$H$13:$H$33,世界BOSS专属武器!N356)</f>
        <v>1501006</v>
      </c>
      <c r="P356" s="49" t="s">
        <v>480</v>
      </c>
      <c r="Q356" s="15">
        <f t="shared" si="71"/>
        <v>21</v>
      </c>
      <c r="R356" s="49" t="str">
        <f t="shared" si="72"/>
        <v>金币</v>
      </c>
      <c r="S356" s="15">
        <f t="shared" si="73"/>
        <v>5000</v>
      </c>
      <c r="T356" s="15" t="str">
        <f t="shared" si="74"/>
        <v>低级专属强化石</v>
      </c>
      <c r="U356" s="15">
        <f t="shared" si="75"/>
        <v>15</v>
      </c>
      <c r="V356" s="15" t="str">
        <f t="shared" si="76"/>
        <v>中级专属强化石</v>
      </c>
      <c r="W356" s="15">
        <f t="shared" si="77"/>
        <v>7</v>
      </c>
      <c r="X356" s="15">
        <f t="shared" si="78"/>
        <v>0.15</v>
      </c>
      <c r="Y356" s="15">
        <f t="shared" si="79"/>
        <v>1</v>
      </c>
      <c r="Z356" s="15">
        <f t="shared" si="80"/>
        <v>15</v>
      </c>
      <c r="AA356" s="15">
        <f t="shared" si="81"/>
        <v>0.22</v>
      </c>
    </row>
    <row r="357" spans="13:27" ht="16.5" x14ac:dyDescent="0.2">
      <c r="M357" s="15">
        <v>278</v>
      </c>
      <c r="N357" s="15">
        <f t="shared" si="70"/>
        <v>6</v>
      </c>
      <c r="O357" s="15">
        <f>INDEX(卡牌消耗!$H$13:$H$33,世界BOSS专属武器!N357)</f>
        <v>1501006</v>
      </c>
      <c r="P357" s="49" t="s">
        <v>480</v>
      </c>
      <c r="Q357" s="15">
        <f t="shared" si="71"/>
        <v>22</v>
      </c>
      <c r="R357" s="49" t="str">
        <f t="shared" si="72"/>
        <v>金币</v>
      </c>
      <c r="S357" s="15">
        <f t="shared" si="73"/>
        <v>5000</v>
      </c>
      <c r="T357" s="15" t="str">
        <f t="shared" si="74"/>
        <v>低级专属强化石</v>
      </c>
      <c r="U357" s="15">
        <f t="shared" si="75"/>
        <v>15</v>
      </c>
      <c r="V357" s="15" t="str">
        <f t="shared" si="76"/>
        <v>中级专属强化石</v>
      </c>
      <c r="W357" s="15">
        <f t="shared" si="77"/>
        <v>7</v>
      </c>
      <c r="X357" s="15">
        <f t="shared" si="78"/>
        <v>0.15</v>
      </c>
      <c r="Y357" s="15">
        <f t="shared" si="79"/>
        <v>1</v>
      </c>
      <c r="Z357" s="15">
        <f t="shared" si="80"/>
        <v>15</v>
      </c>
      <c r="AA357" s="15">
        <f t="shared" si="81"/>
        <v>0.24</v>
      </c>
    </row>
    <row r="358" spans="13:27" ht="16.5" x14ac:dyDescent="0.2">
      <c r="M358" s="15">
        <v>279</v>
      </c>
      <c r="N358" s="15">
        <f t="shared" si="70"/>
        <v>6</v>
      </c>
      <c r="O358" s="15">
        <f>INDEX(卡牌消耗!$H$13:$H$33,世界BOSS专属武器!N358)</f>
        <v>1501006</v>
      </c>
      <c r="P358" s="49" t="s">
        <v>480</v>
      </c>
      <c r="Q358" s="15">
        <f t="shared" si="71"/>
        <v>23</v>
      </c>
      <c r="R358" s="49" t="str">
        <f t="shared" si="72"/>
        <v>金币</v>
      </c>
      <c r="S358" s="15">
        <f t="shared" si="73"/>
        <v>5000</v>
      </c>
      <c r="T358" s="15" t="str">
        <f t="shared" si="74"/>
        <v>低级专属强化石</v>
      </c>
      <c r="U358" s="15">
        <f t="shared" si="75"/>
        <v>15</v>
      </c>
      <c r="V358" s="15" t="str">
        <f t="shared" si="76"/>
        <v>中级专属强化石</v>
      </c>
      <c r="W358" s="15">
        <f t="shared" si="77"/>
        <v>7</v>
      </c>
      <c r="X358" s="15">
        <f t="shared" si="78"/>
        <v>0.15</v>
      </c>
      <c r="Y358" s="15">
        <f t="shared" si="79"/>
        <v>1</v>
      </c>
      <c r="Z358" s="15">
        <f t="shared" si="80"/>
        <v>18</v>
      </c>
      <c r="AA358" s="15">
        <f t="shared" si="81"/>
        <v>0.26</v>
      </c>
    </row>
    <row r="359" spans="13:27" ht="16.5" x14ac:dyDescent="0.2">
      <c r="M359" s="15">
        <v>280</v>
      </c>
      <c r="N359" s="15">
        <f t="shared" si="70"/>
        <v>6</v>
      </c>
      <c r="O359" s="15">
        <f>INDEX(卡牌消耗!$H$13:$H$33,世界BOSS专属武器!N359)</f>
        <v>1501006</v>
      </c>
      <c r="P359" s="49" t="s">
        <v>480</v>
      </c>
      <c r="Q359" s="15">
        <f t="shared" si="71"/>
        <v>24</v>
      </c>
      <c r="R359" s="49" t="str">
        <f t="shared" si="72"/>
        <v>金币</v>
      </c>
      <c r="S359" s="15">
        <f t="shared" si="73"/>
        <v>5000</v>
      </c>
      <c r="T359" s="15" t="str">
        <f t="shared" si="74"/>
        <v>低级专属强化石</v>
      </c>
      <c r="U359" s="15">
        <f t="shared" si="75"/>
        <v>15</v>
      </c>
      <c r="V359" s="15" t="str">
        <f t="shared" si="76"/>
        <v>中级专属强化石</v>
      </c>
      <c r="W359" s="15">
        <f t="shared" si="77"/>
        <v>7</v>
      </c>
      <c r="X359" s="15">
        <f t="shared" si="78"/>
        <v>0.15</v>
      </c>
      <c r="Y359" s="15">
        <f t="shared" si="79"/>
        <v>1</v>
      </c>
      <c r="Z359" s="15">
        <f t="shared" si="80"/>
        <v>18</v>
      </c>
      <c r="AA359" s="15">
        <f t="shared" si="81"/>
        <v>0.28000000000000003</v>
      </c>
    </row>
    <row r="360" spans="13:27" ht="16.5" x14ac:dyDescent="0.2">
      <c r="M360" s="15">
        <v>281</v>
      </c>
      <c r="N360" s="15">
        <f t="shared" si="70"/>
        <v>6</v>
      </c>
      <c r="O360" s="15">
        <f>INDEX(卡牌消耗!$H$13:$H$33,世界BOSS专属武器!N360)</f>
        <v>1501006</v>
      </c>
      <c r="P360" s="49" t="s">
        <v>480</v>
      </c>
      <c r="Q360" s="15">
        <f t="shared" si="71"/>
        <v>25</v>
      </c>
      <c r="R360" s="49" t="str">
        <f t="shared" si="72"/>
        <v>金币</v>
      </c>
      <c r="S360" s="15">
        <f t="shared" si="73"/>
        <v>5000</v>
      </c>
      <c r="T360" s="15" t="str">
        <f t="shared" si="74"/>
        <v>低级专属强化石</v>
      </c>
      <c r="U360" s="15">
        <f t="shared" si="75"/>
        <v>15</v>
      </c>
      <c r="V360" s="15" t="str">
        <f t="shared" si="76"/>
        <v>中级专属强化石</v>
      </c>
      <c r="W360" s="15">
        <f t="shared" si="77"/>
        <v>7</v>
      </c>
      <c r="X360" s="15">
        <f t="shared" si="78"/>
        <v>0.15</v>
      </c>
      <c r="Y360" s="15">
        <f t="shared" si="79"/>
        <v>1</v>
      </c>
      <c r="Z360" s="15">
        <f t="shared" si="80"/>
        <v>18</v>
      </c>
      <c r="AA360" s="15">
        <f t="shared" si="81"/>
        <v>0.3</v>
      </c>
    </row>
    <row r="361" spans="13:27" ht="16.5" x14ac:dyDescent="0.2">
      <c r="M361" s="15">
        <v>282</v>
      </c>
      <c r="N361" s="15">
        <f t="shared" si="70"/>
        <v>6</v>
      </c>
      <c r="O361" s="15">
        <f>INDEX(卡牌消耗!$H$13:$H$33,世界BOSS专属武器!N361)</f>
        <v>1501006</v>
      </c>
      <c r="P361" s="49" t="s">
        <v>480</v>
      </c>
      <c r="Q361" s="15">
        <f t="shared" si="71"/>
        <v>26</v>
      </c>
      <c r="R361" s="49" t="str">
        <f t="shared" si="72"/>
        <v>金币</v>
      </c>
      <c r="S361" s="15">
        <f t="shared" si="73"/>
        <v>5000</v>
      </c>
      <c r="T361" s="15" t="str">
        <f t="shared" si="74"/>
        <v>低级专属强化石</v>
      </c>
      <c r="U361" s="15">
        <f t="shared" si="75"/>
        <v>15</v>
      </c>
      <c r="V361" s="15" t="str">
        <f t="shared" si="76"/>
        <v>中级专属强化石</v>
      </c>
      <c r="W361" s="15">
        <f t="shared" si="77"/>
        <v>7</v>
      </c>
      <c r="X361" s="15">
        <f t="shared" si="78"/>
        <v>0.15</v>
      </c>
      <c r="Y361" s="15">
        <f t="shared" si="79"/>
        <v>1</v>
      </c>
      <c r="Z361" s="15">
        <f t="shared" si="80"/>
        <v>21</v>
      </c>
      <c r="AA361" s="15">
        <f t="shared" si="81"/>
        <v>0.32</v>
      </c>
    </row>
    <row r="362" spans="13:27" ht="16.5" x14ac:dyDescent="0.2">
      <c r="M362" s="15">
        <v>283</v>
      </c>
      <c r="N362" s="15">
        <f t="shared" si="70"/>
        <v>6</v>
      </c>
      <c r="O362" s="15">
        <f>INDEX(卡牌消耗!$H$13:$H$33,世界BOSS专属武器!N362)</f>
        <v>1501006</v>
      </c>
      <c r="P362" s="49" t="s">
        <v>480</v>
      </c>
      <c r="Q362" s="15">
        <f t="shared" si="71"/>
        <v>27</v>
      </c>
      <c r="R362" s="49" t="str">
        <f t="shared" si="72"/>
        <v>金币</v>
      </c>
      <c r="S362" s="15">
        <f t="shared" si="73"/>
        <v>5000</v>
      </c>
      <c r="T362" s="15" t="str">
        <f t="shared" si="74"/>
        <v>低级专属强化石</v>
      </c>
      <c r="U362" s="15">
        <f t="shared" si="75"/>
        <v>15</v>
      </c>
      <c r="V362" s="15" t="str">
        <f t="shared" si="76"/>
        <v>中级专属强化石</v>
      </c>
      <c r="W362" s="15">
        <f t="shared" si="77"/>
        <v>7</v>
      </c>
      <c r="X362" s="15">
        <f t="shared" si="78"/>
        <v>0.15</v>
      </c>
      <c r="Y362" s="15">
        <f t="shared" si="79"/>
        <v>1</v>
      </c>
      <c r="Z362" s="15">
        <f t="shared" si="80"/>
        <v>22</v>
      </c>
      <c r="AA362" s="15">
        <f t="shared" si="81"/>
        <v>0.34</v>
      </c>
    </row>
    <row r="363" spans="13:27" ht="16.5" x14ac:dyDescent="0.2">
      <c r="M363" s="15">
        <v>284</v>
      </c>
      <c r="N363" s="15">
        <f t="shared" si="70"/>
        <v>6</v>
      </c>
      <c r="O363" s="15">
        <f>INDEX(卡牌消耗!$H$13:$H$33,世界BOSS专属武器!N363)</f>
        <v>1501006</v>
      </c>
      <c r="P363" s="49" t="s">
        <v>480</v>
      </c>
      <c r="Q363" s="15">
        <f t="shared" si="71"/>
        <v>28</v>
      </c>
      <c r="R363" s="49" t="str">
        <f t="shared" si="72"/>
        <v>金币</v>
      </c>
      <c r="S363" s="15">
        <f t="shared" si="73"/>
        <v>5000</v>
      </c>
      <c r="T363" s="15" t="str">
        <f t="shared" si="74"/>
        <v>低级专属强化石</v>
      </c>
      <c r="U363" s="15">
        <f t="shared" si="75"/>
        <v>15</v>
      </c>
      <c r="V363" s="15" t="str">
        <f t="shared" si="76"/>
        <v>中级专属强化石</v>
      </c>
      <c r="W363" s="15">
        <f t="shared" si="77"/>
        <v>7</v>
      </c>
      <c r="X363" s="15">
        <f t="shared" si="78"/>
        <v>0.15</v>
      </c>
      <c r="Y363" s="15">
        <f t="shared" si="79"/>
        <v>1</v>
      </c>
      <c r="Z363" s="15">
        <f t="shared" si="80"/>
        <v>23</v>
      </c>
      <c r="AA363" s="15">
        <f t="shared" si="81"/>
        <v>0.36</v>
      </c>
    </row>
    <row r="364" spans="13:27" ht="16.5" x14ac:dyDescent="0.2">
      <c r="M364" s="15">
        <v>285</v>
      </c>
      <c r="N364" s="15">
        <f t="shared" si="70"/>
        <v>6</v>
      </c>
      <c r="O364" s="15">
        <f>INDEX(卡牌消耗!$H$13:$H$33,世界BOSS专属武器!N364)</f>
        <v>1501006</v>
      </c>
      <c r="P364" s="49" t="s">
        <v>480</v>
      </c>
      <c r="Q364" s="15">
        <f t="shared" si="71"/>
        <v>29</v>
      </c>
      <c r="R364" s="49" t="str">
        <f t="shared" si="72"/>
        <v>金币</v>
      </c>
      <c r="S364" s="15">
        <f t="shared" si="73"/>
        <v>5000</v>
      </c>
      <c r="T364" s="15" t="str">
        <f t="shared" si="74"/>
        <v>低级专属强化石</v>
      </c>
      <c r="U364" s="15">
        <f t="shared" si="75"/>
        <v>15</v>
      </c>
      <c r="V364" s="15" t="str">
        <f t="shared" si="76"/>
        <v>中级专属强化石</v>
      </c>
      <c r="W364" s="15">
        <f t="shared" si="77"/>
        <v>7</v>
      </c>
      <c r="X364" s="15">
        <f t="shared" si="78"/>
        <v>0.15</v>
      </c>
      <c r="Y364" s="15">
        <f t="shared" si="79"/>
        <v>1</v>
      </c>
      <c r="Z364" s="15">
        <f t="shared" si="80"/>
        <v>25</v>
      </c>
      <c r="AA364" s="15">
        <f t="shared" si="81"/>
        <v>0.38</v>
      </c>
    </row>
    <row r="365" spans="13:27" ht="16.5" x14ac:dyDescent="0.2">
      <c r="M365" s="15">
        <v>286</v>
      </c>
      <c r="N365" s="15">
        <f t="shared" si="70"/>
        <v>6</v>
      </c>
      <c r="O365" s="15">
        <f>INDEX(卡牌消耗!$H$13:$H$33,世界BOSS专属武器!N365)</f>
        <v>1501006</v>
      </c>
      <c r="P365" s="49" t="s">
        <v>480</v>
      </c>
      <c r="Q365" s="15">
        <f t="shared" si="71"/>
        <v>30</v>
      </c>
      <c r="R365" s="49" t="str">
        <f t="shared" si="72"/>
        <v>金币</v>
      </c>
      <c r="S365" s="15">
        <f t="shared" si="73"/>
        <v>10000</v>
      </c>
      <c r="T365" s="15" t="str">
        <f t="shared" si="74"/>
        <v>中级专属强化石</v>
      </c>
      <c r="U365" s="15">
        <f t="shared" si="75"/>
        <v>8</v>
      </c>
      <c r="V365" s="15" t="str">
        <f t="shared" si="76"/>
        <v>高级专属强化石</v>
      </c>
      <c r="W365" s="15">
        <f t="shared" si="77"/>
        <v>3</v>
      </c>
      <c r="X365" s="15">
        <f t="shared" si="78"/>
        <v>0.1</v>
      </c>
      <c r="Y365" s="15">
        <f t="shared" si="79"/>
        <v>1</v>
      </c>
      <c r="Z365" s="15">
        <f t="shared" si="80"/>
        <v>30</v>
      </c>
      <c r="AA365" s="15">
        <f t="shared" si="81"/>
        <v>0.4</v>
      </c>
    </row>
    <row r="366" spans="13:27" ht="16.5" x14ac:dyDescent="0.2">
      <c r="M366" s="15">
        <v>287</v>
      </c>
      <c r="N366" s="15">
        <f t="shared" si="70"/>
        <v>6</v>
      </c>
      <c r="O366" s="15">
        <f>INDEX(卡牌消耗!$H$13:$H$33,世界BOSS专属武器!N366)</f>
        <v>1501006</v>
      </c>
      <c r="P366" s="49" t="s">
        <v>480</v>
      </c>
      <c r="Q366" s="15">
        <f t="shared" si="71"/>
        <v>31</v>
      </c>
      <c r="R366" s="49" t="str">
        <f t="shared" si="72"/>
        <v>金币</v>
      </c>
      <c r="S366" s="15">
        <f t="shared" si="73"/>
        <v>10000</v>
      </c>
      <c r="T366" s="15" t="str">
        <f t="shared" si="74"/>
        <v>中级专属强化石</v>
      </c>
      <c r="U366" s="15">
        <f t="shared" si="75"/>
        <v>8</v>
      </c>
      <c r="V366" s="15" t="str">
        <f t="shared" si="76"/>
        <v>高级专属强化石</v>
      </c>
      <c r="W366" s="15">
        <f t="shared" si="77"/>
        <v>3</v>
      </c>
      <c r="X366" s="15">
        <f t="shared" si="78"/>
        <v>0.1</v>
      </c>
      <c r="Y366" s="15">
        <f t="shared" si="79"/>
        <v>1</v>
      </c>
      <c r="Z366" s="15">
        <f t="shared" si="80"/>
        <v>30</v>
      </c>
      <c r="AA366" s="15">
        <f t="shared" si="81"/>
        <v>0.42670000000000002</v>
      </c>
    </row>
    <row r="367" spans="13:27" ht="16.5" x14ac:dyDescent="0.2">
      <c r="M367" s="15">
        <v>288</v>
      </c>
      <c r="N367" s="15">
        <f t="shared" si="70"/>
        <v>6</v>
      </c>
      <c r="O367" s="15">
        <f>INDEX(卡牌消耗!$H$13:$H$33,世界BOSS专属武器!N367)</f>
        <v>1501006</v>
      </c>
      <c r="P367" s="49" t="s">
        <v>480</v>
      </c>
      <c r="Q367" s="15">
        <f t="shared" si="71"/>
        <v>32</v>
      </c>
      <c r="R367" s="49" t="str">
        <f t="shared" si="72"/>
        <v>金币</v>
      </c>
      <c r="S367" s="15">
        <f t="shared" si="73"/>
        <v>10000</v>
      </c>
      <c r="T367" s="15" t="str">
        <f t="shared" si="74"/>
        <v>中级专属强化石</v>
      </c>
      <c r="U367" s="15">
        <f t="shared" si="75"/>
        <v>8</v>
      </c>
      <c r="V367" s="15" t="str">
        <f t="shared" si="76"/>
        <v>高级专属强化石</v>
      </c>
      <c r="W367" s="15">
        <f t="shared" si="77"/>
        <v>3</v>
      </c>
      <c r="X367" s="15">
        <f t="shared" si="78"/>
        <v>0.1</v>
      </c>
      <c r="Y367" s="15">
        <f t="shared" si="79"/>
        <v>1</v>
      </c>
      <c r="Z367" s="15">
        <f t="shared" si="80"/>
        <v>30</v>
      </c>
      <c r="AA367" s="15">
        <f t="shared" si="81"/>
        <v>0.45329999999999998</v>
      </c>
    </row>
    <row r="368" spans="13:27" ht="16.5" x14ac:dyDescent="0.2">
      <c r="M368" s="15">
        <v>289</v>
      </c>
      <c r="N368" s="15">
        <f t="shared" si="70"/>
        <v>6</v>
      </c>
      <c r="O368" s="15">
        <f>INDEX(卡牌消耗!$H$13:$H$33,世界BOSS专属武器!N368)</f>
        <v>1501006</v>
      </c>
      <c r="P368" s="49" t="s">
        <v>480</v>
      </c>
      <c r="Q368" s="15">
        <f t="shared" si="71"/>
        <v>33</v>
      </c>
      <c r="R368" s="49" t="str">
        <f t="shared" si="72"/>
        <v>金币</v>
      </c>
      <c r="S368" s="15">
        <f t="shared" si="73"/>
        <v>10000</v>
      </c>
      <c r="T368" s="15" t="str">
        <f t="shared" si="74"/>
        <v>中级专属强化石</v>
      </c>
      <c r="U368" s="15">
        <f t="shared" si="75"/>
        <v>8</v>
      </c>
      <c r="V368" s="15" t="str">
        <f t="shared" si="76"/>
        <v>高级专属强化石</v>
      </c>
      <c r="W368" s="15">
        <f t="shared" si="77"/>
        <v>3</v>
      </c>
      <c r="X368" s="15">
        <f t="shared" si="78"/>
        <v>0.1</v>
      </c>
      <c r="Y368" s="15">
        <f t="shared" si="79"/>
        <v>1</v>
      </c>
      <c r="Z368" s="15">
        <f t="shared" si="80"/>
        <v>30</v>
      </c>
      <c r="AA368" s="15">
        <f t="shared" si="81"/>
        <v>0.48</v>
      </c>
    </row>
    <row r="369" spans="13:27" ht="16.5" x14ac:dyDescent="0.2">
      <c r="M369" s="15">
        <v>290</v>
      </c>
      <c r="N369" s="15">
        <f t="shared" si="70"/>
        <v>6</v>
      </c>
      <c r="O369" s="15">
        <f>INDEX(卡牌消耗!$H$13:$H$33,世界BOSS专属武器!N369)</f>
        <v>1501006</v>
      </c>
      <c r="P369" s="49" t="s">
        <v>480</v>
      </c>
      <c r="Q369" s="15">
        <f t="shared" si="71"/>
        <v>34</v>
      </c>
      <c r="R369" s="49" t="str">
        <f t="shared" si="72"/>
        <v>金币</v>
      </c>
      <c r="S369" s="15">
        <f t="shared" si="73"/>
        <v>10000</v>
      </c>
      <c r="T369" s="15" t="str">
        <f t="shared" si="74"/>
        <v>中级专属强化石</v>
      </c>
      <c r="U369" s="15">
        <f t="shared" si="75"/>
        <v>8</v>
      </c>
      <c r="V369" s="15" t="str">
        <f t="shared" si="76"/>
        <v>高级专属强化石</v>
      </c>
      <c r="W369" s="15">
        <f t="shared" si="77"/>
        <v>3</v>
      </c>
      <c r="X369" s="15">
        <f t="shared" si="78"/>
        <v>0.1</v>
      </c>
      <c r="Y369" s="15">
        <f t="shared" si="79"/>
        <v>1</v>
      </c>
      <c r="Z369" s="15">
        <f t="shared" si="80"/>
        <v>30</v>
      </c>
      <c r="AA369" s="15">
        <f t="shared" si="81"/>
        <v>0.50670000000000004</v>
      </c>
    </row>
    <row r="370" spans="13:27" ht="16.5" x14ac:dyDescent="0.2">
      <c r="M370" s="15">
        <v>291</v>
      </c>
      <c r="N370" s="15">
        <f t="shared" si="70"/>
        <v>6</v>
      </c>
      <c r="O370" s="15">
        <f>INDEX(卡牌消耗!$H$13:$H$33,世界BOSS专属武器!N370)</f>
        <v>1501006</v>
      </c>
      <c r="P370" s="49" t="s">
        <v>480</v>
      </c>
      <c r="Q370" s="15">
        <f t="shared" si="71"/>
        <v>35</v>
      </c>
      <c r="R370" s="49" t="str">
        <f t="shared" si="72"/>
        <v>金币</v>
      </c>
      <c r="S370" s="15">
        <f t="shared" si="73"/>
        <v>10000</v>
      </c>
      <c r="T370" s="15" t="str">
        <f t="shared" si="74"/>
        <v>中级专属强化石</v>
      </c>
      <c r="U370" s="15">
        <f t="shared" si="75"/>
        <v>8</v>
      </c>
      <c r="V370" s="15" t="str">
        <f t="shared" si="76"/>
        <v>高级专属强化石</v>
      </c>
      <c r="W370" s="15">
        <f t="shared" si="77"/>
        <v>3</v>
      </c>
      <c r="X370" s="15">
        <f t="shared" si="78"/>
        <v>0.1</v>
      </c>
      <c r="Y370" s="15">
        <f t="shared" si="79"/>
        <v>1</v>
      </c>
      <c r="Z370" s="15">
        <f t="shared" si="80"/>
        <v>30</v>
      </c>
      <c r="AA370" s="15">
        <f t="shared" si="81"/>
        <v>0.5333</v>
      </c>
    </row>
    <row r="371" spans="13:27" ht="16.5" x14ac:dyDescent="0.2">
      <c r="M371" s="15">
        <v>292</v>
      </c>
      <c r="N371" s="15">
        <f t="shared" si="70"/>
        <v>6</v>
      </c>
      <c r="O371" s="15">
        <f>INDEX(卡牌消耗!$H$13:$H$33,世界BOSS专属武器!N371)</f>
        <v>1501006</v>
      </c>
      <c r="P371" s="49" t="s">
        <v>480</v>
      </c>
      <c r="Q371" s="15">
        <f t="shared" si="71"/>
        <v>36</v>
      </c>
      <c r="R371" s="49" t="str">
        <f t="shared" si="72"/>
        <v>金币</v>
      </c>
      <c r="S371" s="15">
        <f t="shared" si="73"/>
        <v>10000</v>
      </c>
      <c r="T371" s="15" t="str">
        <f t="shared" si="74"/>
        <v>中级专属强化石</v>
      </c>
      <c r="U371" s="15">
        <f t="shared" si="75"/>
        <v>8</v>
      </c>
      <c r="V371" s="15" t="str">
        <f t="shared" si="76"/>
        <v>高级专属强化石</v>
      </c>
      <c r="W371" s="15">
        <f t="shared" si="77"/>
        <v>3</v>
      </c>
      <c r="X371" s="15">
        <f t="shared" si="78"/>
        <v>0.1</v>
      </c>
      <c r="Y371" s="15">
        <f t="shared" si="79"/>
        <v>1</v>
      </c>
      <c r="Z371" s="15">
        <f t="shared" si="80"/>
        <v>30</v>
      </c>
      <c r="AA371" s="15">
        <f t="shared" si="81"/>
        <v>0.56000000000000005</v>
      </c>
    </row>
    <row r="372" spans="13:27" ht="16.5" x14ac:dyDescent="0.2">
      <c r="M372" s="15">
        <v>293</v>
      </c>
      <c r="N372" s="15">
        <f t="shared" si="70"/>
        <v>6</v>
      </c>
      <c r="O372" s="15">
        <f>INDEX(卡牌消耗!$H$13:$H$33,世界BOSS专属武器!N372)</f>
        <v>1501006</v>
      </c>
      <c r="P372" s="49" t="s">
        <v>480</v>
      </c>
      <c r="Q372" s="15">
        <f t="shared" si="71"/>
        <v>37</v>
      </c>
      <c r="R372" s="49" t="str">
        <f t="shared" si="72"/>
        <v>金币</v>
      </c>
      <c r="S372" s="15">
        <f t="shared" si="73"/>
        <v>10000</v>
      </c>
      <c r="T372" s="15" t="str">
        <f t="shared" si="74"/>
        <v>中级专属强化石</v>
      </c>
      <c r="U372" s="15">
        <f t="shared" si="75"/>
        <v>8</v>
      </c>
      <c r="V372" s="15" t="str">
        <f t="shared" si="76"/>
        <v>高级专属强化石</v>
      </c>
      <c r="W372" s="15">
        <f t="shared" si="77"/>
        <v>3</v>
      </c>
      <c r="X372" s="15">
        <f t="shared" si="78"/>
        <v>0.1</v>
      </c>
      <c r="Y372" s="15">
        <f t="shared" si="79"/>
        <v>1</v>
      </c>
      <c r="Z372" s="15">
        <f t="shared" si="80"/>
        <v>30</v>
      </c>
      <c r="AA372" s="15">
        <f t="shared" si="81"/>
        <v>0.5867</v>
      </c>
    </row>
    <row r="373" spans="13:27" ht="16.5" x14ac:dyDescent="0.2">
      <c r="M373" s="15">
        <v>294</v>
      </c>
      <c r="N373" s="15">
        <f t="shared" si="70"/>
        <v>6</v>
      </c>
      <c r="O373" s="15">
        <f>INDEX(卡牌消耗!$H$13:$H$33,世界BOSS专属武器!N373)</f>
        <v>1501006</v>
      </c>
      <c r="P373" s="49" t="s">
        <v>480</v>
      </c>
      <c r="Q373" s="15">
        <f t="shared" si="71"/>
        <v>38</v>
      </c>
      <c r="R373" s="49" t="str">
        <f t="shared" si="72"/>
        <v>金币</v>
      </c>
      <c r="S373" s="15">
        <f t="shared" si="73"/>
        <v>10000</v>
      </c>
      <c r="T373" s="15" t="str">
        <f t="shared" si="74"/>
        <v>中级专属强化石</v>
      </c>
      <c r="U373" s="15">
        <f t="shared" si="75"/>
        <v>8</v>
      </c>
      <c r="V373" s="15" t="str">
        <f t="shared" si="76"/>
        <v>高级专属强化石</v>
      </c>
      <c r="W373" s="15">
        <f t="shared" si="77"/>
        <v>3</v>
      </c>
      <c r="X373" s="15">
        <f t="shared" si="78"/>
        <v>0.1</v>
      </c>
      <c r="Y373" s="15">
        <f t="shared" si="79"/>
        <v>1</v>
      </c>
      <c r="Z373" s="15">
        <f t="shared" si="80"/>
        <v>30</v>
      </c>
      <c r="AA373" s="15">
        <f t="shared" si="81"/>
        <v>0.61329999999999996</v>
      </c>
    </row>
    <row r="374" spans="13:27" ht="16.5" x14ac:dyDescent="0.2">
      <c r="M374" s="15">
        <v>295</v>
      </c>
      <c r="N374" s="15">
        <f t="shared" si="70"/>
        <v>6</v>
      </c>
      <c r="O374" s="15">
        <f>INDEX(卡牌消耗!$H$13:$H$33,世界BOSS专属武器!N374)</f>
        <v>1501006</v>
      </c>
      <c r="P374" s="49" t="s">
        <v>480</v>
      </c>
      <c r="Q374" s="15">
        <f t="shared" si="71"/>
        <v>39</v>
      </c>
      <c r="R374" s="49" t="str">
        <f t="shared" si="72"/>
        <v>金币</v>
      </c>
      <c r="S374" s="15">
        <f t="shared" si="73"/>
        <v>10000</v>
      </c>
      <c r="T374" s="15" t="str">
        <f t="shared" si="74"/>
        <v>中级专属强化石</v>
      </c>
      <c r="U374" s="15">
        <f t="shared" si="75"/>
        <v>8</v>
      </c>
      <c r="V374" s="15" t="str">
        <f t="shared" si="76"/>
        <v>高级专属强化石</v>
      </c>
      <c r="W374" s="15">
        <f t="shared" si="77"/>
        <v>3</v>
      </c>
      <c r="X374" s="15">
        <f t="shared" si="78"/>
        <v>0.1</v>
      </c>
      <c r="Y374" s="15">
        <f t="shared" si="79"/>
        <v>1</v>
      </c>
      <c r="Z374" s="15">
        <f t="shared" si="80"/>
        <v>30</v>
      </c>
      <c r="AA374" s="15">
        <f t="shared" si="81"/>
        <v>0.64</v>
      </c>
    </row>
    <row r="375" spans="13:27" ht="16.5" x14ac:dyDescent="0.2">
      <c r="M375" s="15">
        <v>296</v>
      </c>
      <c r="N375" s="15">
        <f t="shared" si="70"/>
        <v>6</v>
      </c>
      <c r="O375" s="15">
        <f>INDEX(卡牌消耗!$H$13:$H$33,世界BOSS专属武器!N375)</f>
        <v>1501006</v>
      </c>
      <c r="P375" s="49" t="s">
        <v>480</v>
      </c>
      <c r="Q375" s="15">
        <f t="shared" si="71"/>
        <v>40</v>
      </c>
      <c r="R375" s="49" t="str">
        <f t="shared" si="72"/>
        <v>金币</v>
      </c>
      <c r="S375" s="15">
        <f t="shared" si="73"/>
        <v>20000</v>
      </c>
      <c r="T375" s="15" t="str">
        <f t="shared" si="74"/>
        <v>高级专属强化石</v>
      </c>
      <c r="U375" s="15">
        <f t="shared" si="75"/>
        <v>5</v>
      </c>
      <c r="V375" s="15" t="str">
        <f t="shared" si="76"/>
        <v>[x]</v>
      </c>
      <c r="W375" s="15" t="str">
        <f t="shared" si="77"/>
        <v>[x]</v>
      </c>
      <c r="X375" s="15">
        <f t="shared" si="78"/>
        <v>0.1</v>
      </c>
      <c r="Y375" s="15">
        <f t="shared" si="79"/>
        <v>1</v>
      </c>
      <c r="Z375" s="15">
        <f t="shared" si="80"/>
        <v>35</v>
      </c>
      <c r="AA375" s="15">
        <f t="shared" si="81"/>
        <v>0.66669999999999996</v>
      </c>
    </row>
    <row r="376" spans="13:27" ht="16.5" x14ac:dyDescent="0.2">
      <c r="M376" s="15">
        <v>297</v>
      </c>
      <c r="N376" s="15">
        <f t="shared" si="70"/>
        <v>6</v>
      </c>
      <c r="O376" s="15">
        <f>INDEX(卡牌消耗!$H$13:$H$33,世界BOSS专属武器!N376)</f>
        <v>1501006</v>
      </c>
      <c r="P376" s="49" t="s">
        <v>480</v>
      </c>
      <c r="Q376" s="15">
        <f t="shared" si="71"/>
        <v>41</v>
      </c>
      <c r="R376" s="49" t="str">
        <f t="shared" si="72"/>
        <v>金币</v>
      </c>
      <c r="S376" s="15">
        <f t="shared" si="73"/>
        <v>20000</v>
      </c>
      <c r="T376" s="15" t="str">
        <f t="shared" si="74"/>
        <v>高级专属强化石</v>
      </c>
      <c r="U376" s="15">
        <f t="shared" si="75"/>
        <v>5</v>
      </c>
      <c r="V376" s="15" t="str">
        <f t="shared" si="76"/>
        <v>[x]</v>
      </c>
      <c r="W376" s="15" t="str">
        <f t="shared" si="77"/>
        <v>[x]</v>
      </c>
      <c r="X376" s="15">
        <f t="shared" si="78"/>
        <v>0.1</v>
      </c>
      <c r="Y376" s="15">
        <f t="shared" si="79"/>
        <v>1</v>
      </c>
      <c r="Z376" s="15">
        <f t="shared" si="80"/>
        <v>40</v>
      </c>
      <c r="AA376" s="15">
        <f t="shared" si="81"/>
        <v>0.7</v>
      </c>
    </row>
    <row r="377" spans="13:27" ht="16.5" x14ac:dyDescent="0.2">
      <c r="M377" s="15">
        <v>298</v>
      </c>
      <c r="N377" s="15">
        <f t="shared" si="70"/>
        <v>6</v>
      </c>
      <c r="O377" s="15">
        <f>INDEX(卡牌消耗!$H$13:$H$33,世界BOSS专属武器!N377)</f>
        <v>1501006</v>
      </c>
      <c r="P377" s="49" t="s">
        <v>480</v>
      </c>
      <c r="Q377" s="15">
        <f t="shared" si="71"/>
        <v>42</v>
      </c>
      <c r="R377" s="49" t="str">
        <f t="shared" si="72"/>
        <v>金币</v>
      </c>
      <c r="S377" s="15">
        <f t="shared" si="73"/>
        <v>20000</v>
      </c>
      <c r="T377" s="15" t="str">
        <f t="shared" si="74"/>
        <v>高级专属强化石</v>
      </c>
      <c r="U377" s="15">
        <f t="shared" si="75"/>
        <v>5</v>
      </c>
      <c r="V377" s="15" t="str">
        <f t="shared" si="76"/>
        <v>[x]</v>
      </c>
      <c r="W377" s="15" t="str">
        <f t="shared" si="77"/>
        <v>[x]</v>
      </c>
      <c r="X377" s="15">
        <f t="shared" si="78"/>
        <v>0.1</v>
      </c>
      <c r="Y377" s="15">
        <f t="shared" si="79"/>
        <v>1</v>
      </c>
      <c r="Z377" s="15">
        <f t="shared" si="80"/>
        <v>45</v>
      </c>
      <c r="AA377" s="15">
        <f t="shared" si="81"/>
        <v>0.73329999999999995</v>
      </c>
    </row>
    <row r="378" spans="13:27" ht="16.5" x14ac:dyDescent="0.2">
      <c r="M378" s="15">
        <v>299</v>
      </c>
      <c r="N378" s="15">
        <f t="shared" si="70"/>
        <v>6</v>
      </c>
      <c r="O378" s="15">
        <f>INDEX(卡牌消耗!$H$13:$H$33,世界BOSS专属武器!N378)</f>
        <v>1501006</v>
      </c>
      <c r="P378" s="49" t="s">
        <v>480</v>
      </c>
      <c r="Q378" s="15">
        <f t="shared" si="71"/>
        <v>43</v>
      </c>
      <c r="R378" s="49" t="str">
        <f t="shared" si="72"/>
        <v>金币</v>
      </c>
      <c r="S378" s="15">
        <f t="shared" si="73"/>
        <v>20000</v>
      </c>
      <c r="T378" s="15" t="str">
        <f t="shared" si="74"/>
        <v>高级专属强化石</v>
      </c>
      <c r="U378" s="15">
        <f t="shared" si="75"/>
        <v>5</v>
      </c>
      <c r="V378" s="15" t="str">
        <f t="shared" si="76"/>
        <v>[x]</v>
      </c>
      <c r="W378" s="15" t="str">
        <f t="shared" si="77"/>
        <v>[x]</v>
      </c>
      <c r="X378" s="15">
        <f t="shared" si="78"/>
        <v>0.1</v>
      </c>
      <c r="Y378" s="15">
        <f t="shared" si="79"/>
        <v>1</v>
      </c>
      <c r="Z378" s="15">
        <f t="shared" si="80"/>
        <v>50</v>
      </c>
      <c r="AA378" s="15">
        <f t="shared" si="81"/>
        <v>0.76670000000000005</v>
      </c>
    </row>
    <row r="379" spans="13:27" ht="16.5" x14ac:dyDescent="0.2">
      <c r="M379" s="15">
        <v>300</v>
      </c>
      <c r="N379" s="15">
        <f t="shared" si="70"/>
        <v>6</v>
      </c>
      <c r="O379" s="15">
        <f>INDEX(卡牌消耗!$H$13:$H$33,世界BOSS专属武器!N379)</f>
        <v>1501006</v>
      </c>
      <c r="P379" s="49" t="s">
        <v>480</v>
      </c>
      <c r="Q379" s="15">
        <f t="shared" si="71"/>
        <v>44</v>
      </c>
      <c r="R379" s="49" t="str">
        <f t="shared" si="72"/>
        <v>金币</v>
      </c>
      <c r="S379" s="15">
        <f t="shared" si="73"/>
        <v>20000</v>
      </c>
      <c r="T379" s="15" t="str">
        <f t="shared" si="74"/>
        <v>高级专属强化石</v>
      </c>
      <c r="U379" s="15">
        <f t="shared" si="75"/>
        <v>5</v>
      </c>
      <c r="V379" s="15" t="str">
        <f t="shared" si="76"/>
        <v>[x]</v>
      </c>
      <c r="W379" s="15" t="str">
        <f t="shared" si="77"/>
        <v>[x]</v>
      </c>
      <c r="X379" s="15">
        <f t="shared" si="78"/>
        <v>0.1</v>
      </c>
      <c r="Y379" s="15">
        <f t="shared" si="79"/>
        <v>1</v>
      </c>
      <c r="Z379" s="15">
        <f t="shared" si="80"/>
        <v>55</v>
      </c>
      <c r="AA379" s="15">
        <f t="shared" si="81"/>
        <v>0.8</v>
      </c>
    </row>
    <row r="380" spans="13:27" ht="16.5" x14ac:dyDescent="0.2">
      <c r="M380" s="15">
        <v>301</v>
      </c>
      <c r="N380" s="15">
        <f t="shared" si="70"/>
        <v>6</v>
      </c>
      <c r="O380" s="15">
        <f>INDEX(卡牌消耗!$H$13:$H$33,世界BOSS专属武器!N380)</f>
        <v>1501006</v>
      </c>
      <c r="P380" s="49" t="s">
        <v>480</v>
      </c>
      <c r="Q380" s="15">
        <f t="shared" si="71"/>
        <v>45</v>
      </c>
      <c r="R380" s="49" t="str">
        <f t="shared" si="72"/>
        <v>金币</v>
      </c>
      <c r="S380" s="15">
        <f t="shared" si="73"/>
        <v>20000</v>
      </c>
      <c r="T380" s="15" t="str">
        <f t="shared" si="74"/>
        <v>高级专属强化石</v>
      </c>
      <c r="U380" s="15">
        <f t="shared" si="75"/>
        <v>6</v>
      </c>
      <c r="V380" s="15" t="str">
        <f t="shared" si="76"/>
        <v>[x]</v>
      </c>
      <c r="W380" s="15" t="str">
        <f t="shared" si="77"/>
        <v>[x]</v>
      </c>
      <c r="X380" s="15">
        <f t="shared" si="78"/>
        <v>0.1</v>
      </c>
      <c r="Y380" s="15">
        <f t="shared" si="79"/>
        <v>1</v>
      </c>
      <c r="Z380" s="15">
        <f t="shared" si="80"/>
        <v>60</v>
      </c>
      <c r="AA380" s="15">
        <f t="shared" si="81"/>
        <v>0.83330000000000004</v>
      </c>
    </row>
    <row r="381" spans="13:27" ht="16.5" x14ac:dyDescent="0.2">
      <c r="M381" s="15">
        <v>302</v>
      </c>
      <c r="N381" s="15">
        <f t="shared" si="70"/>
        <v>6</v>
      </c>
      <c r="O381" s="15">
        <f>INDEX(卡牌消耗!$H$13:$H$33,世界BOSS专属武器!N381)</f>
        <v>1501006</v>
      </c>
      <c r="P381" s="49" t="s">
        <v>480</v>
      </c>
      <c r="Q381" s="15">
        <f t="shared" si="71"/>
        <v>46</v>
      </c>
      <c r="R381" s="49" t="str">
        <f t="shared" si="72"/>
        <v>金币</v>
      </c>
      <c r="S381" s="15">
        <f t="shared" si="73"/>
        <v>20000</v>
      </c>
      <c r="T381" s="15" t="str">
        <f t="shared" si="74"/>
        <v>高级专属强化石</v>
      </c>
      <c r="U381" s="15">
        <f t="shared" si="75"/>
        <v>7</v>
      </c>
      <c r="V381" s="15" t="str">
        <f t="shared" si="76"/>
        <v>[x]</v>
      </c>
      <c r="W381" s="15" t="str">
        <f t="shared" si="77"/>
        <v>[x]</v>
      </c>
      <c r="X381" s="15">
        <f t="shared" si="78"/>
        <v>0.1</v>
      </c>
      <c r="Y381" s="15">
        <f t="shared" si="79"/>
        <v>1</v>
      </c>
      <c r="Z381" s="15">
        <f t="shared" si="80"/>
        <v>70</v>
      </c>
      <c r="AA381" s="15">
        <f t="shared" si="81"/>
        <v>0.86670000000000003</v>
      </c>
    </row>
    <row r="382" spans="13:27" ht="16.5" x14ac:dyDescent="0.2">
      <c r="M382" s="15">
        <v>303</v>
      </c>
      <c r="N382" s="15">
        <f t="shared" si="70"/>
        <v>6</v>
      </c>
      <c r="O382" s="15">
        <f>INDEX(卡牌消耗!$H$13:$H$33,世界BOSS专属武器!N382)</f>
        <v>1501006</v>
      </c>
      <c r="P382" s="49" t="s">
        <v>480</v>
      </c>
      <c r="Q382" s="15">
        <f t="shared" si="71"/>
        <v>47</v>
      </c>
      <c r="R382" s="49" t="str">
        <f t="shared" si="72"/>
        <v>金币</v>
      </c>
      <c r="S382" s="15">
        <f t="shared" si="73"/>
        <v>20000</v>
      </c>
      <c r="T382" s="15" t="str">
        <f t="shared" si="74"/>
        <v>高级专属强化石</v>
      </c>
      <c r="U382" s="15">
        <f t="shared" si="75"/>
        <v>8</v>
      </c>
      <c r="V382" s="15" t="str">
        <f t="shared" si="76"/>
        <v>[x]</v>
      </c>
      <c r="W382" s="15" t="str">
        <f t="shared" si="77"/>
        <v>[x]</v>
      </c>
      <c r="X382" s="15">
        <f t="shared" si="78"/>
        <v>0.1</v>
      </c>
      <c r="Y382" s="15">
        <f t="shared" si="79"/>
        <v>1</v>
      </c>
      <c r="Z382" s="15">
        <f t="shared" si="80"/>
        <v>80</v>
      </c>
      <c r="AA382" s="15">
        <f t="shared" si="81"/>
        <v>0.9</v>
      </c>
    </row>
    <row r="383" spans="13:27" ht="16.5" x14ac:dyDescent="0.2">
      <c r="M383" s="15">
        <v>304</v>
      </c>
      <c r="N383" s="15">
        <f t="shared" si="70"/>
        <v>6</v>
      </c>
      <c r="O383" s="15">
        <f>INDEX(卡牌消耗!$H$13:$H$33,世界BOSS专属武器!N383)</f>
        <v>1501006</v>
      </c>
      <c r="P383" s="49" t="s">
        <v>480</v>
      </c>
      <c r="Q383" s="15">
        <f t="shared" si="71"/>
        <v>48</v>
      </c>
      <c r="R383" s="49" t="str">
        <f t="shared" si="72"/>
        <v>金币</v>
      </c>
      <c r="S383" s="15">
        <f t="shared" si="73"/>
        <v>20000</v>
      </c>
      <c r="T383" s="15" t="str">
        <f t="shared" si="74"/>
        <v>高级专属强化石</v>
      </c>
      <c r="U383" s="15">
        <f t="shared" si="75"/>
        <v>9</v>
      </c>
      <c r="V383" s="15" t="str">
        <f t="shared" si="76"/>
        <v>[x]</v>
      </c>
      <c r="W383" s="15" t="str">
        <f t="shared" si="77"/>
        <v>[x]</v>
      </c>
      <c r="X383" s="15">
        <f t="shared" si="78"/>
        <v>0.1</v>
      </c>
      <c r="Y383" s="15">
        <f t="shared" si="79"/>
        <v>1</v>
      </c>
      <c r="Z383" s="15">
        <f t="shared" si="80"/>
        <v>100</v>
      </c>
      <c r="AA383" s="15">
        <f t="shared" si="81"/>
        <v>0.93330000000000002</v>
      </c>
    </row>
    <row r="384" spans="13:27" ht="16.5" x14ac:dyDescent="0.2">
      <c r="M384" s="15">
        <v>305</v>
      </c>
      <c r="N384" s="15">
        <f t="shared" si="70"/>
        <v>6</v>
      </c>
      <c r="O384" s="15">
        <f>INDEX(卡牌消耗!$H$13:$H$33,世界BOSS专属武器!N384)</f>
        <v>1501006</v>
      </c>
      <c r="P384" s="49" t="s">
        <v>480</v>
      </c>
      <c r="Q384" s="15">
        <f t="shared" si="71"/>
        <v>49</v>
      </c>
      <c r="R384" s="49" t="str">
        <f t="shared" si="72"/>
        <v>金币</v>
      </c>
      <c r="S384" s="15">
        <f t="shared" si="73"/>
        <v>20000</v>
      </c>
      <c r="T384" s="15" t="str">
        <f t="shared" si="74"/>
        <v>高级专属强化石</v>
      </c>
      <c r="U384" s="15">
        <f t="shared" si="75"/>
        <v>10</v>
      </c>
      <c r="V384" s="15" t="str">
        <f t="shared" si="76"/>
        <v>[x]</v>
      </c>
      <c r="W384" s="15" t="str">
        <f t="shared" si="77"/>
        <v>[x]</v>
      </c>
      <c r="X384" s="15">
        <f t="shared" si="78"/>
        <v>0.1</v>
      </c>
      <c r="Y384" s="15">
        <f t="shared" si="79"/>
        <v>1</v>
      </c>
      <c r="Z384" s="15">
        <f t="shared" si="80"/>
        <v>120</v>
      </c>
      <c r="AA384" s="15">
        <f t="shared" si="81"/>
        <v>0.9667</v>
      </c>
    </row>
    <row r="385" spans="13:27" ht="16.5" x14ac:dyDescent="0.2">
      <c r="M385" s="15">
        <v>306</v>
      </c>
      <c r="N385" s="15">
        <f t="shared" si="70"/>
        <v>6</v>
      </c>
      <c r="O385" s="15">
        <f>INDEX(卡牌消耗!$H$13:$H$33,世界BOSS专属武器!N385)</f>
        <v>1501006</v>
      </c>
      <c r="P385" s="49" t="s">
        <v>480</v>
      </c>
      <c r="Q385" s="15">
        <f t="shared" si="71"/>
        <v>50</v>
      </c>
      <c r="R385" s="49" t="str">
        <f t="shared" si="72"/>
        <v>金币</v>
      </c>
      <c r="S385" s="15">
        <f t="shared" si="73"/>
        <v>20000</v>
      </c>
      <c r="T385" s="15" t="str">
        <f t="shared" si="74"/>
        <v>高级专属强化石</v>
      </c>
      <c r="U385" s="15">
        <f t="shared" si="75"/>
        <v>15</v>
      </c>
      <c r="V385" s="15" t="str">
        <f t="shared" si="76"/>
        <v>[x]</v>
      </c>
      <c r="W385" s="15" t="str">
        <f t="shared" si="77"/>
        <v>[x]</v>
      </c>
      <c r="X385" s="15">
        <f t="shared" si="78"/>
        <v>0.1</v>
      </c>
      <c r="Y385" s="15">
        <f t="shared" si="79"/>
        <v>1</v>
      </c>
      <c r="Z385" s="15">
        <f t="shared" si="80"/>
        <v>150</v>
      </c>
      <c r="AA385" s="15">
        <f t="shared" si="81"/>
        <v>1</v>
      </c>
    </row>
    <row r="386" spans="13:27" ht="16.5" x14ac:dyDescent="0.2">
      <c r="M386" s="15">
        <v>307</v>
      </c>
      <c r="N386" s="15">
        <f t="shared" si="70"/>
        <v>7</v>
      </c>
      <c r="O386" s="15">
        <f>INDEX(卡牌消耗!$H$13:$H$33,世界BOSS专属武器!N386)</f>
        <v>1501007</v>
      </c>
      <c r="P386" s="49" t="s">
        <v>480</v>
      </c>
      <c r="Q386" s="15">
        <f t="shared" si="71"/>
        <v>0</v>
      </c>
      <c r="R386" s="49" t="str">
        <f t="shared" si="72"/>
        <v>[x]</v>
      </c>
      <c r="S386" s="15" t="str">
        <f t="shared" si="73"/>
        <v>[x]</v>
      </c>
      <c r="T386" s="15" t="str">
        <f t="shared" si="74"/>
        <v>[x]</v>
      </c>
      <c r="U386" s="15" t="str">
        <f t="shared" si="75"/>
        <v>[x]</v>
      </c>
      <c r="V386" s="15" t="str">
        <f t="shared" si="76"/>
        <v>[x]</v>
      </c>
      <c r="W386" s="15" t="str">
        <f t="shared" si="77"/>
        <v>[x]</v>
      </c>
      <c r="X386" s="15" t="str">
        <f t="shared" si="78"/>
        <v>[x]</v>
      </c>
      <c r="Y386" s="15" t="str">
        <f t="shared" si="79"/>
        <v>[x]</v>
      </c>
      <c r="Z386" s="15" t="str">
        <f t="shared" si="80"/>
        <v>[x]</v>
      </c>
      <c r="AA386" s="15" t="str">
        <f t="shared" si="81"/>
        <v>[x]</v>
      </c>
    </row>
    <row r="387" spans="13:27" ht="16.5" x14ac:dyDescent="0.2">
      <c r="M387" s="15">
        <v>308</v>
      </c>
      <c r="N387" s="15">
        <f t="shared" si="70"/>
        <v>7</v>
      </c>
      <c r="O387" s="15">
        <f>INDEX(卡牌消耗!$H$13:$H$33,世界BOSS专属武器!N387)</f>
        <v>1501007</v>
      </c>
      <c r="P387" s="49" t="s">
        <v>480</v>
      </c>
      <c r="Q387" s="15">
        <f t="shared" si="71"/>
        <v>1</v>
      </c>
      <c r="R387" s="49" t="str">
        <f t="shared" si="72"/>
        <v>金币</v>
      </c>
      <c r="S387" s="15">
        <f t="shared" si="73"/>
        <v>100</v>
      </c>
      <c r="T387" s="15" t="str">
        <f t="shared" si="74"/>
        <v>低级专属强化石</v>
      </c>
      <c r="U387" s="15">
        <f t="shared" si="75"/>
        <v>1</v>
      </c>
      <c r="V387" s="15" t="str">
        <f t="shared" si="76"/>
        <v>[x]</v>
      </c>
      <c r="W387" s="15" t="str">
        <f t="shared" si="77"/>
        <v>[x]</v>
      </c>
      <c r="X387" s="15">
        <f t="shared" si="78"/>
        <v>1</v>
      </c>
      <c r="Y387" s="15">
        <f t="shared" si="79"/>
        <v>1</v>
      </c>
      <c r="Z387" s="15">
        <f t="shared" si="80"/>
        <v>1</v>
      </c>
      <c r="AA387" s="15">
        <f t="shared" si="81"/>
        <v>6.7000000000000002E-3</v>
      </c>
    </row>
    <row r="388" spans="13:27" ht="16.5" x14ac:dyDescent="0.2">
      <c r="M388" s="15">
        <v>309</v>
      </c>
      <c r="N388" s="15">
        <f t="shared" si="70"/>
        <v>7</v>
      </c>
      <c r="O388" s="15">
        <f>INDEX(卡牌消耗!$H$13:$H$33,世界BOSS专属武器!N388)</f>
        <v>1501007</v>
      </c>
      <c r="P388" s="49" t="s">
        <v>480</v>
      </c>
      <c r="Q388" s="15">
        <f t="shared" si="71"/>
        <v>2</v>
      </c>
      <c r="R388" s="49" t="str">
        <f t="shared" si="72"/>
        <v>金币</v>
      </c>
      <c r="S388" s="15">
        <f t="shared" si="73"/>
        <v>200</v>
      </c>
      <c r="T388" s="15" t="str">
        <f t="shared" si="74"/>
        <v>低级专属强化石</v>
      </c>
      <c r="U388" s="15">
        <f t="shared" si="75"/>
        <v>1</v>
      </c>
      <c r="V388" s="15" t="str">
        <f t="shared" si="76"/>
        <v>[x]</v>
      </c>
      <c r="W388" s="15" t="str">
        <f t="shared" si="77"/>
        <v>[x]</v>
      </c>
      <c r="X388" s="15">
        <f t="shared" si="78"/>
        <v>0.5</v>
      </c>
      <c r="Y388" s="15">
        <f t="shared" si="79"/>
        <v>1</v>
      </c>
      <c r="Z388" s="15">
        <f t="shared" si="80"/>
        <v>2</v>
      </c>
      <c r="AA388" s="15">
        <f t="shared" si="81"/>
        <v>1.3299999999999999E-2</v>
      </c>
    </row>
    <row r="389" spans="13:27" ht="16.5" x14ac:dyDescent="0.2">
      <c r="M389" s="15">
        <v>310</v>
      </c>
      <c r="N389" s="15">
        <f t="shared" si="70"/>
        <v>7</v>
      </c>
      <c r="O389" s="15">
        <f>INDEX(卡牌消耗!$H$13:$H$33,世界BOSS专属武器!N389)</f>
        <v>1501007</v>
      </c>
      <c r="P389" s="49" t="s">
        <v>480</v>
      </c>
      <c r="Q389" s="15">
        <f t="shared" si="71"/>
        <v>3</v>
      </c>
      <c r="R389" s="49" t="str">
        <f t="shared" si="72"/>
        <v>金币</v>
      </c>
      <c r="S389" s="15">
        <f t="shared" si="73"/>
        <v>300</v>
      </c>
      <c r="T389" s="15" t="str">
        <f t="shared" si="74"/>
        <v>低级专属强化石</v>
      </c>
      <c r="U389" s="15">
        <f t="shared" si="75"/>
        <v>2</v>
      </c>
      <c r="V389" s="15" t="str">
        <f t="shared" si="76"/>
        <v>[x]</v>
      </c>
      <c r="W389" s="15" t="str">
        <f t="shared" si="77"/>
        <v>[x]</v>
      </c>
      <c r="X389" s="15">
        <f t="shared" si="78"/>
        <v>0.48</v>
      </c>
      <c r="Y389" s="15">
        <f t="shared" si="79"/>
        <v>1</v>
      </c>
      <c r="Z389" s="15">
        <f t="shared" si="80"/>
        <v>3</v>
      </c>
      <c r="AA389" s="15">
        <f t="shared" si="81"/>
        <v>0.02</v>
      </c>
    </row>
    <row r="390" spans="13:27" ht="16.5" x14ac:dyDescent="0.2">
      <c r="M390" s="15">
        <v>311</v>
      </c>
      <c r="N390" s="15">
        <f t="shared" si="70"/>
        <v>7</v>
      </c>
      <c r="O390" s="15">
        <f>INDEX(卡牌消耗!$H$13:$H$33,世界BOSS专属武器!N390)</f>
        <v>1501007</v>
      </c>
      <c r="P390" s="49" t="s">
        <v>480</v>
      </c>
      <c r="Q390" s="15">
        <f t="shared" si="71"/>
        <v>4</v>
      </c>
      <c r="R390" s="49" t="str">
        <f t="shared" si="72"/>
        <v>金币</v>
      </c>
      <c r="S390" s="15">
        <f t="shared" si="73"/>
        <v>400</v>
      </c>
      <c r="T390" s="15" t="str">
        <f t="shared" si="74"/>
        <v>低级专属强化石</v>
      </c>
      <c r="U390" s="15">
        <f t="shared" si="75"/>
        <v>3</v>
      </c>
      <c r="V390" s="15" t="str">
        <f t="shared" si="76"/>
        <v>[x]</v>
      </c>
      <c r="W390" s="15" t="str">
        <f t="shared" si="77"/>
        <v>[x]</v>
      </c>
      <c r="X390" s="15">
        <f t="shared" si="78"/>
        <v>0.46</v>
      </c>
      <c r="Y390" s="15">
        <f t="shared" si="79"/>
        <v>1</v>
      </c>
      <c r="Z390" s="15">
        <f t="shared" si="80"/>
        <v>3</v>
      </c>
      <c r="AA390" s="15">
        <f t="shared" si="81"/>
        <v>2.6700000000000002E-2</v>
      </c>
    </row>
    <row r="391" spans="13:27" ht="16.5" x14ac:dyDescent="0.2">
      <c r="M391" s="15">
        <v>312</v>
      </c>
      <c r="N391" s="15">
        <f t="shared" si="70"/>
        <v>7</v>
      </c>
      <c r="O391" s="15">
        <f>INDEX(卡牌消耗!$H$13:$H$33,世界BOSS专属武器!N391)</f>
        <v>1501007</v>
      </c>
      <c r="P391" s="49" t="s">
        <v>480</v>
      </c>
      <c r="Q391" s="15">
        <f t="shared" si="71"/>
        <v>5</v>
      </c>
      <c r="R391" s="49" t="str">
        <f t="shared" si="72"/>
        <v>金币</v>
      </c>
      <c r="S391" s="15">
        <f t="shared" si="73"/>
        <v>500</v>
      </c>
      <c r="T391" s="15" t="str">
        <f t="shared" si="74"/>
        <v>低级专属强化石</v>
      </c>
      <c r="U391" s="15">
        <f t="shared" si="75"/>
        <v>4</v>
      </c>
      <c r="V391" s="15" t="str">
        <f t="shared" si="76"/>
        <v>[x]</v>
      </c>
      <c r="W391" s="15" t="str">
        <f t="shared" si="77"/>
        <v>[x]</v>
      </c>
      <c r="X391" s="15">
        <f t="shared" si="78"/>
        <v>0.44</v>
      </c>
      <c r="Y391" s="15">
        <f t="shared" si="79"/>
        <v>1</v>
      </c>
      <c r="Z391" s="15">
        <f t="shared" si="80"/>
        <v>3</v>
      </c>
      <c r="AA391" s="15">
        <f t="shared" si="81"/>
        <v>3.3300000000000003E-2</v>
      </c>
    </row>
    <row r="392" spans="13:27" ht="16.5" x14ac:dyDescent="0.2">
      <c r="M392" s="15">
        <v>313</v>
      </c>
      <c r="N392" s="15">
        <f t="shared" si="70"/>
        <v>7</v>
      </c>
      <c r="O392" s="15">
        <f>INDEX(卡牌消耗!$H$13:$H$33,世界BOSS专属武器!N392)</f>
        <v>1501007</v>
      </c>
      <c r="P392" s="49" t="s">
        <v>480</v>
      </c>
      <c r="Q392" s="15">
        <f t="shared" si="71"/>
        <v>6</v>
      </c>
      <c r="R392" s="49" t="str">
        <f t="shared" si="72"/>
        <v>金币</v>
      </c>
      <c r="S392" s="15">
        <f t="shared" si="73"/>
        <v>600</v>
      </c>
      <c r="T392" s="15" t="str">
        <f t="shared" si="74"/>
        <v>低级专属强化石</v>
      </c>
      <c r="U392" s="15">
        <f t="shared" si="75"/>
        <v>5</v>
      </c>
      <c r="V392" s="15" t="str">
        <f t="shared" si="76"/>
        <v>[x]</v>
      </c>
      <c r="W392" s="15" t="str">
        <f t="shared" si="77"/>
        <v>[x]</v>
      </c>
      <c r="X392" s="15">
        <f t="shared" si="78"/>
        <v>0.42</v>
      </c>
      <c r="Y392" s="15">
        <f t="shared" si="79"/>
        <v>1</v>
      </c>
      <c r="Z392" s="15">
        <f t="shared" si="80"/>
        <v>4</v>
      </c>
      <c r="AA392" s="15">
        <f t="shared" si="81"/>
        <v>0.04</v>
      </c>
    </row>
    <row r="393" spans="13:27" ht="16.5" x14ac:dyDescent="0.2">
      <c r="M393" s="15">
        <v>314</v>
      </c>
      <c r="N393" s="15">
        <f t="shared" si="70"/>
        <v>7</v>
      </c>
      <c r="O393" s="15">
        <f>INDEX(卡牌消耗!$H$13:$H$33,世界BOSS专属武器!N393)</f>
        <v>1501007</v>
      </c>
      <c r="P393" s="49" t="s">
        <v>480</v>
      </c>
      <c r="Q393" s="15">
        <f t="shared" si="71"/>
        <v>7</v>
      </c>
      <c r="R393" s="49" t="str">
        <f t="shared" si="72"/>
        <v>金币</v>
      </c>
      <c r="S393" s="15">
        <f t="shared" si="73"/>
        <v>700</v>
      </c>
      <c r="T393" s="15" t="str">
        <f t="shared" si="74"/>
        <v>低级专属强化石</v>
      </c>
      <c r="U393" s="15">
        <f t="shared" si="75"/>
        <v>5</v>
      </c>
      <c r="V393" s="15" t="str">
        <f t="shared" si="76"/>
        <v>[x]</v>
      </c>
      <c r="W393" s="15" t="str">
        <f t="shared" si="77"/>
        <v>[x]</v>
      </c>
      <c r="X393" s="15">
        <f t="shared" si="78"/>
        <v>0.4</v>
      </c>
      <c r="Y393" s="15">
        <f t="shared" si="79"/>
        <v>1</v>
      </c>
      <c r="Z393" s="15">
        <f t="shared" si="80"/>
        <v>4</v>
      </c>
      <c r="AA393" s="15">
        <f t="shared" si="81"/>
        <v>4.6699999999999998E-2</v>
      </c>
    </row>
    <row r="394" spans="13:27" ht="16.5" x14ac:dyDescent="0.2">
      <c r="M394" s="15">
        <v>315</v>
      </c>
      <c r="N394" s="15">
        <f t="shared" si="70"/>
        <v>7</v>
      </c>
      <c r="O394" s="15">
        <f>INDEX(卡牌消耗!$H$13:$H$33,世界BOSS专属武器!N394)</f>
        <v>1501007</v>
      </c>
      <c r="P394" s="49" t="s">
        <v>480</v>
      </c>
      <c r="Q394" s="15">
        <f t="shared" si="71"/>
        <v>8</v>
      </c>
      <c r="R394" s="49" t="str">
        <f t="shared" si="72"/>
        <v>金币</v>
      </c>
      <c r="S394" s="15">
        <f t="shared" si="73"/>
        <v>800</v>
      </c>
      <c r="T394" s="15" t="str">
        <f t="shared" si="74"/>
        <v>低级专属强化石</v>
      </c>
      <c r="U394" s="15">
        <f t="shared" si="75"/>
        <v>5</v>
      </c>
      <c r="V394" s="15" t="str">
        <f t="shared" si="76"/>
        <v>[x]</v>
      </c>
      <c r="W394" s="15" t="str">
        <f t="shared" si="77"/>
        <v>[x]</v>
      </c>
      <c r="X394" s="15">
        <f t="shared" si="78"/>
        <v>0.38</v>
      </c>
      <c r="Y394" s="15">
        <f t="shared" si="79"/>
        <v>1</v>
      </c>
      <c r="Z394" s="15">
        <f t="shared" si="80"/>
        <v>5</v>
      </c>
      <c r="AA394" s="15">
        <f t="shared" si="81"/>
        <v>5.33E-2</v>
      </c>
    </row>
    <row r="395" spans="13:27" ht="16.5" x14ac:dyDescent="0.2">
      <c r="M395" s="15">
        <v>316</v>
      </c>
      <c r="N395" s="15">
        <f t="shared" si="70"/>
        <v>7</v>
      </c>
      <c r="O395" s="15">
        <f>INDEX(卡牌消耗!$H$13:$H$33,世界BOSS专属武器!N395)</f>
        <v>1501007</v>
      </c>
      <c r="P395" s="49" t="s">
        <v>480</v>
      </c>
      <c r="Q395" s="15">
        <f t="shared" si="71"/>
        <v>9</v>
      </c>
      <c r="R395" s="49" t="str">
        <f t="shared" si="72"/>
        <v>金币</v>
      </c>
      <c r="S395" s="15">
        <f t="shared" si="73"/>
        <v>900</v>
      </c>
      <c r="T395" s="15" t="str">
        <f t="shared" si="74"/>
        <v>低级专属强化石</v>
      </c>
      <c r="U395" s="15">
        <f t="shared" si="75"/>
        <v>5</v>
      </c>
      <c r="V395" s="15" t="str">
        <f t="shared" si="76"/>
        <v>[x]</v>
      </c>
      <c r="W395" s="15" t="str">
        <f t="shared" si="77"/>
        <v>[x]</v>
      </c>
      <c r="X395" s="15">
        <f t="shared" si="78"/>
        <v>0.36</v>
      </c>
      <c r="Y395" s="15">
        <f t="shared" si="79"/>
        <v>1</v>
      </c>
      <c r="Z395" s="15">
        <f t="shared" si="80"/>
        <v>5</v>
      </c>
      <c r="AA395" s="15">
        <f t="shared" si="81"/>
        <v>0.06</v>
      </c>
    </row>
    <row r="396" spans="13:27" ht="16.5" x14ac:dyDescent="0.2">
      <c r="M396" s="15">
        <v>317</v>
      </c>
      <c r="N396" s="15">
        <f t="shared" si="70"/>
        <v>7</v>
      </c>
      <c r="O396" s="15">
        <f>INDEX(卡牌消耗!$H$13:$H$33,世界BOSS专属武器!N396)</f>
        <v>1501007</v>
      </c>
      <c r="P396" s="49" t="s">
        <v>480</v>
      </c>
      <c r="Q396" s="15">
        <f t="shared" si="71"/>
        <v>10</v>
      </c>
      <c r="R396" s="49" t="str">
        <f t="shared" si="72"/>
        <v>金币</v>
      </c>
      <c r="S396" s="15">
        <f t="shared" si="73"/>
        <v>1000</v>
      </c>
      <c r="T396" s="15" t="str">
        <f t="shared" si="74"/>
        <v>低级专属强化石</v>
      </c>
      <c r="U396" s="15">
        <f t="shared" si="75"/>
        <v>7</v>
      </c>
      <c r="V396" s="15" t="str">
        <f t="shared" si="76"/>
        <v>[x]</v>
      </c>
      <c r="W396" s="15" t="str">
        <f t="shared" si="77"/>
        <v>[x]</v>
      </c>
      <c r="X396" s="15">
        <f t="shared" si="78"/>
        <v>0.35</v>
      </c>
      <c r="Y396" s="15">
        <f t="shared" si="79"/>
        <v>1</v>
      </c>
      <c r="Z396" s="15">
        <f t="shared" si="80"/>
        <v>5</v>
      </c>
      <c r="AA396" s="15">
        <f t="shared" si="81"/>
        <v>6.6699999999999995E-2</v>
      </c>
    </row>
    <row r="397" spans="13:27" ht="16.5" x14ac:dyDescent="0.2">
      <c r="M397" s="15">
        <v>318</v>
      </c>
      <c r="N397" s="15">
        <f t="shared" si="70"/>
        <v>7</v>
      </c>
      <c r="O397" s="15">
        <f>INDEX(卡牌消耗!$H$13:$H$33,世界BOSS专属武器!N397)</f>
        <v>1501007</v>
      </c>
      <c r="P397" s="49" t="s">
        <v>480</v>
      </c>
      <c r="Q397" s="15">
        <f t="shared" si="71"/>
        <v>11</v>
      </c>
      <c r="R397" s="49" t="str">
        <f t="shared" si="72"/>
        <v>金币</v>
      </c>
      <c r="S397" s="15">
        <f t="shared" si="73"/>
        <v>1000</v>
      </c>
      <c r="T397" s="15" t="str">
        <f t="shared" si="74"/>
        <v>低级专属强化石</v>
      </c>
      <c r="U397" s="15">
        <f t="shared" si="75"/>
        <v>7</v>
      </c>
      <c r="V397" s="15" t="str">
        <f t="shared" si="76"/>
        <v>[x]</v>
      </c>
      <c r="W397" s="15" t="str">
        <f t="shared" si="77"/>
        <v>[x]</v>
      </c>
      <c r="X397" s="15">
        <f t="shared" si="78"/>
        <v>0.33</v>
      </c>
      <c r="Y397" s="15">
        <f t="shared" si="79"/>
        <v>1</v>
      </c>
      <c r="Z397" s="15">
        <f t="shared" si="80"/>
        <v>6</v>
      </c>
      <c r="AA397" s="15">
        <f t="shared" si="81"/>
        <v>0.08</v>
      </c>
    </row>
    <row r="398" spans="13:27" ht="16.5" x14ac:dyDescent="0.2">
      <c r="M398" s="15">
        <v>319</v>
      </c>
      <c r="N398" s="15">
        <f t="shared" si="70"/>
        <v>7</v>
      </c>
      <c r="O398" s="15">
        <f>INDEX(卡牌消耗!$H$13:$H$33,世界BOSS专属武器!N398)</f>
        <v>1501007</v>
      </c>
      <c r="P398" s="49" t="s">
        <v>480</v>
      </c>
      <c r="Q398" s="15">
        <f t="shared" si="71"/>
        <v>12</v>
      </c>
      <c r="R398" s="49" t="str">
        <f t="shared" si="72"/>
        <v>金币</v>
      </c>
      <c r="S398" s="15">
        <f t="shared" si="73"/>
        <v>1000</v>
      </c>
      <c r="T398" s="15" t="str">
        <f t="shared" si="74"/>
        <v>低级专属强化石</v>
      </c>
      <c r="U398" s="15">
        <f t="shared" si="75"/>
        <v>7</v>
      </c>
      <c r="V398" s="15" t="str">
        <f t="shared" si="76"/>
        <v>[x]</v>
      </c>
      <c r="W398" s="15" t="str">
        <f t="shared" si="77"/>
        <v>[x]</v>
      </c>
      <c r="X398" s="15">
        <f t="shared" si="78"/>
        <v>0.31</v>
      </c>
      <c r="Y398" s="15">
        <f t="shared" si="79"/>
        <v>1</v>
      </c>
      <c r="Z398" s="15">
        <f t="shared" si="80"/>
        <v>6</v>
      </c>
      <c r="AA398" s="15">
        <f t="shared" si="81"/>
        <v>9.3299999999999994E-2</v>
      </c>
    </row>
    <row r="399" spans="13:27" ht="16.5" x14ac:dyDescent="0.2">
      <c r="M399" s="15">
        <v>320</v>
      </c>
      <c r="N399" s="15">
        <f t="shared" si="70"/>
        <v>7</v>
      </c>
      <c r="O399" s="15">
        <f>INDEX(卡牌消耗!$H$13:$H$33,世界BOSS专属武器!N399)</f>
        <v>1501007</v>
      </c>
      <c r="P399" s="49" t="s">
        <v>480</v>
      </c>
      <c r="Q399" s="15">
        <f t="shared" si="71"/>
        <v>13</v>
      </c>
      <c r="R399" s="49" t="str">
        <f t="shared" si="72"/>
        <v>金币</v>
      </c>
      <c r="S399" s="15">
        <f t="shared" si="73"/>
        <v>1000</v>
      </c>
      <c r="T399" s="15" t="str">
        <f t="shared" si="74"/>
        <v>低级专属强化石</v>
      </c>
      <c r="U399" s="15">
        <f t="shared" si="75"/>
        <v>7</v>
      </c>
      <c r="V399" s="15" t="str">
        <f t="shared" si="76"/>
        <v>[x]</v>
      </c>
      <c r="W399" s="15" t="str">
        <f t="shared" si="77"/>
        <v>[x]</v>
      </c>
      <c r="X399" s="15">
        <f t="shared" si="78"/>
        <v>0.28999999999999998</v>
      </c>
      <c r="Y399" s="15">
        <f t="shared" si="79"/>
        <v>1</v>
      </c>
      <c r="Z399" s="15">
        <f t="shared" si="80"/>
        <v>7</v>
      </c>
      <c r="AA399" s="15">
        <f t="shared" si="81"/>
        <v>0.1067</v>
      </c>
    </row>
    <row r="400" spans="13:27" ht="16.5" x14ac:dyDescent="0.2">
      <c r="M400" s="15">
        <v>321</v>
      </c>
      <c r="N400" s="15">
        <f t="shared" si="70"/>
        <v>7</v>
      </c>
      <c r="O400" s="15">
        <f>INDEX(卡牌消耗!$H$13:$H$33,世界BOSS专属武器!N400)</f>
        <v>1501007</v>
      </c>
      <c r="P400" s="49" t="s">
        <v>480</v>
      </c>
      <c r="Q400" s="15">
        <f t="shared" si="71"/>
        <v>14</v>
      </c>
      <c r="R400" s="49" t="str">
        <f t="shared" si="72"/>
        <v>金币</v>
      </c>
      <c r="S400" s="15">
        <f t="shared" si="73"/>
        <v>1000</v>
      </c>
      <c r="T400" s="15" t="str">
        <f t="shared" si="74"/>
        <v>低级专属强化石</v>
      </c>
      <c r="U400" s="15">
        <f t="shared" si="75"/>
        <v>7</v>
      </c>
      <c r="V400" s="15" t="str">
        <f t="shared" si="76"/>
        <v>[x]</v>
      </c>
      <c r="W400" s="15" t="str">
        <f t="shared" si="77"/>
        <v>[x]</v>
      </c>
      <c r="X400" s="15">
        <f t="shared" si="78"/>
        <v>0.27</v>
      </c>
      <c r="Y400" s="15">
        <f t="shared" si="79"/>
        <v>1</v>
      </c>
      <c r="Z400" s="15">
        <f t="shared" si="80"/>
        <v>7</v>
      </c>
      <c r="AA400" s="15">
        <f t="shared" si="81"/>
        <v>0.12</v>
      </c>
    </row>
    <row r="401" spans="13:27" ht="16.5" x14ac:dyDescent="0.2">
      <c r="M401" s="15">
        <v>322</v>
      </c>
      <c r="N401" s="15">
        <f t="shared" ref="N401:N464" si="82">INT((M401-1)/51)+1</f>
        <v>7</v>
      </c>
      <c r="O401" s="15">
        <f>INDEX(卡牌消耗!$H$13:$H$33,世界BOSS专属武器!N401)</f>
        <v>1501007</v>
      </c>
      <c r="P401" s="49" t="s">
        <v>480</v>
      </c>
      <c r="Q401" s="15">
        <f t="shared" ref="Q401:Q464" si="83">MOD(M401-1,51)</f>
        <v>15</v>
      </c>
      <c r="R401" s="49" t="str">
        <f t="shared" ref="R401:R464" si="84">IF(Q401&gt;0,"金币","[x]")</f>
        <v>金币</v>
      </c>
      <c r="S401" s="15">
        <f t="shared" ref="S401:S464" si="85">IF(Q401&gt;0,INDEX($V$27:$V$76,Q401),"[x]")</f>
        <v>1000</v>
      </c>
      <c r="T401" s="15" t="str">
        <f t="shared" ref="T401:T464" si="86">IF(Q401&gt;0,INDEX($W$27:$W$76,Q401),"[x]")</f>
        <v>低级专属强化石</v>
      </c>
      <c r="U401" s="15">
        <f t="shared" ref="U401:U464" si="87">IF(Q401&gt;0,INDEX($AA$27:$AF$76,Q401,INDEX($Y$27:$Y$76,Q401)),"[x]")</f>
        <v>10</v>
      </c>
      <c r="V401" s="15" t="str">
        <f t="shared" ref="V401:V464" si="88">IF(AND(Q401&gt;=20,Q401&lt;40),INDEX($X$27:$X$76,Q401),"[x]")</f>
        <v>[x]</v>
      </c>
      <c r="W401" s="15" t="str">
        <f t="shared" ref="W401:W464" si="89">IF(AND(Q401&gt;=20,Q401&lt;40),INDEX($AA$27:$AF$76,Q401,INDEX($Z$27:$Z$76,Q401)),"[x]")</f>
        <v>[x]</v>
      </c>
      <c r="X401" s="15">
        <f t="shared" ref="X401:X464" si="90">IF(Q401&gt;0,INDEX($T$27:$T$76,Q401),"[x]")</f>
        <v>0.25</v>
      </c>
      <c r="Y401" s="15">
        <f t="shared" ref="Y401:Y464" si="91">IF(Q401&gt;0,1,"[x]")</f>
        <v>1</v>
      </c>
      <c r="Z401" s="15">
        <f t="shared" ref="Z401:Z464" si="92">IF(Q401&gt;0,INDEX($AG$27:$AG$76,Q401),"[x]")</f>
        <v>8</v>
      </c>
      <c r="AA401" s="15">
        <f t="shared" ref="AA401:AA464" si="93">IF(Q401&gt;0,INDEX($AL$27:$AL$76,Q401),"[x]")</f>
        <v>0.1333</v>
      </c>
    </row>
    <row r="402" spans="13:27" ht="16.5" x14ac:dyDescent="0.2">
      <c r="M402" s="15">
        <v>323</v>
      </c>
      <c r="N402" s="15">
        <f t="shared" si="82"/>
        <v>7</v>
      </c>
      <c r="O402" s="15">
        <f>INDEX(卡牌消耗!$H$13:$H$33,世界BOSS专属武器!N402)</f>
        <v>1501007</v>
      </c>
      <c r="P402" s="49" t="s">
        <v>480</v>
      </c>
      <c r="Q402" s="15">
        <f t="shared" si="83"/>
        <v>16</v>
      </c>
      <c r="R402" s="49" t="str">
        <f t="shared" si="84"/>
        <v>金币</v>
      </c>
      <c r="S402" s="15">
        <f t="shared" si="85"/>
        <v>1000</v>
      </c>
      <c r="T402" s="15" t="str">
        <f t="shared" si="86"/>
        <v>低级专属强化石</v>
      </c>
      <c r="U402" s="15">
        <f t="shared" si="87"/>
        <v>10</v>
      </c>
      <c r="V402" s="15" t="str">
        <f t="shared" si="88"/>
        <v>[x]</v>
      </c>
      <c r="W402" s="15" t="str">
        <f t="shared" si="89"/>
        <v>[x]</v>
      </c>
      <c r="X402" s="15">
        <f t="shared" si="90"/>
        <v>0.23</v>
      </c>
      <c r="Y402" s="15">
        <f t="shared" si="91"/>
        <v>1</v>
      </c>
      <c r="Z402" s="15">
        <f t="shared" si="92"/>
        <v>9</v>
      </c>
      <c r="AA402" s="15">
        <f t="shared" si="93"/>
        <v>0.1467</v>
      </c>
    </row>
    <row r="403" spans="13:27" ht="16.5" x14ac:dyDescent="0.2">
      <c r="M403" s="15">
        <v>324</v>
      </c>
      <c r="N403" s="15">
        <f t="shared" si="82"/>
        <v>7</v>
      </c>
      <c r="O403" s="15">
        <f>INDEX(卡牌消耗!$H$13:$H$33,世界BOSS专属武器!N403)</f>
        <v>1501007</v>
      </c>
      <c r="P403" s="49" t="s">
        <v>480</v>
      </c>
      <c r="Q403" s="15">
        <f t="shared" si="83"/>
        <v>17</v>
      </c>
      <c r="R403" s="49" t="str">
        <f t="shared" si="84"/>
        <v>金币</v>
      </c>
      <c r="S403" s="15">
        <f t="shared" si="85"/>
        <v>1000</v>
      </c>
      <c r="T403" s="15" t="str">
        <f t="shared" si="86"/>
        <v>低级专属强化石</v>
      </c>
      <c r="U403" s="15">
        <f t="shared" si="87"/>
        <v>10</v>
      </c>
      <c r="V403" s="15" t="str">
        <f t="shared" si="88"/>
        <v>[x]</v>
      </c>
      <c r="W403" s="15" t="str">
        <f t="shared" si="89"/>
        <v>[x]</v>
      </c>
      <c r="X403" s="15">
        <f t="shared" si="90"/>
        <v>0.21</v>
      </c>
      <c r="Y403" s="15">
        <f t="shared" si="91"/>
        <v>1</v>
      </c>
      <c r="Z403" s="15">
        <f t="shared" si="92"/>
        <v>10</v>
      </c>
      <c r="AA403" s="15">
        <f t="shared" si="93"/>
        <v>0.16</v>
      </c>
    </row>
    <row r="404" spans="13:27" ht="16.5" x14ac:dyDescent="0.2">
      <c r="M404" s="15">
        <v>325</v>
      </c>
      <c r="N404" s="15">
        <f t="shared" si="82"/>
        <v>7</v>
      </c>
      <c r="O404" s="15">
        <f>INDEX(卡牌消耗!$H$13:$H$33,世界BOSS专属武器!N404)</f>
        <v>1501007</v>
      </c>
      <c r="P404" s="49" t="s">
        <v>480</v>
      </c>
      <c r="Q404" s="15">
        <f t="shared" si="83"/>
        <v>18</v>
      </c>
      <c r="R404" s="49" t="str">
        <f t="shared" si="84"/>
        <v>金币</v>
      </c>
      <c r="S404" s="15">
        <f t="shared" si="85"/>
        <v>1000</v>
      </c>
      <c r="T404" s="15" t="str">
        <f t="shared" si="86"/>
        <v>低级专属强化石</v>
      </c>
      <c r="U404" s="15">
        <f t="shared" si="87"/>
        <v>10</v>
      </c>
      <c r="V404" s="15" t="str">
        <f t="shared" si="88"/>
        <v>[x]</v>
      </c>
      <c r="W404" s="15" t="str">
        <f t="shared" si="89"/>
        <v>[x]</v>
      </c>
      <c r="X404" s="15">
        <f t="shared" si="90"/>
        <v>0.19</v>
      </c>
      <c r="Y404" s="15">
        <f t="shared" si="91"/>
        <v>1</v>
      </c>
      <c r="Z404" s="15">
        <f t="shared" si="92"/>
        <v>11</v>
      </c>
      <c r="AA404" s="15">
        <f t="shared" si="93"/>
        <v>0.17330000000000001</v>
      </c>
    </row>
    <row r="405" spans="13:27" ht="16.5" x14ac:dyDescent="0.2">
      <c r="M405" s="15">
        <v>326</v>
      </c>
      <c r="N405" s="15">
        <f t="shared" si="82"/>
        <v>7</v>
      </c>
      <c r="O405" s="15">
        <f>INDEX(卡牌消耗!$H$13:$H$33,世界BOSS专属武器!N405)</f>
        <v>1501007</v>
      </c>
      <c r="P405" s="49" t="s">
        <v>480</v>
      </c>
      <c r="Q405" s="15">
        <f t="shared" si="83"/>
        <v>19</v>
      </c>
      <c r="R405" s="49" t="str">
        <f t="shared" si="84"/>
        <v>金币</v>
      </c>
      <c r="S405" s="15">
        <f t="shared" si="85"/>
        <v>1000</v>
      </c>
      <c r="T405" s="15" t="str">
        <f t="shared" si="86"/>
        <v>低级专属强化石</v>
      </c>
      <c r="U405" s="15">
        <f t="shared" si="87"/>
        <v>10</v>
      </c>
      <c r="V405" s="15" t="str">
        <f t="shared" si="88"/>
        <v>[x]</v>
      </c>
      <c r="W405" s="15" t="str">
        <f t="shared" si="89"/>
        <v>[x]</v>
      </c>
      <c r="X405" s="15">
        <f t="shared" si="90"/>
        <v>0.17</v>
      </c>
      <c r="Y405" s="15">
        <f t="shared" si="91"/>
        <v>1</v>
      </c>
      <c r="Z405" s="15">
        <f t="shared" si="92"/>
        <v>12</v>
      </c>
      <c r="AA405" s="15">
        <f t="shared" si="93"/>
        <v>0.1867</v>
      </c>
    </row>
    <row r="406" spans="13:27" ht="16.5" x14ac:dyDescent="0.2">
      <c r="M406" s="15">
        <v>327</v>
      </c>
      <c r="N406" s="15">
        <f t="shared" si="82"/>
        <v>7</v>
      </c>
      <c r="O406" s="15">
        <f>INDEX(卡牌消耗!$H$13:$H$33,世界BOSS专属武器!N406)</f>
        <v>1501007</v>
      </c>
      <c r="P406" s="49" t="s">
        <v>480</v>
      </c>
      <c r="Q406" s="15">
        <f t="shared" si="83"/>
        <v>20</v>
      </c>
      <c r="R406" s="49" t="str">
        <f t="shared" si="84"/>
        <v>金币</v>
      </c>
      <c r="S406" s="15">
        <f t="shared" si="85"/>
        <v>5000</v>
      </c>
      <c r="T406" s="15" t="str">
        <f t="shared" si="86"/>
        <v>低级专属强化石</v>
      </c>
      <c r="U406" s="15">
        <f t="shared" si="87"/>
        <v>15</v>
      </c>
      <c r="V406" s="15" t="str">
        <f t="shared" si="88"/>
        <v>中级专属强化石</v>
      </c>
      <c r="W406" s="15">
        <f t="shared" si="89"/>
        <v>7</v>
      </c>
      <c r="X406" s="15">
        <f t="shared" si="90"/>
        <v>0.15</v>
      </c>
      <c r="Y406" s="15">
        <f t="shared" si="91"/>
        <v>1</v>
      </c>
      <c r="Z406" s="15">
        <f t="shared" si="92"/>
        <v>15</v>
      </c>
      <c r="AA406" s="15">
        <f t="shared" si="93"/>
        <v>0.2</v>
      </c>
    </row>
    <row r="407" spans="13:27" ht="16.5" x14ac:dyDescent="0.2">
      <c r="M407" s="15">
        <v>328</v>
      </c>
      <c r="N407" s="15">
        <f t="shared" si="82"/>
        <v>7</v>
      </c>
      <c r="O407" s="15">
        <f>INDEX(卡牌消耗!$H$13:$H$33,世界BOSS专属武器!N407)</f>
        <v>1501007</v>
      </c>
      <c r="P407" s="49" t="s">
        <v>480</v>
      </c>
      <c r="Q407" s="15">
        <f t="shared" si="83"/>
        <v>21</v>
      </c>
      <c r="R407" s="49" t="str">
        <f t="shared" si="84"/>
        <v>金币</v>
      </c>
      <c r="S407" s="15">
        <f t="shared" si="85"/>
        <v>5000</v>
      </c>
      <c r="T407" s="15" t="str">
        <f t="shared" si="86"/>
        <v>低级专属强化石</v>
      </c>
      <c r="U407" s="15">
        <f t="shared" si="87"/>
        <v>15</v>
      </c>
      <c r="V407" s="15" t="str">
        <f t="shared" si="88"/>
        <v>中级专属强化石</v>
      </c>
      <c r="W407" s="15">
        <f t="shared" si="89"/>
        <v>7</v>
      </c>
      <c r="X407" s="15">
        <f t="shared" si="90"/>
        <v>0.15</v>
      </c>
      <c r="Y407" s="15">
        <f t="shared" si="91"/>
        <v>1</v>
      </c>
      <c r="Z407" s="15">
        <f t="shared" si="92"/>
        <v>15</v>
      </c>
      <c r="AA407" s="15">
        <f t="shared" si="93"/>
        <v>0.22</v>
      </c>
    </row>
    <row r="408" spans="13:27" ht="16.5" x14ac:dyDescent="0.2">
      <c r="M408" s="15">
        <v>329</v>
      </c>
      <c r="N408" s="15">
        <f t="shared" si="82"/>
        <v>7</v>
      </c>
      <c r="O408" s="15">
        <f>INDEX(卡牌消耗!$H$13:$H$33,世界BOSS专属武器!N408)</f>
        <v>1501007</v>
      </c>
      <c r="P408" s="49" t="s">
        <v>480</v>
      </c>
      <c r="Q408" s="15">
        <f t="shared" si="83"/>
        <v>22</v>
      </c>
      <c r="R408" s="49" t="str">
        <f t="shared" si="84"/>
        <v>金币</v>
      </c>
      <c r="S408" s="15">
        <f t="shared" si="85"/>
        <v>5000</v>
      </c>
      <c r="T408" s="15" t="str">
        <f t="shared" si="86"/>
        <v>低级专属强化石</v>
      </c>
      <c r="U408" s="15">
        <f t="shared" si="87"/>
        <v>15</v>
      </c>
      <c r="V408" s="15" t="str">
        <f t="shared" si="88"/>
        <v>中级专属强化石</v>
      </c>
      <c r="W408" s="15">
        <f t="shared" si="89"/>
        <v>7</v>
      </c>
      <c r="X408" s="15">
        <f t="shared" si="90"/>
        <v>0.15</v>
      </c>
      <c r="Y408" s="15">
        <f t="shared" si="91"/>
        <v>1</v>
      </c>
      <c r="Z408" s="15">
        <f t="shared" si="92"/>
        <v>15</v>
      </c>
      <c r="AA408" s="15">
        <f t="shared" si="93"/>
        <v>0.24</v>
      </c>
    </row>
    <row r="409" spans="13:27" ht="16.5" x14ac:dyDescent="0.2">
      <c r="M409" s="15">
        <v>330</v>
      </c>
      <c r="N409" s="15">
        <f t="shared" si="82"/>
        <v>7</v>
      </c>
      <c r="O409" s="15">
        <f>INDEX(卡牌消耗!$H$13:$H$33,世界BOSS专属武器!N409)</f>
        <v>1501007</v>
      </c>
      <c r="P409" s="49" t="s">
        <v>480</v>
      </c>
      <c r="Q409" s="15">
        <f t="shared" si="83"/>
        <v>23</v>
      </c>
      <c r="R409" s="49" t="str">
        <f t="shared" si="84"/>
        <v>金币</v>
      </c>
      <c r="S409" s="15">
        <f t="shared" si="85"/>
        <v>5000</v>
      </c>
      <c r="T409" s="15" t="str">
        <f t="shared" si="86"/>
        <v>低级专属强化石</v>
      </c>
      <c r="U409" s="15">
        <f t="shared" si="87"/>
        <v>15</v>
      </c>
      <c r="V409" s="15" t="str">
        <f t="shared" si="88"/>
        <v>中级专属强化石</v>
      </c>
      <c r="W409" s="15">
        <f t="shared" si="89"/>
        <v>7</v>
      </c>
      <c r="X409" s="15">
        <f t="shared" si="90"/>
        <v>0.15</v>
      </c>
      <c r="Y409" s="15">
        <f t="shared" si="91"/>
        <v>1</v>
      </c>
      <c r="Z409" s="15">
        <f t="shared" si="92"/>
        <v>18</v>
      </c>
      <c r="AA409" s="15">
        <f t="shared" si="93"/>
        <v>0.26</v>
      </c>
    </row>
    <row r="410" spans="13:27" ht="16.5" x14ac:dyDescent="0.2">
      <c r="M410" s="15">
        <v>331</v>
      </c>
      <c r="N410" s="15">
        <f t="shared" si="82"/>
        <v>7</v>
      </c>
      <c r="O410" s="15">
        <f>INDEX(卡牌消耗!$H$13:$H$33,世界BOSS专属武器!N410)</f>
        <v>1501007</v>
      </c>
      <c r="P410" s="49" t="s">
        <v>480</v>
      </c>
      <c r="Q410" s="15">
        <f t="shared" si="83"/>
        <v>24</v>
      </c>
      <c r="R410" s="49" t="str">
        <f t="shared" si="84"/>
        <v>金币</v>
      </c>
      <c r="S410" s="15">
        <f t="shared" si="85"/>
        <v>5000</v>
      </c>
      <c r="T410" s="15" t="str">
        <f t="shared" si="86"/>
        <v>低级专属强化石</v>
      </c>
      <c r="U410" s="15">
        <f t="shared" si="87"/>
        <v>15</v>
      </c>
      <c r="V410" s="15" t="str">
        <f t="shared" si="88"/>
        <v>中级专属强化石</v>
      </c>
      <c r="W410" s="15">
        <f t="shared" si="89"/>
        <v>7</v>
      </c>
      <c r="X410" s="15">
        <f t="shared" si="90"/>
        <v>0.15</v>
      </c>
      <c r="Y410" s="15">
        <f t="shared" si="91"/>
        <v>1</v>
      </c>
      <c r="Z410" s="15">
        <f t="shared" si="92"/>
        <v>18</v>
      </c>
      <c r="AA410" s="15">
        <f t="shared" si="93"/>
        <v>0.28000000000000003</v>
      </c>
    </row>
    <row r="411" spans="13:27" ht="16.5" x14ac:dyDescent="0.2">
      <c r="M411" s="15">
        <v>332</v>
      </c>
      <c r="N411" s="15">
        <f t="shared" si="82"/>
        <v>7</v>
      </c>
      <c r="O411" s="15">
        <f>INDEX(卡牌消耗!$H$13:$H$33,世界BOSS专属武器!N411)</f>
        <v>1501007</v>
      </c>
      <c r="P411" s="49" t="s">
        <v>480</v>
      </c>
      <c r="Q411" s="15">
        <f t="shared" si="83"/>
        <v>25</v>
      </c>
      <c r="R411" s="49" t="str">
        <f t="shared" si="84"/>
        <v>金币</v>
      </c>
      <c r="S411" s="15">
        <f t="shared" si="85"/>
        <v>5000</v>
      </c>
      <c r="T411" s="15" t="str">
        <f t="shared" si="86"/>
        <v>低级专属强化石</v>
      </c>
      <c r="U411" s="15">
        <f t="shared" si="87"/>
        <v>15</v>
      </c>
      <c r="V411" s="15" t="str">
        <f t="shared" si="88"/>
        <v>中级专属强化石</v>
      </c>
      <c r="W411" s="15">
        <f t="shared" si="89"/>
        <v>7</v>
      </c>
      <c r="X411" s="15">
        <f t="shared" si="90"/>
        <v>0.15</v>
      </c>
      <c r="Y411" s="15">
        <f t="shared" si="91"/>
        <v>1</v>
      </c>
      <c r="Z411" s="15">
        <f t="shared" si="92"/>
        <v>18</v>
      </c>
      <c r="AA411" s="15">
        <f t="shared" si="93"/>
        <v>0.3</v>
      </c>
    </row>
    <row r="412" spans="13:27" ht="16.5" x14ac:dyDescent="0.2">
      <c r="M412" s="15">
        <v>333</v>
      </c>
      <c r="N412" s="15">
        <f t="shared" si="82"/>
        <v>7</v>
      </c>
      <c r="O412" s="15">
        <f>INDEX(卡牌消耗!$H$13:$H$33,世界BOSS专属武器!N412)</f>
        <v>1501007</v>
      </c>
      <c r="P412" s="49" t="s">
        <v>480</v>
      </c>
      <c r="Q412" s="15">
        <f t="shared" si="83"/>
        <v>26</v>
      </c>
      <c r="R412" s="49" t="str">
        <f t="shared" si="84"/>
        <v>金币</v>
      </c>
      <c r="S412" s="15">
        <f t="shared" si="85"/>
        <v>5000</v>
      </c>
      <c r="T412" s="15" t="str">
        <f t="shared" si="86"/>
        <v>低级专属强化石</v>
      </c>
      <c r="U412" s="15">
        <f t="shared" si="87"/>
        <v>15</v>
      </c>
      <c r="V412" s="15" t="str">
        <f t="shared" si="88"/>
        <v>中级专属强化石</v>
      </c>
      <c r="W412" s="15">
        <f t="shared" si="89"/>
        <v>7</v>
      </c>
      <c r="X412" s="15">
        <f t="shared" si="90"/>
        <v>0.15</v>
      </c>
      <c r="Y412" s="15">
        <f t="shared" si="91"/>
        <v>1</v>
      </c>
      <c r="Z412" s="15">
        <f t="shared" si="92"/>
        <v>21</v>
      </c>
      <c r="AA412" s="15">
        <f t="shared" si="93"/>
        <v>0.32</v>
      </c>
    </row>
    <row r="413" spans="13:27" ht="16.5" x14ac:dyDescent="0.2">
      <c r="M413" s="15">
        <v>334</v>
      </c>
      <c r="N413" s="15">
        <f t="shared" si="82"/>
        <v>7</v>
      </c>
      <c r="O413" s="15">
        <f>INDEX(卡牌消耗!$H$13:$H$33,世界BOSS专属武器!N413)</f>
        <v>1501007</v>
      </c>
      <c r="P413" s="49" t="s">
        <v>480</v>
      </c>
      <c r="Q413" s="15">
        <f t="shared" si="83"/>
        <v>27</v>
      </c>
      <c r="R413" s="49" t="str">
        <f t="shared" si="84"/>
        <v>金币</v>
      </c>
      <c r="S413" s="15">
        <f t="shared" si="85"/>
        <v>5000</v>
      </c>
      <c r="T413" s="15" t="str">
        <f t="shared" si="86"/>
        <v>低级专属强化石</v>
      </c>
      <c r="U413" s="15">
        <f t="shared" si="87"/>
        <v>15</v>
      </c>
      <c r="V413" s="15" t="str">
        <f t="shared" si="88"/>
        <v>中级专属强化石</v>
      </c>
      <c r="W413" s="15">
        <f t="shared" si="89"/>
        <v>7</v>
      </c>
      <c r="X413" s="15">
        <f t="shared" si="90"/>
        <v>0.15</v>
      </c>
      <c r="Y413" s="15">
        <f t="shared" si="91"/>
        <v>1</v>
      </c>
      <c r="Z413" s="15">
        <f t="shared" si="92"/>
        <v>22</v>
      </c>
      <c r="AA413" s="15">
        <f t="shared" si="93"/>
        <v>0.34</v>
      </c>
    </row>
    <row r="414" spans="13:27" ht="16.5" x14ac:dyDescent="0.2">
      <c r="M414" s="15">
        <v>335</v>
      </c>
      <c r="N414" s="15">
        <f t="shared" si="82"/>
        <v>7</v>
      </c>
      <c r="O414" s="15">
        <f>INDEX(卡牌消耗!$H$13:$H$33,世界BOSS专属武器!N414)</f>
        <v>1501007</v>
      </c>
      <c r="P414" s="49" t="s">
        <v>480</v>
      </c>
      <c r="Q414" s="15">
        <f t="shared" si="83"/>
        <v>28</v>
      </c>
      <c r="R414" s="49" t="str">
        <f t="shared" si="84"/>
        <v>金币</v>
      </c>
      <c r="S414" s="15">
        <f t="shared" si="85"/>
        <v>5000</v>
      </c>
      <c r="T414" s="15" t="str">
        <f t="shared" si="86"/>
        <v>低级专属强化石</v>
      </c>
      <c r="U414" s="15">
        <f t="shared" si="87"/>
        <v>15</v>
      </c>
      <c r="V414" s="15" t="str">
        <f t="shared" si="88"/>
        <v>中级专属强化石</v>
      </c>
      <c r="W414" s="15">
        <f t="shared" si="89"/>
        <v>7</v>
      </c>
      <c r="X414" s="15">
        <f t="shared" si="90"/>
        <v>0.15</v>
      </c>
      <c r="Y414" s="15">
        <f t="shared" si="91"/>
        <v>1</v>
      </c>
      <c r="Z414" s="15">
        <f t="shared" si="92"/>
        <v>23</v>
      </c>
      <c r="AA414" s="15">
        <f t="shared" si="93"/>
        <v>0.36</v>
      </c>
    </row>
    <row r="415" spans="13:27" ht="16.5" x14ac:dyDescent="0.2">
      <c r="M415" s="15">
        <v>336</v>
      </c>
      <c r="N415" s="15">
        <f t="shared" si="82"/>
        <v>7</v>
      </c>
      <c r="O415" s="15">
        <f>INDEX(卡牌消耗!$H$13:$H$33,世界BOSS专属武器!N415)</f>
        <v>1501007</v>
      </c>
      <c r="P415" s="49" t="s">
        <v>480</v>
      </c>
      <c r="Q415" s="15">
        <f t="shared" si="83"/>
        <v>29</v>
      </c>
      <c r="R415" s="49" t="str">
        <f t="shared" si="84"/>
        <v>金币</v>
      </c>
      <c r="S415" s="15">
        <f t="shared" si="85"/>
        <v>5000</v>
      </c>
      <c r="T415" s="15" t="str">
        <f t="shared" si="86"/>
        <v>低级专属强化石</v>
      </c>
      <c r="U415" s="15">
        <f t="shared" si="87"/>
        <v>15</v>
      </c>
      <c r="V415" s="15" t="str">
        <f t="shared" si="88"/>
        <v>中级专属强化石</v>
      </c>
      <c r="W415" s="15">
        <f t="shared" si="89"/>
        <v>7</v>
      </c>
      <c r="X415" s="15">
        <f t="shared" si="90"/>
        <v>0.15</v>
      </c>
      <c r="Y415" s="15">
        <f t="shared" si="91"/>
        <v>1</v>
      </c>
      <c r="Z415" s="15">
        <f t="shared" si="92"/>
        <v>25</v>
      </c>
      <c r="AA415" s="15">
        <f t="shared" si="93"/>
        <v>0.38</v>
      </c>
    </row>
    <row r="416" spans="13:27" ht="16.5" x14ac:dyDescent="0.2">
      <c r="M416" s="15">
        <v>337</v>
      </c>
      <c r="N416" s="15">
        <f t="shared" si="82"/>
        <v>7</v>
      </c>
      <c r="O416" s="15">
        <f>INDEX(卡牌消耗!$H$13:$H$33,世界BOSS专属武器!N416)</f>
        <v>1501007</v>
      </c>
      <c r="P416" s="49" t="s">
        <v>480</v>
      </c>
      <c r="Q416" s="15">
        <f t="shared" si="83"/>
        <v>30</v>
      </c>
      <c r="R416" s="49" t="str">
        <f t="shared" si="84"/>
        <v>金币</v>
      </c>
      <c r="S416" s="15">
        <f t="shared" si="85"/>
        <v>10000</v>
      </c>
      <c r="T416" s="15" t="str">
        <f t="shared" si="86"/>
        <v>中级专属强化石</v>
      </c>
      <c r="U416" s="15">
        <f t="shared" si="87"/>
        <v>8</v>
      </c>
      <c r="V416" s="15" t="str">
        <f t="shared" si="88"/>
        <v>高级专属强化石</v>
      </c>
      <c r="W416" s="15">
        <f t="shared" si="89"/>
        <v>3</v>
      </c>
      <c r="X416" s="15">
        <f t="shared" si="90"/>
        <v>0.1</v>
      </c>
      <c r="Y416" s="15">
        <f t="shared" si="91"/>
        <v>1</v>
      </c>
      <c r="Z416" s="15">
        <f t="shared" si="92"/>
        <v>30</v>
      </c>
      <c r="AA416" s="15">
        <f t="shared" si="93"/>
        <v>0.4</v>
      </c>
    </row>
    <row r="417" spans="13:27" ht="16.5" x14ac:dyDescent="0.2">
      <c r="M417" s="15">
        <v>338</v>
      </c>
      <c r="N417" s="15">
        <f t="shared" si="82"/>
        <v>7</v>
      </c>
      <c r="O417" s="15">
        <f>INDEX(卡牌消耗!$H$13:$H$33,世界BOSS专属武器!N417)</f>
        <v>1501007</v>
      </c>
      <c r="P417" s="49" t="s">
        <v>480</v>
      </c>
      <c r="Q417" s="15">
        <f t="shared" si="83"/>
        <v>31</v>
      </c>
      <c r="R417" s="49" t="str">
        <f t="shared" si="84"/>
        <v>金币</v>
      </c>
      <c r="S417" s="15">
        <f t="shared" si="85"/>
        <v>10000</v>
      </c>
      <c r="T417" s="15" t="str">
        <f t="shared" si="86"/>
        <v>中级专属强化石</v>
      </c>
      <c r="U417" s="15">
        <f t="shared" si="87"/>
        <v>8</v>
      </c>
      <c r="V417" s="15" t="str">
        <f t="shared" si="88"/>
        <v>高级专属强化石</v>
      </c>
      <c r="W417" s="15">
        <f t="shared" si="89"/>
        <v>3</v>
      </c>
      <c r="X417" s="15">
        <f t="shared" si="90"/>
        <v>0.1</v>
      </c>
      <c r="Y417" s="15">
        <f t="shared" si="91"/>
        <v>1</v>
      </c>
      <c r="Z417" s="15">
        <f t="shared" si="92"/>
        <v>30</v>
      </c>
      <c r="AA417" s="15">
        <f t="shared" si="93"/>
        <v>0.42670000000000002</v>
      </c>
    </row>
    <row r="418" spans="13:27" ht="16.5" x14ac:dyDescent="0.2">
      <c r="M418" s="15">
        <v>339</v>
      </c>
      <c r="N418" s="15">
        <f t="shared" si="82"/>
        <v>7</v>
      </c>
      <c r="O418" s="15">
        <f>INDEX(卡牌消耗!$H$13:$H$33,世界BOSS专属武器!N418)</f>
        <v>1501007</v>
      </c>
      <c r="P418" s="49" t="s">
        <v>480</v>
      </c>
      <c r="Q418" s="15">
        <f t="shared" si="83"/>
        <v>32</v>
      </c>
      <c r="R418" s="49" t="str">
        <f t="shared" si="84"/>
        <v>金币</v>
      </c>
      <c r="S418" s="15">
        <f t="shared" si="85"/>
        <v>10000</v>
      </c>
      <c r="T418" s="15" t="str">
        <f t="shared" si="86"/>
        <v>中级专属强化石</v>
      </c>
      <c r="U418" s="15">
        <f t="shared" si="87"/>
        <v>8</v>
      </c>
      <c r="V418" s="15" t="str">
        <f t="shared" si="88"/>
        <v>高级专属强化石</v>
      </c>
      <c r="W418" s="15">
        <f t="shared" si="89"/>
        <v>3</v>
      </c>
      <c r="X418" s="15">
        <f t="shared" si="90"/>
        <v>0.1</v>
      </c>
      <c r="Y418" s="15">
        <f t="shared" si="91"/>
        <v>1</v>
      </c>
      <c r="Z418" s="15">
        <f t="shared" si="92"/>
        <v>30</v>
      </c>
      <c r="AA418" s="15">
        <f t="shared" si="93"/>
        <v>0.45329999999999998</v>
      </c>
    </row>
    <row r="419" spans="13:27" ht="16.5" x14ac:dyDescent="0.2">
      <c r="M419" s="15">
        <v>340</v>
      </c>
      <c r="N419" s="15">
        <f t="shared" si="82"/>
        <v>7</v>
      </c>
      <c r="O419" s="15">
        <f>INDEX(卡牌消耗!$H$13:$H$33,世界BOSS专属武器!N419)</f>
        <v>1501007</v>
      </c>
      <c r="P419" s="49" t="s">
        <v>480</v>
      </c>
      <c r="Q419" s="15">
        <f t="shared" si="83"/>
        <v>33</v>
      </c>
      <c r="R419" s="49" t="str">
        <f t="shared" si="84"/>
        <v>金币</v>
      </c>
      <c r="S419" s="15">
        <f t="shared" si="85"/>
        <v>10000</v>
      </c>
      <c r="T419" s="15" t="str">
        <f t="shared" si="86"/>
        <v>中级专属强化石</v>
      </c>
      <c r="U419" s="15">
        <f t="shared" si="87"/>
        <v>8</v>
      </c>
      <c r="V419" s="15" t="str">
        <f t="shared" si="88"/>
        <v>高级专属强化石</v>
      </c>
      <c r="W419" s="15">
        <f t="shared" si="89"/>
        <v>3</v>
      </c>
      <c r="X419" s="15">
        <f t="shared" si="90"/>
        <v>0.1</v>
      </c>
      <c r="Y419" s="15">
        <f t="shared" si="91"/>
        <v>1</v>
      </c>
      <c r="Z419" s="15">
        <f t="shared" si="92"/>
        <v>30</v>
      </c>
      <c r="AA419" s="15">
        <f t="shared" si="93"/>
        <v>0.48</v>
      </c>
    </row>
    <row r="420" spans="13:27" ht="16.5" x14ac:dyDescent="0.2">
      <c r="M420" s="15">
        <v>341</v>
      </c>
      <c r="N420" s="15">
        <f t="shared" si="82"/>
        <v>7</v>
      </c>
      <c r="O420" s="15">
        <f>INDEX(卡牌消耗!$H$13:$H$33,世界BOSS专属武器!N420)</f>
        <v>1501007</v>
      </c>
      <c r="P420" s="49" t="s">
        <v>480</v>
      </c>
      <c r="Q420" s="15">
        <f t="shared" si="83"/>
        <v>34</v>
      </c>
      <c r="R420" s="49" t="str">
        <f t="shared" si="84"/>
        <v>金币</v>
      </c>
      <c r="S420" s="15">
        <f t="shared" si="85"/>
        <v>10000</v>
      </c>
      <c r="T420" s="15" t="str">
        <f t="shared" si="86"/>
        <v>中级专属强化石</v>
      </c>
      <c r="U420" s="15">
        <f t="shared" si="87"/>
        <v>8</v>
      </c>
      <c r="V420" s="15" t="str">
        <f t="shared" si="88"/>
        <v>高级专属强化石</v>
      </c>
      <c r="W420" s="15">
        <f t="shared" si="89"/>
        <v>3</v>
      </c>
      <c r="X420" s="15">
        <f t="shared" si="90"/>
        <v>0.1</v>
      </c>
      <c r="Y420" s="15">
        <f t="shared" si="91"/>
        <v>1</v>
      </c>
      <c r="Z420" s="15">
        <f t="shared" si="92"/>
        <v>30</v>
      </c>
      <c r="AA420" s="15">
        <f t="shared" si="93"/>
        <v>0.50670000000000004</v>
      </c>
    </row>
    <row r="421" spans="13:27" ht="16.5" x14ac:dyDescent="0.2">
      <c r="M421" s="15">
        <v>342</v>
      </c>
      <c r="N421" s="15">
        <f t="shared" si="82"/>
        <v>7</v>
      </c>
      <c r="O421" s="15">
        <f>INDEX(卡牌消耗!$H$13:$H$33,世界BOSS专属武器!N421)</f>
        <v>1501007</v>
      </c>
      <c r="P421" s="49" t="s">
        <v>480</v>
      </c>
      <c r="Q421" s="15">
        <f t="shared" si="83"/>
        <v>35</v>
      </c>
      <c r="R421" s="49" t="str">
        <f t="shared" si="84"/>
        <v>金币</v>
      </c>
      <c r="S421" s="15">
        <f t="shared" si="85"/>
        <v>10000</v>
      </c>
      <c r="T421" s="15" t="str">
        <f t="shared" si="86"/>
        <v>中级专属强化石</v>
      </c>
      <c r="U421" s="15">
        <f t="shared" si="87"/>
        <v>8</v>
      </c>
      <c r="V421" s="15" t="str">
        <f t="shared" si="88"/>
        <v>高级专属强化石</v>
      </c>
      <c r="W421" s="15">
        <f t="shared" si="89"/>
        <v>3</v>
      </c>
      <c r="X421" s="15">
        <f t="shared" si="90"/>
        <v>0.1</v>
      </c>
      <c r="Y421" s="15">
        <f t="shared" si="91"/>
        <v>1</v>
      </c>
      <c r="Z421" s="15">
        <f t="shared" si="92"/>
        <v>30</v>
      </c>
      <c r="AA421" s="15">
        <f t="shared" si="93"/>
        <v>0.5333</v>
      </c>
    </row>
    <row r="422" spans="13:27" ht="16.5" x14ac:dyDescent="0.2">
      <c r="M422" s="15">
        <v>343</v>
      </c>
      <c r="N422" s="15">
        <f t="shared" si="82"/>
        <v>7</v>
      </c>
      <c r="O422" s="15">
        <f>INDEX(卡牌消耗!$H$13:$H$33,世界BOSS专属武器!N422)</f>
        <v>1501007</v>
      </c>
      <c r="P422" s="49" t="s">
        <v>480</v>
      </c>
      <c r="Q422" s="15">
        <f t="shared" si="83"/>
        <v>36</v>
      </c>
      <c r="R422" s="49" t="str">
        <f t="shared" si="84"/>
        <v>金币</v>
      </c>
      <c r="S422" s="15">
        <f t="shared" si="85"/>
        <v>10000</v>
      </c>
      <c r="T422" s="15" t="str">
        <f t="shared" si="86"/>
        <v>中级专属强化石</v>
      </c>
      <c r="U422" s="15">
        <f t="shared" si="87"/>
        <v>8</v>
      </c>
      <c r="V422" s="15" t="str">
        <f t="shared" si="88"/>
        <v>高级专属强化石</v>
      </c>
      <c r="W422" s="15">
        <f t="shared" si="89"/>
        <v>3</v>
      </c>
      <c r="X422" s="15">
        <f t="shared" si="90"/>
        <v>0.1</v>
      </c>
      <c r="Y422" s="15">
        <f t="shared" si="91"/>
        <v>1</v>
      </c>
      <c r="Z422" s="15">
        <f t="shared" si="92"/>
        <v>30</v>
      </c>
      <c r="AA422" s="15">
        <f t="shared" si="93"/>
        <v>0.56000000000000005</v>
      </c>
    </row>
    <row r="423" spans="13:27" ht="16.5" x14ac:dyDescent="0.2">
      <c r="M423" s="15">
        <v>344</v>
      </c>
      <c r="N423" s="15">
        <f t="shared" si="82"/>
        <v>7</v>
      </c>
      <c r="O423" s="15">
        <f>INDEX(卡牌消耗!$H$13:$H$33,世界BOSS专属武器!N423)</f>
        <v>1501007</v>
      </c>
      <c r="P423" s="49" t="s">
        <v>480</v>
      </c>
      <c r="Q423" s="15">
        <f t="shared" si="83"/>
        <v>37</v>
      </c>
      <c r="R423" s="49" t="str">
        <f t="shared" si="84"/>
        <v>金币</v>
      </c>
      <c r="S423" s="15">
        <f t="shared" si="85"/>
        <v>10000</v>
      </c>
      <c r="T423" s="15" t="str">
        <f t="shared" si="86"/>
        <v>中级专属强化石</v>
      </c>
      <c r="U423" s="15">
        <f t="shared" si="87"/>
        <v>8</v>
      </c>
      <c r="V423" s="15" t="str">
        <f t="shared" si="88"/>
        <v>高级专属强化石</v>
      </c>
      <c r="W423" s="15">
        <f t="shared" si="89"/>
        <v>3</v>
      </c>
      <c r="X423" s="15">
        <f t="shared" si="90"/>
        <v>0.1</v>
      </c>
      <c r="Y423" s="15">
        <f t="shared" si="91"/>
        <v>1</v>
      </c>
      <c r="Z423" s="15">
        <f t="shared" si="92"/>
        <v>30</v>
      </c>
      <c r="AA423" s="15">
        <f t="shared" si="93"/>
        <v>0.5867</v>
      </c>
    </row>
    <row r="424" spans="13:27" ht="16.5" x14ac:dyDescent="0.2">
      <c r="M424" s="15">
        <v>345</v>
      </c>
      <c r="N424" s="15">
        <f t="shared" si="82"/>
        <v>7</v>
      </c>
      <c r="O424" s="15">
        <f>INDEX(卡牌消耗!$H$13:$H$33,世界BOSS专属武器!N424)</f>
        <v>1501007</v>
      </c>
      <c r="P424" s="49" t="s">
        <v>480</v>
      </c>
      <c r="Q424" s="15">
        <f t="shared" si="83"/>
        <v>38</v>
      </c>
      <c r="R424" s="49" t="str">
        <f t="shared" si="84"/>
        <v>金币</v>
      </c>
      <c r="S424" s="15">
        <f t="shared" si="85"/>
        <v>10000</v>
      </c>
      <c r="T424" s="15" t="str">
        <f t="shared" si="86"/>
        <v>中级专属强化石</v>
      </c>
      <c r="U424" s="15">
        <f t="shared" si="87"/>
        <v>8</v>
      </c>
      <c r="V424" s="15" t="str">
        <f t="shared" si="88"/>
        <v>高级专属强化石</v>
      </c>
      <c r="W424" s="15">
        <f t="shared" si="89"/>
        <v>3</v>
      </c>
      <c r="X424" s="15">
        <f t="shared" si="90"/>
        <v>0.1</v>
      </c>
      <c r="Y424" s="15">
        <f t="shared" si="91"/>
        <v>1</v>
      </c>
      <c r="Z424" s="15">
        <f t="shared" si="92"/>
        <v>30</v>
      </c>
      <c r="AA424" s="15">
        <f t="shared" si="93"/>
        <v>0.61329999999999996</v>
      </c>
    </row>
    <row r="425" spans="13:27" ht="16.5" x14ac:dyDescent="0.2">
      <c r="M425" s="15">
        <v>346</v>
      </c>
      <c r="N425" s="15">
        <f t="shared" si="82"/>
        <v>7</v>
      </c>
      <c r="O425" s="15">
        <f>INDEX(卡牌消耗!$H$13:$H$33,世界BOSS专属武器!N425)</f>
        <v>1501007</v>
      </c>
      <c r="P425" s="49" t="s">
        <v>480</v>
      </c>
      <c r="Q425" s="15">
        <f t="shared" si="83"/>
        <v>39</v>
      </c>
      <c r="R425" s="49" t="str">
        <f t="shared" si="84"/>
        <v>金币</v>
      </c>
      <c r="S425" s="15">
        <f t="shared" si="85"/>
        <v>10000</v>
      </c>
      <c r="T425" s="15" t="str">
        <f t="shared" si="86"/>
        <v>中级专属强化石</v>
      </c>
      <c r="U425" s="15">
        <f t="shared" si="87"/>
        <v>8</v>
      </c>
      <c r="V425" s="15" t="str">
        <f t="shared" si="88"/>
        <v>高级专属强化石</v>
      </c>
      <c r="W425" s="15">
        <f t="shared" si="89"/>
        <v>3</v>
      </c>
      <c r="X425" s="15">
        <f t="shared" si="90"/>
        <v>0.1</v>
      </c>
      <c r="Y425" s="15">
        <f t="shared" si="91"/>
        <v>1</v>
      </c>
      <c r="Z425" s="15">
        <f t="shared" si="92"/>
        <v>30</v>
      </c>
      <c r="AA425" s="15">
        <f t="shared" si="93"/>
        <v>0.64</v>
      </c>
    </row>
    <row r="426" spans="13:27" ht="16.5" x14ac:dyDescent="0.2">
      <c r="M426" s="15">
        <v>347</v>
      </c>
      <c r="N426" s="15">
        <f t="shared" si="82"/>
        <v>7</v>
      </c>
      <c r="O426" s="15">
        <f>INDEX(卡牌消耗!$H$13:$H$33,世界BOSS专属武器!N426)</f>
        <v>1501007</v>
      </c>
      <c r="P426" s="49" t="s">
        <v>480</v>
      </c>
      <c r="Q426" s="15">
        <f t="shared" si="83"/>
        <v>40</v>
      </c>
      <c r="R426" s="49" t="str">
        <f t="shared" si="84"/>
        <v>金币</v>
      </c>
      <c r="S426" s="15">
        <f t="shared" si="85"/>
        <v>20000</v>
      </c>
      <c r="T426" s="15" t="str">
        <f t="shared" si="86"/>
        <v>高级专属强化石</v>
      </c>
      <c r="U426" s="15">
        <f t="shared" si="87"/>
        <v>5</v>
      </c>
      <c r="V426" s="15" t="str">
        <f t="shared" si="88"/>
        <v>[x]</v>
      </c>
      <c r="W426" s="15" t="str">
        <f t="shared" si="89"/>
        <v>[x]</v>
      </c>
      <c r="X426" s="15">
        <f t="shared" si="90"/>
        <v>0.1</v>
      </c>
      <c r="Y426" s="15">
        <f t="shared" si="91"/>
        <v>1</v>
      </c>
      <c r="Z426" s="15">
        <f t="shared" si="92"/>
        <v>35</v>
      </c>
      <c r="AA426" s="15">
        <f t="shared" si="93"/>
        <v>0.66669999999999996</v>
      </c>
    </row>
    <row r="427" spans="13:27" ht="16.5" x14ac:dyDescent="0.2">
      <c r="M427" s="15">
        <v>348</v>
      </c>
      <c r="N427" s="15">
        <f t="shared" si="82"/>
        <v>7</v>
      </c>
      <c r="O427" s="15">
        <f>INDEX(卡牌消耗!$H$13:$H$33,世界BOSS专属武器!N427)</f>
        <v>1501007</v>
      </c>
      <c r="P427" s="49" t="s">
        <v>480</v>
      </c>
      <c r="Q427" s="15">
        <f t="shared" si="83"/>
        <v>41</v>
      </c>
      <c r="R427" s="49" t="str">
        <f t="shared" si="84"/>
        <v>金币</v>
      </c>
      <c r="S427" s="15">
        <f t="shared" si="85"/>
        <v>20000</v>
      </c>
      <c r="T427" s="15" t="str">
        <f t="shared" si="86"/>
        <v>高级专属强化石</v>
      </c>
      <c r="U427" s="15">
        <f t="shared" si="87"/>
        <v>5</v>
      </c>
      <c r="V427" s="15" t="str">
        <f t="shared" si="88"/>
        <v>[x]</v>
      </c>
      <c r="W427" s="15" t="str">
        <f t="shared" si="89"/>
        <v>[x]</v>
      </c>
      <c r="X427" s="15">
        <f t="shared" si="90"/>
        <v>0.1</v>
      </c>
      <c r="Y427" s="15">
        <f t="shared" si="91"/>
        <v>1</v>
      </c>
      <c r="Z427" s="15">
        <f t="shared" si="92"/>
        <v>40</v>
      </c>
      <c r="AA427" s="15">
        <f t="shared" si="93"/>
        <v>0.7</v>
      </c>
    </row>
    <row r="428" spans="13:27" ht="16.5" x14ac:dyDescent="0.2">
      <c r="M428" s="15">
        <v>349</v>
      </c>
      <c r="N428" s="15">
        <f t="shared" si="82"/>
        <v>7</v>
      </c>
      <c r="O428" s="15">
        <f>INDEX(卡牌消耗!$H$13:$H$33,世界BOSS专属武器!N428)</f>
        <v>1501007</v>
      </c>
      <c r="P428" s="49" t="s">
        <v>480</v>
      </c>
      <c r="Q428" s="15">
        <f t="shared" si="83"/>
        <v>42</v>
      </c>
      <c r="R428" s="49" t="str">
        <f t="shared" si="84"/>
        <v>金币</v>
      </c>
      <c r="S428" s="15">
        <f t="shared" si="85"/>
        <v>20000</v>
      </c>
      <c r="T428" s="15" t="str">
        <f t="shared" si="86"/>
        <v>高级专属强化石</v>
      </c>
      <c r="U428" s="15">
        <f t="shared" si="87"/>
        <v>5</v>
      </c>
      <c r="V428" s="15" t="str">
        <f t="shared" si="88"/>
        <v>[x]</v>
      </c>
      <c r="W428" s="15" t="str">
        <f t="shared" si="89"/>
        <v>[x]</v>
      </c>
      <c r="X428" s="15">
        <f t="shared" si="90"/>
        <v>0.1</v>
      </c>
      <c r="Y428" s="15">
        <f t="shared" si="91"/>
        <v>1</v>
      </c>
      <c r="Z428" s="15">
        <f t="shared" si="92"/>
        <v>45</v>
      </c>
      <c r="AA428" s="15">
        <f t="shared" si="93"/>
        <v>0.73329999999999995</v>
      </c>
    </row>
    <row r="429" spans="13:27" ht="16.5" x14ac:dyDescent="0.2">
      <c r="M429" s="15">
        <v>350</v>
      </c>
      <c r="N429" s="15">
        <f t="shared" si="82"/>
        <v>7</v>
      </c>
      <c r="O429" s="15">
        <f>INDEX(卡牌消耗!$H$13:$H$33,世界BOSS专属武器!N429)</f>
        <v>1501007</v>
      </c>
      <c r="P429" s="49" t="s">
        <v>480</v>
      </c>
      <c r="Q429" s="15">
        <f t="shared" si="83"/>
        <v>43</v>
      </c>
      <c r="R429" s="49" t="str">
        <f t="shared" si="84"/>
        <v>金币</v>
      </c>
      <c r="S429" s="15">
        <f t="shared" si="85"/>
        <v>20000</v>
      </c>
      <c r="T429" s="15" t="str">
        <f t="shared" si="86"/>
        <v>高级专属强化石</v>
      </c>
      <c r="U429" s="15">
        <f t="shared" si="87"/>
        <v>5</v>
      </c>
      <c r="V429" s="15" t="str">
        <f t="shared" si="88"/>
        <v>[x]</v>
      </c>
      <c r="W429" s="15" t="str">
        <f t="shared" si="89"/>
        <v>[x]</v>
      </c>
      <c r="X429" s="15">
        <f t="shared" si="90"/>
        <v>0.1</v>
      </c>
      <c r="Y429" s="15">
        <f t="shared" si="91"/>
        <v>1</v>
      </c>
      <c r="Z429" s="15">
        <f t="shared" si="92"/>
        <v>50</v>
      </c>
      <c r="AA429" s="15">
        <f t="shared" si="93"/>
        <v>0.76670000000000005</v>
      </c>
    </row>
    <row r="430" spans="13:27" ht="16.5" x14ac:dyDescent="0.2">
      <c r="M430" s="15">
        <v>351</v>
      </c>
      <c r="N430" s="15">
        <f t="shared" si="82"/>
        <v>7</v>
      </c>
      <c r="O430" s="15">
        <f>INDEX(卡牌消耗!$H$13:$H$33,世界BOSS专属武器!N430)</f>
        <v>1501007</v>
      </c>
      <c r="P430" s="49" t="s">
        <v>480</v>
      </c>
      <c r="Q430" s="15">
        <f t="shared" si="83"/>
        <v>44</v>
      </c>
      <c r="R430" s="49" t="str">
        <f t="shared" si="84"/>
        <v>金币</v>
      </c>
      <c r="S430" s="15">
        <f t="shared" si="85"/>
        <v>20000</v>
      </c>
      <c r="T430" s="15" t="str">
        <f t="shared" si="86"/>
        <v>高级专属强化石</v>
      </c>
      <c r="U430" s="15">
        <f t="shared" si="87"/>
        <v>5</v>
      </c>
      <c r="V430" s="15" t="str">
        <f t="shared" si="88"/>
        <v>[x]</v>
      </c>
      <c r="W430" s="15" t="str">
        <f t="shared" si="89"/>
        <v>[x]</v>
      </c>
      <c r="X430" s="15">
        <f t="shared" si="90"/>
        <v>0.1</v>
      </c>
      <c r="Y430" s="15">
        <f t="shared" si="91"/>
        <v>1</v>
      </c>
      <c r="Z430" s="15">
        <f t="shared" si="92"/>
        <v>55</v>
      </c>
      <c r="AA430" s="15">
        <f t="shared" si="93"/>
        <v>0.8</v>
      </c>
    </row>
    <row r="431" spans="13:27" ht="16.5" x14ac:dyDescent="0.2">
      <c r="M431" s="15">
        <v>352</v>
      </c>
      <c r="N431" s="15">
        <f t="shared" si="82"/>
        <v>7</v>
      </c>
      <c r="O431" s="15">
        <f>INDEX(卡牌消耗!$H$13:$H$33,世界BOSS专属武器!N431)</f>
        <v>1501007</v>
      </c>
      <c r="P431" s="49" t="s">
        <v>480</v>
      </c>
      <c r="Q431" s="15">
        <f t="shared" si="83"/>
        <v>45</v>
      </c>
      <c r="R431" s="49" t="str">
        <f t="shared" si="84"/>
        <v>金币</v>
      </c>
      <c r="S431" s="15">
        <f t="shared" si="85"/>
        <v>20000</v>
      </c>
      <c r="T431" s="15" t="str">
        <f t="shared" si="86"/>
        <v>高级专属强化石</v>
      </c>
      <c r="U431" s="15">
        <f t="shared" si="87"/>
        <v>6</v>
      </c>
      <c r="V431" s="15" t="str">
        <f t="shared" si="88"/>
        <v>[x]</v>
      </c>
      <c r="W431" s="15" t="str">
        <f t="shared" si="89"/>
        <v>[x]</v>
      </c>
      <c r="X431" s="15">
        <f t="shared" si="90"/>
        <v>0.1</v>
      </c>
      <c r="Y431" s="15">
        <f t="shared" si="91"/>
        <v>1</v>
      </c>
      <c r="Z431" s="15">
        <f t="shared" si="92"/>
        <v>60</v>
      </c>
      <c r="AA431" s="15">
        <f t="shared" si="93"/>
        <v>0.83330000000000004</v>
      </c>
    </row>
    <row r="432" spans="13:27" ht="16.5" x14ac:dyDescent="0.2">
      <c r="M432" s="15">
        <v>353</v>
      </c>
      <c r="N432" s="15">
        <f t="shared" si="82"/>
        <v>7</v>
      </c>
      <c r="O432" s="15">
        <f>INDEX(卡牌消耗!$H$13:$H$33,世界BOSS专属武器!N432)</f>
        <v>1501007</v>
      </c>
      <c r="P432" s="49" t="s">
        <v>480</v>
      </c>
      <c r="Q432" s="15">
        <f t="shared" si="83"/>
        <v>46</v>
      </c>
      <c r="R432" s="49" t="str">
        <f t="shared" si="84"/>
        <v>金币</v>
      </c>
      <c r="S432" s="15">
        <f t="shared" si="85"/>
        <v>20000</v>
      </c>
      <c r="T432" s="15" t="str">
        <f t="shared" si="86"/>
        <v>高级专属强化石</v>
      </c>
      <c r="U432" s="15">
        <f t="shared" si="87"/>
        <v>7</v>
      </c>
      <c r="V432" s="15" t="str">
        <f t="shared" si="88"/>
        <v>[x]</v>
      </c>
      <c r="W432" s="15" t="str">
        <f t="shared" si="89"/>
        <v>[x]</v>
      </c>
      <c r="X432" s="15">
        <f t="shared" si="90"/>
        <v>0.1</v>
      </c>
      <c r="Y432" s="15">
        <f t="shared" si="91"/>
        <v>1</v>
      </c>
      <c r="Z432" s="15">
        <f t="shared" si="92"/>
        <v>70</v>
      </c>
      <c r="AA432" s="15">
        <f t="shared" si="93"/>
        <v>0.86670000000000003</v>
      </c>
    </row>
    <row r="433" spans="13:27" ht="16.5" x14ac:dyDescent="0.2">
      <c r="M433" s="15">
        <v>354</v>
      </c>
      <c r="N433" s="15">
        <f t="shared" si="82"/>
        <v>7</v>
      </c>
      <c r="O433" s="15">
        <f>INDEX(卡牌消耗!$H$13:$H$33,世界BOSS专属武器!N433)</f>
        <v>1501007</v>
      </c>
      <c r="P433" s="49" t="s">
        <v>480</v>
      </c>
      <c r="Q433" s="15">
        <f t="shared" si="83"/>
        <v>47</v>
      </c>
      <c r="R433" s="49" t="str">
        <f t="shared" si="84"/>
        <v>金币</v>
      </c>
      <c r="S433" s="15">
        <f t="shared" si="85"/>
        <v>20000</v>
      </c>
      <c r="T433" s="15" t="str">
        <f t="shared" si="86"/>
        <v>高级专属强化石</v>
      </c>
      <c r="U433" s="15">
        <f t="shared" si="87"/>
        <v>8</v>
      </c>
      <c r="V433" s="15" t="str">
        <f t="shared" si="88"/>
        <v>[x]</v>
      </c>
      <c r="W433" s="15" t="str">
        <f t="shared" si="89"/>
        <v>[x]</v>
      </c>
      <c r="X433" s="15">
        <f t="shared" si="90"/>
        <v>0.1</v>
      </c>
      <c r="Y433" s="15">
        <f t="shared" si="91"/>
        <v>1</v>
      </c>
      <c r="Z433" s="15">
        <f t="shared" si="92"/>
        <v>80</v>
      </c>
      <c r="AA433" s="15">
        <f t="shared" si="93"/>
        <v>0.9</v>
      </c>
    </row>
    <row r="434" spans="13:27" ht="16.5" x14ac:dyDescent="0.2">
      <c r="M434" s="15">
        <v>355</v>
      </c>
      <c r="N434" s="15">
        <f t="shared" si="82"/>
        <v>7</v>
      </c>
      <c r="O434" s="15">
        <f>INDEX(卡牌消耗!$H$13:$H$33,世界BOSS专属武器!N434)</f>
        <v>1501007</v>
      </c>
      <c r="P434" s="49" t="s">
        <v>480</v>
      </c>
      <c r="Q434" s="15">
        <f t="shared" si="83"/>
        <v>48</v>
      </c>
      <c r="R434" s="49" t="str">
        <f t="shared" si="84"/>
        <v>金币</v>
      </c>
      <c r="S434" s="15">
        <f t="shared" si="85"/>
        <v>20000</v>
      </c>
      <c r="T434" s="15" t="str">
        <f t="shared" si="86"/>
        <v>高级专属强化石</v>
      </c>
      <c r="U434" s="15">
        <f t="shared" si="87"/>
        <v>9</v>
      </c>
      <c r="V434" s="15" t="str">
        <f t="shared" si="88"/>
        <v>[x]</v>
      </c>
      <c r="W434" s="15" t="str">
        <f t="shared" si="89"/>
        <v>[x]</v>
      </c>
      <c r="X434" s="15">
        <f t="shared" si="90"/>
        <v>0.1</v>
      </c>
      <c r="Y434" s="15">
        <f t="shared" si="91"/>
        <v>1</v>
      </c>
      <c r="Z434" s="15">
        <f t="shared" si="92"/>
        <v>100</v>
      </c>
      <c r="AA434" s="15">
        <f t="shared" si="93"/>
        <v>0.93330000000000002</v>
      </c>
    </row>
    <row r="435" spans="13:27" ht="16.5" x14ac:dyDescent="0.2">
      <c r="M435" s="15">
        <v>356</v>
      </c>
      <c r="N435" s="15">
        <f t="shared" si="82"/>
        <v>7</v>
      </c>
      <c r="O435" s="15">
        <f>INDEX(卡牌消耗!$H$13:$H$33,世界BOSS专属武器!N435)</f>
        <v>1501007</v>
      </c>
      <c r="P435" s="49" t="s">
        <v>480</v>
      </c>
      <c r="Q435" s="15">
        <f t="shared" si="83"/>
        <v>49</v>
      </c>
      <c r="R435" s="49" t="str">
        <f t="shared" si="84"/>
        <v>金币</v>
      </c>
      <c r="S435" s="15">
        <f t="shared" si="85"/>
        <v>20000</v>
      </c>
      <c r="T435" s="15" t="str">
        <f t="shared" si="86"/>
        <v>高级专属强化石</v>
      </c>
      <c r="U435" s="15">
        <f t="shared" si="87"/>
        <v>10</v>
      </c>
      <c r="V435" s="15" t="str">
        <f t="shared" si="88"/>
        <v>[x]</v>
      </c>
      <c r="W435" s="15" t="str">
        <f t="shared" si="89"/>
        <v>[x]</v>
      </c>
      <c r="X435" s="15">
        <f t="shared" si="90"/>
        <v>0.1</v>
      </c>
      <c r="Y435" s="15">
        <f t="shared" si="91"/>
        <v>1</v>
      </c>
      <c r="Z435" s="15">
        <f t="shared" si="92"/>
        <v>120</v>
      </c>
      <c r="AA435" s="15">
        <f t="shared" si="93"/>
        <v>0.9667</v>
      </c>
    </row>
    <row r="436" spans="13:27" ht="16.5" x14ac:dyDescent="0.2">
      <c r="M436" s="15">
        <v>357</v>
      </c>
      <c r="N436" s="15">
        <f t="shared" si="82"/>
        <v>7</v>
      </c>
      <c r="O436" s="15">
        <f>INDEX(卡牌消耗!$H$13:$H$33,世界BOSS专属武器!N436)</f>
        <v>1501007</v>
      </c>
      <c r="P436" s="49" t="s">
        <v>480</v>
      </c>
      <c r="Q436" s="15">
        <f t="shared" si="83"/>
        <v>50</v>
      </c>
      <c r="R436" s="49" t="str">
        <f t="shared" si="84"/>
        <v>金币</v>
      </c>
      <c r="S436" s="15">
        <f t="shared" si="85"/>
        <v>20000</v>
      </c>
      <c r="T436" s="15" t="str">
        <f t="shared" si="86"/>
        <v>高级专属强化石</v>
      </c>
      <c r="U436" s="15">
        <f t="shared" si="87"/>
        <v>15</v>
      </c>
      <c r="V436" s="15" t="str">
        <f t="shared" si="88"/>
        <v>[x]</v>
      </c>
      <c r="W436" s="15" t="str">
        <f t="shared" si="89"/>
        <v>[x]</v>
      </c>
      <c r="X436" s="15">
        <f t="shared" si="90"/>
        <v>0.1</v>
      </c>
      <c r="Y436" s="15">
        <f t="shared" si="91"/>
        <v>1</v>
      </c>
      <c r="Z436" s="15">
        <f t="shared" si="92"/>
        <v>150</v>
      </c>
      <c r="AA436" s="15">
        <f t="shared" si="93"/>
        <v>1</v>
      </c>
    </row>
    <row r="437" spans="13:27" ht="16.5" x14ac:dyDescent="0.2">
      <c r="M437" s="15">
        <v>358</v>
      </c>
      <c r="N437" s="15">
        <f t="shared" si="82"/>
        <v>8</v>
      </c>
      <c r="O437" s="15">
        <f>INDEX(卡牌消耗!$H$13:$H$33,世界BOSS专属武器!N437)</f>
        <v>1501008</v>
      </c>
      <c r="P437" s="49" t="s">
        <v>480</v>
      </c>
      <c r="Q437" s="15">
        <f t="shared" si="83"/>
        <v>0</v>
      </c>
      <c r="R437" s="49" t="str">
        <f t="shared" si="84"/>
        <v>[x]</v>
      </c>
      <c r="S437" s="15" t="str">
        <f t="shared" si="85"/>
        <v>[x]</v>
      </c>
      <c r="T437" s="15" t="str">
        <f t="shared" si="86"/>
        <v>[x]</v>
      </c>
      <c r="U437" s="15" t="str">
        <f t="shared" si="87"/>
        <v>[x]</v>
      </c>
      <c r="V437" s="15" t="str">
        <f t="shared" si="88"/>
        <v>[x]</v>
      </c>
      <c r="W437" s="15" t="str">
        <f t="shared" si="89"/>
        <v>[x]</v>
      </c>
      <c r="X437" s="15" t="str">
        <f t="shared" si="90"/>
        <v>[x]</v>
      </c>
      <c r="Y437" s="15" t="str">
        <f t="shared" si="91"/>
        <v>[x]</v>
      </c>
      <c r="Z437" s="15" t="str">
        <f t="shared" si="92"/>
        <v>[x]</v>
      </c>
      <c r="AA437" s="15" t="str">
        <f t="shared" si="93"/>
        <v>[x]</v>
      </c>
    </row>
    <row r="438" spans="13:27" ht="16.5" x14ac:dyDescent="0.2">
      <c r="M438" s="15">
        <v>359</v>
      </c>
      <c r="N438" s="15">
        <f t="shared" si="82"/>
        <v>8</v>
      </c>
      <c r="O438" s="15">
        <f>INDEX(卡牌消耗!$H$13:$H$33,世界BOSS专属武器!N438)</f>
        <v>1501008</v>
      </c>
      <c r="P438" s="49" t="s">
        <v>480</v>
      </c>
      <c r="Q438" s="15">
        <f t="shared" si="83"/>
        <v>1</v>
      </c>
      <c r="R438" s="49" t="str">
        <f t="shared" si="84"/>
        <v>金币</v>
      </c>
      <c r="S438" s="15">
        <f t="shared" si="85"/>
        <v>100</v>
      </c>
      <c r="T438" s="15" t="str">
        <f t="shared" si="86"/>
        <v>低级专属强化石</v>
      </c>
      <c r="U438" s="15">
        <f t="shared" si="87"/>
        <v>1</v>
      </c>
      <c r="V438" s="15" t="str">
        <f t="shared" si="88"/>
        <v>[x]</v>
      </c>
      <c r="W438" s="15" t="str">
        <f t="shared" si="89"/>
        <v>[x]</v>
      </c>
      <c r="X438" s="15">
        <f t="shared" si="90"/>
        <v>1</v>
      </c>
      <c r="Y438" s="15">
        <f t="shared" si="91"/>
        <v>1</v>
      </c>
      <c r="Z438" s="15">
        <f t="shared" si="92"/>
        <v>1</v>
      </c>
      <c r="AA438" s="15">
        <f t="shared" si="93"/>
        <v>6.7000000000000002E-3</v>
      </c>
    </row>
    <row r="439" spans="13:27" ht="16.5" x14ac:dyDescent="0.2">
      <c r="M439" s="15">
        <v>360</v>
      </c>
      <c r="N439" s="15">
        <f t="shared" si="82"/>
        <v>8</v>
      </c>
      <c r="O439" s="15">
        <f>INDEX(卡牌消耗!$H$13:$H$33,世界BOSS专属武器!N439)</f>
        <v>1501008</v>
      </c>
      <c r="P439" s="49" t="s">
        <v>480</v>
      </c>
      <c r="Q439" s="15">
        <f t="shared" si="83"/>
        <v>2</v>
      </c>
      <c r="R439" s="49" t="str">
        <f t="shared" si="84"/>
        <v>金币</v>
      </c>
      <c r="S439" s="15">
        <f t="shared" si="85"/>
        <v>200</v>
      </c>
      <c r="T439" s="15" t="str">
        <f t="shared" si="86"/>
        <v>低级专属强化石</v>
      </c>
      <c r="U439" s="15">
        <f t="shared" si="87"/>
        <v>1</v>
      </c>
      <c r="V439" s="15" t="str">
        <f t="shared" si="88"/>
        <v>[x]</v>
      </c>
      <c r="W439" s="15" t="str">
        <f t="shared" si="89"/>
        <v>[x]</v>
      </c>
      <c r="X439" s="15">
        <f t="shared" si="90"/>
        <v>0.5</v>
      </c>
      <c r="Y439" s="15">
        <f t="shared" si="91"/>
        <v>1</v>
      </c>
      <c r="Z439" s="15">
        <f t="shared" si="92"/>
        <v>2</v>
      </c>
      <c r="AA439" s="15">
        <f t="shared" si="93"/>
        <v>1.3299999999999999E-2</v>
      </c>
    </row>
    <row r="440" spans="13:27" ht="16.5" x14ac:dyDescent="0.2">
      <c r="M440" s="15">
        <v>361</v>
      </c>
      <c r="N440" s="15">
        <f t="shared" si="82"/>
        <v>8</v>
      </c>
      <c r="O440" s="15">
        <f>INDEX(卡牌消耗!$H$13:$H$33,世界BOSS专属武器!N440)</f>
        <v>1501008</v>
      </c>
      <c r="P440" s="49" t="s">
        <v>480</v>
      </c>
      <c r="Q440" s="15">
        <f t="shared" si="83"/>
        <v>3</v>
      </c>
      <c r="R440" s="49" t="str">
        <f t="shared" si="84"/>
        <v>金币</v>
      </c>
      <c r="S440" s="15">
        <f t="shared" si="85"/>
        <v>300</v>
      </c>
      <c r="T440" s="15" t="str">
        <f t="shared" si="86"/>
        <v>低级专属强化石</v>
      </c>
      <c r="U440" s="15">
        <f t="shared" si="87"/>
        <v>2</v>
      </c>
      <c r="V440" s="15" t="str">
        <f t="shared" si="88"/>
        <v>[x]</v>
      </c>
      <c r="W440" s="15" t="str">
        <f t="shared" si="89"/>
        <v>[x]</v>
      </c>
      <c r="X440" s="15">
        <f t="shared" si="90"/>
        <v>0.48</v>
      </c>
      <c r="Y440" s="15">
        <f t="shared" si="91"/>
        <v>1</v>
      </c>
      <c r="Z440" s="15">
        <f t="shared" si="92"/>
        <v>3</v>
      </c>
      <c r="AA440" s="15">
        <f t="shared" si="93"/>
        <v>0.02</v>
      </c>
    </row>
    <row r="441" spans="13:27" ht="16.5" x14ac:dyDescent="0.2">
      <c r="M441" s="15">
        <v>362</v>
      </c>
      <c r="N441" s="15">
        <f t="shared" si="82"/>
        <v>8</v>
      </c>
      <c r="O441" s="15">
        <f>INDEX(卡牌消耗!$H$13:$H$33,世界BOSS专属武器!N441)</f>
        <v>1501008</v>
      </c>
      <c r="P441" s="49" t="s">
        <v>480</v>
      </c>
      <c r="Q441" s="15">
        <f t="shared" si="83"/>
        <v>4</v>
      </c>
      <c r="R441" s="49" t="str">
        <f t="shared" si="84"/>
        <v>金币</v>
      </c>
      <c r="S441" s="15">
        <f t="shared" si="85"/>
        <v>400</v>
      </c>
      <c r="T441" s="15" t="str">
        <f t="shared" si="86"/>
        <v>低级专属强化石</v>
      </c>
      <c r="U441" s="15">
        <f t="shared" si="87"/>
        <v>3</v>
      </c>
      <c r="V441" s="15" t="str">
        <f t="shared" si="88"/>
        <v>[x]</v>
      </c>
      <c r="W441" s="15" t="str">
        <f t="shared" si="89"/>
        <v>[x]</v>
      </c>
      <c r="X441" s="15">
        <f t="shared" si="90"/>
        <v>0.46</v>
      </c>
      <c r="Y441" s="15">
        <f t="shared" si="91"/>
        <v>1</v>
      </c>
      <c r="Z441" s="15">
        <f t="shared" si="92"/>
        <v>3</v>
      </c>
      <c r="AA441" s="15">
        <f t="shared" si="93"/>
        <v>2.6700000000000002E-2</v>
      </c>
    </row>
    <row r="442" spans="13:27" ht="16.5" x14ac:dyDescent="0.2">
      <c r="M442" s="15">
        <v>363</v>
      </c>
      <c r="N442" s="15">
        <f t="shared" si="82"/>
        <v>8</v>
      </c>
      <c r="O442" s="15">
        <f>INDEX(卡牌消耗!$H$13:$H$33,世界BOSS专属武器!N442)</f>
        <v>1501008</v>
      </c>
      <c r="P442" s="49" t="s">
        <v>480</v>
      </c>
      <c r="Q442" s="15">
        <f t="shared" si="83"/>
        <v>5</v>
      </c>
      <c r="R442" s="49" t="str">
        <f t="shared" si="84"/>
        <v>金币</v>
      </c>
      <c r="S442" s="15">
        <f t="shared" si="85"/>
        <v>500</v>
      </c>
      <c r="T442" s="15" t="str">
        <f t="shared" si="86"/>
        <v>低级专属强化石</v>
      </c>
      <c r="U442" s="15">
        <f t="shared" si="87"/>
        <v>4</v>
      </c>
      <c r="V442" s="15" t="str">
        <f t="shared" si="88"/>
        <v>[x]</v>
      </c>
      <c r="W442" s="15" t="str">
        <f t="shared" si="89"/>
        <v>[x]</v>
      </c>
      <c r="X442" s="15">
        <f t="shared" si="90"/>
        <v>0.44</v>
      </c>
      <c r="Y442" s="15">
        <f t="shared" si="91"/>
        <v>1</v>
      </c>
      <c r="Z442" s="15">
        <f t="shared" si="92"/>
        <v>3</v>
      </c>
      <c r="AA442" s="15">
        <f t="shared" si="93"/>
        <v>3.3300000000000003E-2</v>
      </c>
    </row>
    <row r="443" spans="13:27" ht="16.5" x14ac:dyDescent="0.2">
      <c r="M443" s="15">
        <v>364</v>
      </c>
      <c r="N443" s="15">
        <f t="shared" si="82"/>
        <v>8</v>
      </c>
      <c r="O443" s="15">
        <f>INDEX(卡牌消耗!$H$13:$H$33,世界BOSS专属武器!N443)</f>
        <v>1501008</v>
      </c>
      <c r="P443" s="49" t="s">
        <v>480</v>
      </c>
      <c r="Q443" s="15">
        <f t="shared" si="83"/>
        <v>6</v>
      </c>
      <c r="R443" s="49" t="str">
        <f t="shared" si="84"/>
        <v>金币</v>
      </c>
      <c r="S443" s="15">
        <f t="shared" si="85"/>
        <v>600</v>
      </c>
      <c r="T443" s="15" t="str">
        <f t="shared" si="86"/>
        <v>低级专属强化石</v>
      </c>
      <c r="U443" s="15">
        <f t="shared" si="87"/>
        <v>5</v>
      </c>
      <c r="V443" s="15" t="str">
        <f t="shared" si="88"/>
        <v>[x]</v>
      </c>
      <c r="W443" s="15" t="str">
        <f t="shared" si="89"/>
        <v>[x]</v>
      </c>
      <c r="X443" s="15">
        <f t="shared" si="90"/>
        <v>0.42</v>
      </c>
      <c r="Y443" s="15">
        <f t="shared" si="91"/>
        <v>1</v>
      </c>
      <c r="Z443" s="15">
        <f t="shared" si="92"/>
        <v>4</v>
      </c>
      <c r="AA443" s="15">
        <f t="shared" si="93"/>
        <v>0.04</v>
      </c>
    </row>
    <row r="444" spans="13:27" ht="16.5" x14ac:dyDescent="0.2">
      <c r="M444" s="15">
        <v>365</v>
      </c>
      <c r="N444" s="15">
        <f t="shared" si="82"/>
        <v>8</v>
      </c>
      <c r="O444" s="15">
        <f>INDEX(卡牌消耗!$H$13:$H$33,世界BOSS专属武器!N444)</f>
        <v>1501008</v>
      </c>
      <c r="P444" s="49" t="s">
        <v>480</v>
      </c>
      <c r="Q444" s="15">
        <f t="shared" si="83"/>
        <v>7</v>
      </c>
      <c r="R444" s="49" t="str">
        <f t="shared" si="84"/>
        <v>金币</v>
      </c>
      <c r="S444" s="15">
        <f t="shared" si="85"/>
        <v>700</v>
      </c>
      <c r="T444" s="15" t="str">
        <f t="shared" si="86"/>
        <v>低级专属强化石</v>
      </c>
      <c r="U444" s="15">
        <f t="shared" si="87"/>
        <v>5</v>
      </c>
      <c r="V444" s="15" t="str">
        <f t="shared" si="88"/>
        <v>[x]</v>
      </c>
      <c r="W444" s="15" t="str">
        <f t="shared" si="89"/>
        <v>[x]</v>
      </c>
      <c r="X444" s="15">
        <f t="shared" si="90"/>
        <v>0.4</v>
      </c>
      <c r="Y444" s="15">
        <f t="shared" si="91"/>
        <v>1</v>
      </c>
      <c r="Z444" s="15">
        <f t="shared" si="92"/>
        <v>4</v>
      </c>
      <c r="AA444" s="15">
        <f t="shared" si="93"/>
        <v>4.6699999999999998E-2</v>
      </c>
    </row>
    <row r="445" spans="13:27" ht="16.5" x14ac:dyDescent="0.2">
      <c r="M445" s="15">
        <v>366</v>
      </c>
      <c r="N445" s="15">
        <f t="shared" si="82"/>
        <v>8</v>
      </c>
      <c r="O445" s="15">
        <f>INDEX(卡牌消耗!$H$13:$H$33,世界BOSS专属武器!N445)</f>
        <v>1501008</v>
      </c>
      <c r="P445" s="49" t="s">
        <v>480</v>
      </c>
      <c r="Q445" s="15">
        <f t="shared" si="83"/>
        <v>8</v>
      </c>
      <c r="R445" s="49" t="str">
        <f t="shared" si="84"/>
        <v>金币</v>
      </c>
      <c r="S445" s="15">
        <f t="shared" si="85"/>
        <v>800</v>
      </c>
      <c r="T445" s="15" t="str">
        <f t="shared" si="86"/>
        <v>低级专属强化石</v>
      </c>
      <c r="U445" s="15">
        <f t="shared" si="87"/>
        <v>5</v>
      </c>
      <c r="V445" s="15" t="str">
        <f t="shared" si="88"/>
        <v>[x]</v>
      </c>
      <c r="W445" s="15" t="str">
        <f t="shared" si="89"/>
        <v>[x]</v>
      </c>
      <c r="X445" s="15">
        <f t="shared" si="90"/>
        <v>0.38</v>
      </c>
      <c r="Y445" s="15">
        <f t="shared" si="91"/>
        <v>1</v>
      </c>
      <c r="Z445" s="15">
        <f t="shared" si="92"/>
        <v>5</v>
      </c>
      <c r="AA445" s="15">
        <f t="shared" si="93"/>
        <v>5.33E-2</v>
      </c>
    </row>
    <row r="446" spans="13:27" ht="16.5" x14ac:dyDescent="0.2">
      <c r="M446" s="15">
        <v>367</v>
      </c>
      <c r="N446" s="15">
        <f t="shared" si="82"/>
        <v>8</v>
      </c>
      <c r="O446" s="15">
        <f>INDEX(卡牌消耗!$H$13:$H$33,世界BOSS专属武器!N446)</f>
        <v>1501008</v>
      </c>
      <c r="P446" s="49" t="s">
        <v>480</v>
      </c>
      <c r="Q446" s="15">
        <f t="shared" si="83"/>
        <v>9</v>
      </c>
      <c r="R446" s="49" t="str">
        <f t="shared" si="84"/>
        <v>金币</v>
      </c>
      <c r="S446" s="15">
        <f t="shared" si="85"/>
        <v>900</v>
      </c>
      <c r="T446" s="15" t="str">
        <f t="shared" si="86"/>
        <v>低级专属强化石</v>
      </c>
      <c r="U446" s="15">
        <f t="shared" si="87"/>
        <v>5</v>
      </c>
      <c r="V446" s="15" t="str">
        <f t="shared" si="88"/>
        <v>[x]</v>
      </c>
      <c r="W446" s="15" t="str">
        <f t="shared" si="89"/>
        <v>[x]</v>
      </c>
      <c r="X446" s="15">
        <f t="shared" si="90"/>
        <v>0.36</v>
      </c>
      <c r="Y446" s="15">
        <f t="shared" si="91"/>
        <v>1</v>
      </c>
      <c r="Z446" s="15">
        <f t="shared" si="92"/>
        <v>5</v>
      </c>
      <c r="AA446" s="15">
        <f t="shared" si="93"/>
        <v>0.06</v>
      </c>
    </row>
    <row r="447" spans="13:27" ht="16.5" x14ac:dyDescent="0.2">
      <c r="M447" s="15">
        <v>368</v>
      </c>
      <c r="N447" s="15">
        <f t="shared" si="82"/>
        <v>8</v>
      </c>
      <c r="O447" s="15">
        <f>INDEX(卡牌消耗!$H$13:$H$33,世界BOSS专属武器!N447)</f>
        <v>1501008</v>
      </c>
      <c r="P447" s="49" t="s">
        <v>480</v>
      </c>
      <c r="Q447" s="15">
        <f t="shared" si="83"/>
        <v>10</v>
      </c>
      <c r="R447" s="49" t="str">
        <f t="shared" si="84"/>
        <v>金币</v>
      </c>
      <c r="S447" s="15">
        <f t="shared" si="85"/>
        <v>1000</v>
      </c>
      <c r="T447" s="15" t="str">
        <f t="shared" si="86"/>
        <v>低级专属强化石</v>
      </c>
      <c r="U447" s="15">
        <f t="shared" si="87"/>
        <v>7</v>
      </c>
      <c r="V447" s="15" t="str">
        <f t="shared" si="88"/>
        <v>[x]</v>
      </c>
      <c r="W447" s="15" t="str">
        <f t="shared" si="89"/>
        <v>[x]</v>
      </c>
      <c r="X447" s="15">
        <f t="shared" si="90"/>
        <v>0.35</v>
      </c>
      <c r="Y447" s="15">
        <f t="shared" si="91"/>
        <v>1</v>
      </c>
      <c r="Z447" s="15">
        <f t="shared" si="92"/>
        <v>5</v>
      </c>
      <c r="AA447" s="15">
        <f t="shared" si="93"/>
        <v>6.6699999999999995E-2</v>
      </c>
    </row>
    <row r="448" spans="13:27" ht="16.5" x14ac:dyDescent="0.2">
      <c r="M448" s="15">
        <v>369</v>
      </c>
      <c r="N448" s="15">
        <f t="shared" si="82"/>
        <v>8</v>
      </c>
      <c r="O448" s="15">
        <f>INDEX(卡牌消耗!$H$13:$H$33,世界BOSS专属武器!N448)</f>
        <v>1501008</v>
      </c>
      <c r="P448" s="49" t="s">
        <v>480</v>
      </c>
      <c r="Q448" s="15">
        <f t="shared" si="83"/>
        <v>11</v>
      </c>
      <c r="R448" s="49" t="str">
        <f t="shared" si="84"/>
        <v>金币</v>
      </c>
      <c r="S448" s="15">
        <f t="shared" si="85"/>
        <v>1000</v>
      </c>
      <c r="T448" s="15" t="str">
        <f t="shared" si="86"/>
        <v>低级专属强化石</v>
      </c>
      <c r="U448" s="15">
        <f t="shared" si="87"/>
        <v>7</v>
      </c>
      <c r="V448" s="15" t="str">
        <f t="shared" si="88"/>
        <v>[x]</v>
      </c>
      <c r="W448" s="15" t="str">
        <f t="shared" si="89"/>
        <v>[x]</v>
      </c>
      <c r="X448" s="15">
        <f t="shared" si="90"/>
        <v>0.33</v>
      </c>
      <c r="Y448" s="15">
        <f t="shared" si="91"/>
        <v>1</v>
      </c>
      <c r="Z448" s="15">
        <f t="shared" si="92"/>
        <v>6</v>
      </c>
      <c r="AA448" s="15">
        <f t="shared" si="93"/>
        <v>0.08</v>
      </c>
    </row>
    <row r="449" spans="13:27" ht="16.5" x14ac:dyDescent="0.2">
      <c r="M449" s="15">
        <v>370</v>
      </c>
      <c r="N449" s="15">
        <f t="shared" si="82"/>
        <v>8</v>
      </c>
      <c r="O449" s="15">
        <f>INDEX(卡牌消耗!$H$13:$H$33,世界BOSS专属武器!N449)</f>
        <v>1501008</v>
      </c>
      <c r="P449" s="49" t="s">
        <v>480</v>
      </c>
      <c r="Q449" s="15">
        <f t="shared" si="83"/>
        <v>12</v>
      </c>
      <c r="R449" s="49" t="str">
        <f t="shared" si="84"/>
        <v>金币</v>
      </c>
      <c r="S449" s="15">
        <f t="shared" si="85"/>
        <v>1000</v>
      </c>
      <c r="T449" s="15" t="str">
        <f t="shared" si="86"/>
        <v>低级专属强化石</v>
      </c>
      <c r="U449" s="15">
        <f t="shared" si="87"/>
        <v>7</v>
      </c>
      <c r="V449" s="15" t="str">
        <f t="shared" si="88"/>
        <v>[x]</v>
      </c>
      <c r="W449" s="15" t="str">
        <f t="shared" si="89"/>
        <v>[x]</v>
      </c>
      <c r="X449" s="15">
        <f t="shared" si="90"/>
        <v>0.31</v>
      </c>
      <c r="Y449" s="15">
        <f t="shared" si="91"/>
        <v>1</v>
      </c>
      <c r="Z449" s="15">
        <f t="shared" si="92"/>
        <v>6</v>
      </c>
      <c r="AA449" s="15">
        <f t="shared" si="93"/>
        <v>9.3299999999999994E-2</v>
      </c>
    </row>
    <row r="450" spans="13:27" ht="16.5" x14ac:dyDescent="0.2">
      <c r="M450" s="15">
        <v>371</v>
      </c>
      <c r="N450" s="15">
        <f t="shared" si="82"/>
        <v>8</v>
      </c>
      <c r="O450" s="15">
        <f>INDEX(卡牌消耗!$H$13:$H$33,世界BOSS专属武器!N450)</f>
        <v>1501008</v>
      </c>
      <c r="P450" s="49" t="s">
        <v>480</v>
      </c>
      <c r="Q450" s="15">
        <f t="shared" si="83"/>
        <v>13</v>
      </c>
      <c r="R450" s="49" t="str">
        <f t="shared" si="84"/>
        <v>金币</v>
      </c>
      <c r="S450" s="15">
        <f t="shared" si="85"/>
        <v>1000</v>
      </c>
      <c r="T450" s="15" t="str">
        <f t="shared" si="86"/>
        <v>低级专属强化石</v>
      </c>
      <c r="U450" s="15">
        <f t="shared" si="87"/>
        <v>7</v>
      </c>
      <c r="V450" s="15" t="str">
        <f t="shared" si="88"/>
        <v>[x]</v>
      </c>
      <c r="W450" s="15" t="str">
        <f t="shared" si="89"/>
        <v>[x]</v>
      </c>
      <c r="X450" s="15">
        <f t="shared" si="90"/>
        <v>0.28999999999999998</v>
      </c>
      <c r="Y450" s="15">
        <f t="shared" si="91"/>
        <v>1</v>
      </c>
      <c r="Z450" s="15">
        <f t="shared" si="92"/>
        <v>7</v>
      </c>
      <c r="AA450" s="15">
        <f t="shared" si="93"/>
        <v>0.1067</v>
      </c>
    </row>
    <row r="451" spans="13:27" ht="16.5" x14ac:dyDescent="0.2">
      <c r="M451" s="15">
        <v>372</v>
      </c>
      <c r="N451" s="15">
        <f t="shared" si="82"/>
        <v>8</v>
      </c>
      <c r="O451" s="15">
        <f>INDEX(卡牌消耗!$H$13:$H$33,世界BOSS专属武器!N451)</f>
        <v>1501008</v>
      </c>
      <c r="P451" s="49" t="s">
        <v>480</v>
      </c>
      <c r="Q451" s="15">
        <f t="shared" si="83"/>
        <v>14</v>
      </c>
      <c r="R451" s="49" t="str">
        <f t="shared" si="84"/>
        <v>金币</v>
      </c>
      <c r="S451" s="15">
        <f t="shared" si="85"/>
        <v>1000</v>
      </c>
      <c r="T451" s="15" t="str">
        <f t="shared" si="86"/>
        <v>低级专属强化石</v>
      </c>
      <c r="U451" s="15">
        <f t="shared" si="87"/>
        <v>7</v>
      </c>
      <c r="V451" s="15" t="str">
        <f t="shared" si="88"/>
        <v>[x]</v>
      </c>
      <c r="W451" s="15" t="str">
        <f t="shared" si="89"/>
        <v>[x]</v>
      </c>
      <c r="X451" s="15">
        <f t="shared" si="90"/>
        <v>0.27</v>
      </c>
      <c r="Y451" s="15">
        <f t="shared" si="91"/>
        <v>1</v>
      </c>
      <c r="Z451" s="15">
        <f t="shared" si="92"/>
        <v>7</v>
      </c>
      <c r="AA451" s="15">
        <f t="shared" si="93"/>
        <v>0.12</v>
      </c>
    </row>
    <row r="452" spans="13:27" ht="16.5" x14ac:dyDescent="0.2">
      <c r="M452" s="15">
        <v>373</v>
      </c>
      <c r="N452" s="15">
        <f t="shared" si="82"/>
        <v>8</v>
      </c>
      <c r="O452" s="15">
        <f>INDEX(卡牌消耗!$H$13:$H$33,世界BOSS专属武器!N452)</f>
        <v>1501008</v>
      </c>
      <c r="P452" s="49" t="s">
        <v>480</v>
      </c>
      <c r="Q452" s="15">
        <f t="shared" si="83"/>
        <v>15</v>
      </c>
      <c r="R452" s="49" t="str">
        <f t="shared" si="84"/>
        <v>金币</v>
      </c>
      <c r="S452" s="15">
        <f t="shared" si="85"/>
        <v>1000</v>
      </c>
      <c r="T452" s="15" t="str">
        <f t="shared" si="86"/>
        <v>低级专属强化石</v>
      </c>
      <c r="U452" s="15">
        <f t="shared" si="87"/>
        <v>10</v>
      </c>
      <c r="V452" s="15" t="str">
        <f t="shared" si="88"/>
        <v>[x]</v>
      </c>
      <c r="W452" s="15" t="str">
        <f t="shared" si="89"/>
        <v>[x]</v>
      </c>
      <c r="X452" s="15">
        <f t="shared" si="90"/>
        <v>0.25</v>
      </c>
      <c r="Y452" s="15">
        <f t="shared" si="91"/>
        <v>1</v>
      </c>
      <c r="Z452" s="15">
        <f t="shared" si="92"/>
        <v>8</v>
      </c>
      <c r="AA452" s="15">
        <f t="shared" si="93"/>
        <v>0.1333</v>
      </c>
    </row>
    <row r="453" spans="13:27" ht="16.5" x14ac:dyDescent="0.2">
      <c r="M453" s="15">
        <v>374</v>
      </c>
      <c r="N453" s="15">
        <f t="shared" si="82"/>
        <v>8</v>
      </c>
      <c r="O453" s="15">
        <f>INDEX(卡牌消耗!$H$13:$H$33,世界BOSS专属武器!N453)</f>
        <v>1501008</v>
      </c>
      <c r="P453" s="49" t="s">
        <v>480</v>
      </c>
      <c r="Q453" s="15">
        <f t="shared" si="83"/>
        <v>16</v>
      </c>
      <c r="R453" s="49" t="str">
        <f t="shared" si="84"/>
        <v>金币</v>
      </c>
      <c r="S453" s="15">
        <f t="shared" si="85"/>
        <v>1000</v>
      </c>
      <c r="T453" s="15" t="str">
        <f t="shared" si="86"/>
        <v>低级专属强化石</v>
      </c>
      <c r="U453" s="15">
        <f t="shared" si="87"/>
        <v>10</v>
      </c>
      <c r="V453" s="15" t="str">
        <f t="shared" si="88"/>
        <v>[x]</v>
      </c>
      <c r="W453" s="15" t="str">
        <f t="shared" si="89"/>
        <v>[x]</v>
      </c>
      <c r="X453" s="15">
        <f t="shared" si="90"/>
        <v>0.23</v>
      </c>
      <c r="Y453" s="15">
        <f t="shared" si="91"/>
        <v>1</v>
      </c>
      <c r="Z453" s="15">
        <f t="shared" si="92"/>
        <v>9</v>
      </c>
      <c r="AA453" s="15">
        <f t="shared" si="93"/>
        <v>0.1467</v>
      </c>
    </row>
    <row r="454" spans="13:27" ht="16.5" x14ac:dyDescent="0.2">
      <c r="M454" s="15">
        <v>375</v>
      </c>
      <c r="N454" s="15">
        <f t="shared" si="82"/>
        <v>8</v>
      </c>
      <c r="O454" s="15">
        <f>INDEX(卡牌消耗!$H$13:$H$33,世界BOSS专属武器!N454)</f>
        <v>1501008</v>
      </c>
      <c r="P454" s="49" t="s">
        <v>480</v>
      </c>
      <c r="Q454" s="15">
        <f t="shared" si="83"/>
        <v>17</v>
      </c>
      <c r="R454" s="49" t="str">
        <f t="shared" si="84"/>
        <v>金币</v>
      </c>
      <c r="S454" s="15">
        <f t="shared" si="85"/>
        <v>1000</v>
      </c>
      <c r="T454" s="15" t="str">
        <f t="shared" si="86"/>
        <v>低级专属强化石</v>
      </c>
      <c r="U454" s="15">
        <f t="shared" si="87"/>
        <v>10</v>
      </c>
      <c r="V454" s="15" t="str">
        <f t="shared" si="88"/>
        <v>[x]</v>
      </c>
      <c r="W454" s="15" t="str">
        <f t="shared" si="89"/>
        <v>[x]</v>
      </c>
      <c r="X454" s="15">
        <f t="shared" si="90"/>
        <v>0.21</v>
      </c>
      <c r="Y454" s="15">
        <f t="shared" si="91"/>
        <v>1</v>
      </c>
      <c r="Z454" s="15">
        <f t="shared" si="92"/>
        <v>10</v>
      </c>
      <c r="AA454" s="15">
        <f t="shared" si="93"/>
        <v>0.16</v>
      </c>
    </row>
    <row r="455" spans="13:27" ht="16.5" x14ac:dyDescent="0.2">
      <c r="M455" s="15">
        <v>376</v>
      </c>
      <c r="N455" s="15">
        <f t="shared" si="82"/>
        <v>8</v>
      </c>
      <c r="O455" s="15">
        <f>INDEX(卡牌消耗!$H$13:$H$33,世界BOSS专属武器!N455)</f>
        <v>1501008</v>
      </c>
      <c r="P455" s="49" t="s">
        <v>480</v>
      </c>
      <c r="Q455" s="15">
        <f t="shared" si="83"/>
        <v>18</v>
      </c>
      <c r="R455" s="49" t="str">
        <f t="shared" si="84"/>
        <v>金币</v>
      </c>
      <c r="S455" s="15">
        <f t="shared" si="85"/>
        <v>1000</v>
      </c>
      <c r="T455" s="15" t="str">
        <f t="shared" si="86"/>
        <v>低级专属强化石</v>
      </c>
      <c r="U455" s="15">
        <f t="shared" si="87"/>
        <v>10</v>
      </c>
      <c r="V455" s="15" t="str">
        <f t="shared" si="88"/>
        <v>[x]</v>
      </c>
      <c r="W455" s="15" t="str">
        <f t="shared" si="89"/>
        <v>[x]</v>
      </c>
      <c r="X455" s="15">
        <f t="shared" si="90"/>
        <v>0.19</v>
      </c>
      <c r="Y455" s="15">
        <f t="shared" si="91"/>
        <v>1</v>
      </c>
      <c r="Z455" s="15">
        <f t="shared" si="92"/>
        <v>11</v>
      </c>
      <c r="AA455" s="15">
        <f t="shared" si="93"/>
        <v>0.17330000000000001</v>
      </c>
    </row>
    <row r="456" spans="13:27" ht="16.5" x14ac:dyDescent="0.2">
      <c r="M456" s="15">
        <v>377</v>
      </c>
      <c r="N456" s="15">
        <f t="shared" si="82"/>
        <v>8</v>
      </c>
      <c r="O456" s="15">
        <f>INDEX(卡牌消耗!$H$13:$H$33,世界BOSS专属武器!N456)</f>
        <v>1501008</v>
      </c>
      <c r="P456" s="49" t="s">
        <v>480</v>
      </c>
      <c r="Q456" s="15">
        <f t="shared" si="83"/>
        <v>19</v>
      </c>
      <c r="R456" s="49" t="str">
        <f t="shared" si="84"/>
        <v>金币</v>
      </c>
      <c r="S456" s="15">
        <f t="shared" si="85"/>
        <v>1000</v>
      </c>
      <c r="T456" s="15" t="str">
        <f t="shared" si="86"/>
        <v>低级专属强化石</v>
      </c>
      <c r="U456" s="15">
        <f t="shared" si="87"/>
        <v>10</v>
      </c>
      <c r="V456" s="15" t="str">
        <f t="shared" si="88"/>
        <v>[x]</v>
      </c>
      <c r="W456" s="15" t="str">
        <f t="shared" si="89"/>
        <v>[x]</v>
      </c>
      <c r="X456" s="15">
        <f t="shared" si="90"/>
        <v>0.17</v>
      </c>
      <c r="Y456" s="15">
        <f t="shared" si="91"/>
        <v>1</v>
      </c>
      <c r="Z456" s="15">
        <f t="shared" si="92"/>
        <v>12</v>
      </c>
      <c r="AA456" s="15">
        <f t="shared" si="93"/>
        <v>0.1867</v>
      </c>
    </row>
    <row r="457" spans="13:27" ht="16.5" x14ac:dyDescent="0.2">
      <c r="M457" s="15">
        <v>378</v>
      </c>
      <c r="N457" s="15">
        <f t="shared" si="82"/>
        <v>8</v>
      </c>
      <c r="O457" s="15">
        <f>INDEX(卡牌消耗!$H$13:$H$33,世界BOSS专属武器!N457)</f>
        <v>1501008</v>
      </c>
      <c r="P457" s="49" t="s">
        <v>480</v>
      </c>
      <c r="Q457" s="15">
        <f t="shared" si="83"/>
        <v>20</v>
      </c>
      <c r="R457" s="49" t="str">
        <f t="shared" si="84"/>
        <v>金币</v>
      </c>
      <c r="S457" s="15">
        <f t="shared" si="85"/>
        <v>5000</v>
      </c>
      <c r="T457" s="15" t="str">
        <f t="shared" si="86"/>
        <v>低级专属强化石</v>
      </c>
      <c r="U457" s="15">
        <f t="shared" si="87"/>
        <v>15</v>
      </c>
      <c r="V457" s="15" t="str">
        <f t="shared" si="88"/>
        <v>中级专属强化石</v>
      </c>
      <c r="W457" s="15">
        <f t="shared" si="89"/>
        <v>7</v>
      </c>
      <c r="X457" s="15">
        <f t="shared" si="90"/>
        <v>0.15</v>
      </c>
      <c r="Y457" s="15">
        <f t="shared" si="91"/>
        <v>1</v>
      </c>
      <c r="Z457" s="15">
        <f t="shared" si="92"/>
        <v>15</v>
      </c>
      <c r="AA457" s="15">
        <f t="shared" si="93"/>
        <v>0.2</v>
      </c>
    </row>
    <row r="458" spans="13:27" ht="16.5" x14ac:dyDescent="0.2">
      <c r="M458" s="15">
        <v>379</v>
      </c>
      <c r="N458" s="15">
        <f t="shared" si="82"/>
        <v>8</v>
      </c>
      <c r="O458" s="15">
        <f>INDEX(卡牌消耗!$H$13:$H$33,世界BOSS专属武器!N458)</f>
        <v>1501008</v>
      </c>
      <c r="P458" s="49" t="s">
        <v>480</v>
      </c>
      <c r="Q458" s="15">
        <f t="shared" si="83"/>
        <v>21</v>
      </c>
      <c r="R458" s="49" t="str">
        <f t="shared" si="84"/>
        <v>金币</v>
      </c>
      <c r="S458" s="15">
        <f t="shared" si="85"/>
        <v>5000</v>
      </c>
      <c r="T458" s="15" t="str">
        <f t="shared" si="86"/>
        <v>低级专属强化石</v>
      </c>
      <c r="U458" s="15">
        <f t="shared" si="87"/>
        <v>15</v>
      </c>
      <c r="V458" s="15" t="str">
        <f t="shared" si="88"/>
        <v>中级专属强化石</v>
      </c>
      <c r="W458" s="15">
        <f t="shared" si="89"/>
        <v>7</v>
      </c>
      <c r="X458" s="15">
        <f t="shared" si="90"/>
        <v>0.15</v>
      </c>
      <c r="Y458" s="15">
        <f t="shared" si="91"/>
        <v>1</v>
      </c>
      <c r="Z458" s="15">
        <f t="shared" si="92"/>
        <v>15</v>
      </c>
      <c r="AA458" s="15">
        <f t="shared" si="93"/>
        <v>0.22</v>
      </c>
    </row>
    <row r="459" spans="13:27" ht="16.5" x14ac:dyDescent="0.2">
      <c r="M459" s="15">
        <v>380</v>
      </c>
      <c r="N459" s="15">
        <f t="shared" si="82"/>
        <v>8</v>
      </c>
      <c r="O459" s="15">
        <f>INDEX(卡牌消耗!$H$13:$H$33,世界BOSS专属武器!N459)</f>
        <v>1501008</v>
      </c>
      <c r="P459" s="49" t="s">
        <v>480</v>
      </c>
      <c r="Q459" s="15">
        <f t="shared" si="83"/>
        <v>22</v>
      </c>
      <c r="R459" s="49" t="str">
        <f t="shared" si="84"/>
        <v>金币</v>
      </c>
      <c r="S459" s="15">
        <f t="shared" si="85"/>
        <v>5000</v>
      </c>
      <c r="T459" s="15" t="str">
        <f t="shared" si="86"/>
        <v>低级专属强化石</v>
      </c>
      <c r="U459" s="15">
        <f t="shared" si="87"/>
        <v>15</v>
      </c>
      <c r="V459" s="15" t="str">
        <f t="shared" si="88"/>
        <v>中级专属强化石</v>
      </c>
      <c r="W459" s="15">
        <f t="shared" si="89"/>
        <v>7</v>
      </c>
      <c r="X459" s="15">
        <f t="shared" si="90"/>
        <v>0.15</v>
      </c>
      <c r="Y459" s="15">
        <f t="shared" si="91"/>
        <v>1</v>
      </c>
      <c r="Z459" s="15">
        <f t="shared" si="92"/>
        <v>15</v>
      </c>
      <c r="AA459" s="15">
        <f t="shared" si="93"/>
        <v>0.24</v>
      </c>
    </row>
    <row r="460" spans="13:27" ht="16.5" x14ac:dyDescent="0.2">
      <c r="M460" s="15">
        <v>381</v>
      </c>
      <c r="N460" s="15">
        <f t="shared" si="82"/>
        <v>8</v>
      </c>
      <c r="O460" s="15">
        <f>INDEX(卡牌消耗!$H$13:$H$33,世界BOSS专属武器!N460)</f>
        <v>1501008</v>
      </c>
      <c r="P460" s="49" t="s">
        <v>480</v>
      </c>
      <c r="Q460" s="15">
        <f t="shared" si="83"/>
        <v>23</v>
      </c>
      <c r="R460" s="49" t="str">
        <f t="shared" si="84"/>
        <v>金币</v>
      </c>
      <c r="S460" s="15">
        <f t="shared" si="85"/>
        <v>5000</v>
      </c>
      <c r="T460" s="15" t="str">
        <f t="shared" si="86"/>
        <v>低级专属强化石</v>
      </c>
      <c r="U460" s="15">
        <f t="shared" si="87"/>
        <v>15</v>
      </c>
      <c r="V460" s="15" t="str">
        <f t="shared" si="88"/>
        <v>中级专属强化石</v>
      </c>
      <c r="W460" s="15">
        <f t="shared" si="89"/>
        <v>7</v>
      </c>
      <c r="X460" s="15">
        <f t="shared" si="90"/>
        <v>0.15</v>
      </c>
      <c r="Y460" s="15">
        <f t="shared" si="91"/>
        <v>1</v>
      </c>
      <c r="Z460" s="15">
        <f t="shared" si="92"/>
        <v>18</v>
      </c>
      <c r="AA460" s="15">
        <f t="shared" si="93"/>
        <v>0.26</v>
      </c>
    </row>
    <row r="461" spans="13:27" ht="16.5" x14ac:dyDescent="0.2">
      <c r="M461" s="15">
        <v>382</v>
      </c>
      <c r="N461" s="15">
        <f t="shared" si="82"/>
        <v>8</v>
      </c>
      <c r="O461" s="15">
        <f>INDEX(卡牌消耗!$H$13:$H$33,世界BOSS专属武器!N461)</f>
        <v>1501008</v>
      </c>
      <c r="P461" s="49" t="s">
        <v>480</v>
      </c>
      <c r="Q461" s="15">
        <f t="shared" si="83"/>
        <v>24</v>
      </c>
      <c r="R461" s="49" t="str">
        <f t="shared" si="84"/>
        <v>金币</v>
      </c>
      <c r="S461" s="15">
        <f t="shared" si="85"/>
        <v>5000</v>
      </c>
      <c r="T461" s="15" t="str">
        <f t="shared" si="86"/>
        <v>低级专属强化石</v>
      </c>
      <c r="U461" s="15">
        <f t="shared" si="87"/>
        <v>15</v>
      </c>
      <c r="V461" s="15" t="str">
        <f t="shared" si="88"/>
        <v>中级专属强化石</v>
      </c>
      <c r="W461" s="15">
        <f t="shared" si="89"/>
        <v>7</v>
      </c>
      <c r="X461" s="15">
        <f t="shared" si="90"/>
        <v>0.15</v>
      </c>
      <c r="Y461" s="15">
        <f t="shared" si="91"/>
        <v>1</v>
      </c>
      <c r="Z461" s="15">
        <f t="shared" si="92"/>
        <v>18</v>
      </c>
      <c r="AA461" s="15">
        <f t="shared" si="93"/>
        <v>0.28000000000000003</v>
      </c>
    </row>
    <row r="462" spans="13:27" ht="16.5" x14ac:dyDescent="0.2">
      <c r="M462" s="15">
        <v>383</v>
      </c>
      <c r="N462" s="15">
        <f t="shared" si="82"/>
        <v>8</v>
      </c>
      <c r="O462" s="15">
        <f>INDEX(卡牌消耗!$H$13:$H$33,世界BOSS专属武器!N462)</f>
        <v>1501008</v>
      </c>
      <c r="P462" s="49" t="s">
        <v>480</v>
      </c>
      <c r="Q462" s="15">
        <f t="shared" si="83"/>
        <v>25</v>
      </c>
      <c r="R462" s="49" t="str">
        <f t="shared" si="84"/>
        <v>金币</v>
      </c>
      <c r="S462" s="15">
        <f t="shared" si="85"/>
        <v>5000</v>
      </c>
      <c r="T462" s="15" t="str">
        <f t="shared" si="86"/>
        <v>低级专属强化石</v>
      </c>
      <c r="U462" s="15">
        <f t="shared" si="87"/>
        <v>15</v>
      </c>
      <c r="V462" s="15" t="str">
        <f t="shared" si="88"/>
        <v>中级专属强化石</v>
      </c>
      <c r="W462" s="15">
        <f t="shared" si="89"/>
        <v>7</v>
      </c>
      <c r="X462" s="15">
        <f t="shared" si="90"/>
        <v>0.15</v>
      </c>
      <c r="Y462" s="15">
        <f t="shared" si="91"/>
        <v>1</v>
      </c>
      <c r="Z462" s="15">
        <f t="shared" si="92"/>
        <v>18</v>
      </c>
      <c r="AA462" s="15">
        <f t="shared" si="93"/>
        <v>0.3</v>
      </c>
    </row>
    <row r="463" spans="13:27" ht="16.5" x14ac:dyDescent="0.2">
      <c r="M463" s="15">
        <v>384</v>
      </c>
      <c r="N463" s="15">
        <f t="shared" si="82"/>
        <v>8</v>
      </c>
      <c r="O463" s="15">
        <f>INDEX(卡牌消耗!$H$13:$H$33,世界BOSS专属武器!N463)</f>
        <v>1501008</v>
      </c>
      <c r="P463" s="49" t="s">
        <v>480</v>
      </c>
      <c r="Q463" s="15">
        <f t="shared" si="83"/>
        <v>26</v>
      </c>
      <c r="R463" s="49" t="str">
        <f t="shared" si="84"/>
        <v>金币</v>
      </c>
      <c r="S463" s="15">
        <f t="shared" si="85"/>
        <v>5000</v>
      </c>
      <c r="T463" s="15" t="str">
        <f t="shared" si="86"/>
        <v>低级专属强化石</v>
      </c>
      <c r="U463" s="15">
        <f t="shared" si="87"/>
        <v>15</v>
      </c>
      <c r="V463" s="15" t="str">
        <f t="shared" si="88"/>
        <v>中级专属强化石</v>
      </c>
      <c r="W463" s="15">
        <f t="shared" si="89"/>
        <v>7</v>
      </c>
      <c r="X463" s="15">
        <f t="shared" si="90"/>
        <v>0.15</v>
      </c>
      <c r="Y463" s="15">
        <f t="shared" si="91"/>
        <v>1</v>
      </c>
      <c r="Z463" s="15">
        <f t="shared" si="92"/>
        <v>21</v>
      </c>
      <c r="AA463" s="15">
        <f t="shared" si="93"/>
        <v>0.32</v>
      </c>
    </row>
    <row r="464" spans="13:27" ht="16.5" x14ac:dyDescent="0.2">
      <c r="M464" s="15">
        <v>385</v>
      </c>
      <c r="N464" s="15">
        <f t="shared" si="82"/>
        <v>8</v>
      </c>
      <c r="O464" s="15">
        <f>INDEX(卡牌消耗!$H$13:$H$33,世界BOSS专属武器!N464)</f>
        <v>1501008</v>
      </c>
      <c r="P464" s="49" t="s">
        <v>480</v>
      </c>
      <c r="Q464" s="15">
        <f t="shared" si="83"/>
        <v>27</v>
      </c>
      <c r="R464" s="49" t="str">
        <f t="shared" si="84"/>
        <v>金币</v>
      </c>
      <c r="S464" s="15">
        <f t="shared" si="85"/>
        <v>5000</v>
      </c>
      <c r="T464" s="15" t="str">
        <f t="shared" si="86"/>
        <v>低级专属强化石</v>
      </c>
      <c r="U464" s="15">
        <f t="shared" si="87"/>
        <v>15</v>
      </c>
      <c r="V464" s="15" t="str">
        <f t="shared" si="88"/>
        <v>中级专属强化石</v>
      </c>
      <c r="W464" s="15">
        <f t="shared" si="89"/>
        <v>7</v>
      </c>
      <c r="X464" s="15">
        <f t="shared" si="90"/>
        <v>0.15</v>
      </c>
      <c r="Y464" s="15">
        <f t="shared" si="91"/>
        <v>1</v>
      </c>
      <c r="Z464" s="15">
        <f t="shared" si="92"/>
        <v>22</v>
      </c>
      <c r="AA464" s="15">
        <f t="shared" si="93"/>
        <v>0.34</v>
      </c>
    </row>
    <row r="465" spans="13:27" ht="16.5" x14ac:dyDescent="0.2">
      <c r="M465" s="15">
        <v>386</v>
      </c>
      <c r="N465" s="15">
        <f t="shared" ref="N465:N528" si="94">INT((M465-1)/51)+1</f>
        <v>8</v>
      </c>
      <c r="O465" s="15">
        <f>INDEX(卡牌消耗!$H$13:$H$33,世界BOSS专属武器!N465)</f>
        <v>1501008</v>
      </c>
      <c r="P465" s="49" t="s">
        <v>480</v>
      </c>
      <c r="Q465" s="15">
        <f t="shared" ref="Q465:Q528" si="95">MOD(M465-1,51)</f>
        <v>28</v>
      </c>
      <c r="R465" s="49" t="str">
        <f t="shared" ref="R465:R528" si="96">IF(Q465&gt;0,"金币","[x]")</f>
        <v>金币</v>
      </c>
      <c r="S465" s="15">
        <f t="shared" ref="S465:S528" si="97">IF(Q465&gt;0,INDEX($V$27:$V$76,Q465),"[x]")</f>
        <v>5000</v>
      </c>
      <c r="T465" s="15" t="str">
        <f t="shared" ref="T465:T528" si="98">IF(Q465&gt;0,INDEX($W$27:$W$76,Q465),"[x]")</f>
        <v>低级专属强化石</v>
      </c>
      <c r="U465" s="15">
        <f t="shared" ref="U465:U528" si="99">IF(Q465&gt;0,INDEX($AA$27:$AF$76,Q465,INDEX($Y$27:$Y$76,Q465)),"[x]")</f>
        <v>15</v>
      </c>
      <c r="V465" s="15" t="str">
        <f t="shared" ref="V465:V528" si="100">IF(AND(Q465&gt;=20,Q465&lt;40),INDEX($X$27:$X$76,Q465),"[x]")</f>
        <v>中级专属强化石</v>
      </c>
      <c r="W465" s="15">
        <f t="shared" ref="W465:W528" si="101">IF(AND(Q465&gt;=20,Q465&lt;40),INDEX($AA$27:$AF$76,Q465,INDEX($Z$27:$Z$76,Q465)),"[x]")</f>
        <v>7</v>
      </c>
      <c r="X465" s="15">
        <f t="shared" ref="X465:X528" si="102">IF(Q465&gt;0,INDEX($T$27:$T$76,Q465),"[x]")</f>
        <v>0.15</v>
      </c>
      <c r="Y465" s="15">
        <f t="shared" ref="Y465:Y528" si="103">IF(Q465&gt;0,1,"[x]")</f>
        <v>1</v>
      </c>
      <c r="Z465" s="15">
        <f t="shared" ref="Z465:Z528" si="104">IF(Q465&gt;0,INDEX($AG$27:$AG$76,Q465),"[x]")</f>
        <v>23</v>
      </c>
      <c r="AA465" s="15">
        <f t="shared" ref="AA465:AA528" si="105">IF(Q465&gt;0,INDEX($AL$27:$AL$76,Q465),"[x]")</f>
        <v>0.36</v>
      </c>
    </row>
    <row r="466" spans="13:27" ht="16.5" x14ac:dyDescent="0.2">
      <c r="M466" s="15">
        <v>387</v>
      </c>
      <c r="N466" s="15">
        <f t="shared" si="94"/>
        <v>8</v>
      </c>
      <c r="O466" s="15">
        <f>INDEX(卡牌消耗!$H$13:$H$33,世界BOSS专属武器!N466)</f>
        <v>1501008</v>
      </c>
      <c r="P466" s="49" t="s">
        <v>480</v>
      </c>
      <c r="Q466" s="15">
        <f t="shared" si="95"/>
        <v>29</v>
      </c>
      <c r="R466" s="49" t="str">
        <f t="shared" si="96"/>
        <v>金币</v>
      </c>
      <c r="S466" s="15">
        <f t="shared" si="97"/>
        <v>5000</v>
      </c>
      <c r="T466" s="15" t="str">
        <f t="shared" si="98"/>
        <v>低级专属强化石</v>
      </c>
      <c r="U466" s="15">
        <f t="shared" si="99"/>
        <v>15</v>
      </c>
      <c r="V466" s="15" t="str">
        <f t="shared" si="100"/>
        <v>中级专属强化石</v>
      </c>
      <c r="W466" s="15">
        <f t="shared" si="101"/>
        <v>7</v>
      </c>
      <c r="X466" s="15">
        <f t="shared" si="102"/>
        <v>0.15</v>
      </c>
      <c r="Y466" s="15">
        <f t="shared" si="103"/>
        <v>1</v>
      </c>
      <c r="Z466" s="15">
        <f t="shared" si="104"/>
        <v>25</v>
      </c>
      <c r="AA466" s="15">
        <f t="shared" si="105"/>
        <v>0.38</v>
      </c>
    </row>
    <row r="467" spans="13:27" ht="16.5" x14ac:dyDescent="0.2">
      <c r="M467" s="15">
        <v>388</v>
      </c>
      <c r="N467" s="15">
        <f t="shared" si="94"/>
        <v>8</v>
      </c>
      <c r="O467" s="15">
        <f>INDEX(卡牌消耗!$H$13:$H$33,世界BOSS专属武器!N467)</f>
        <v>1501008</v>
      </c>
      <c r="P467" s="49" t="s">
        <v>480</v>
      </c>
      <c r="Q467" s="15">
        <f t="shared" si="95"/>
        <v>30</v>
      </c>
      <c r="R467" s="49" t="str">
        <f t="shared" si="96"/>
        <v>金币</v>
      </c>
      <c r="S467" s="15">
        <f t="shared" si="97"/>
        <v>10000</v>
      </c>
      <c r="T467" s="15" t="str">
        <f t="shared" si="98"/>
        <v>中级专属强化石</v>
      </c>
      <c r="U467" s="15">
        <f t="shared" si="99"/>
        <v>8</v>
      </c>
      <c r="V467" s="15" t="str">
        <f t="shared" si="100"/>
        <v>高级专属强化石</v>
      </c>
      <c r="W467" s="15">
        <f t="shared" si="101"/>
        <v>3</v>
      </c>
      <c r="X467" s="15">
        <f t="shared" si="102"/>
        <v>0.1</v>
      </c>
      <c r="Y467" s="15">
        <f t="shared" si="103"/>
        <v>1</v>
      </c>
      <c r="Z467" s="15">
        <f t="shared" si="104"/>
        <v>30</v>
      </c>
      <c r="AA467" s="15">
        <f t="shared" si="105"/>
        <v>0.4</v>
      </c>
    </row>
    <row r="468" spans="13:27" ht="16.5" x14ac:dyDescent="0.2">
      <c r="M468" s="15">
        <v>389</v>
      </c>
      <c r="N468" s="15">
        <f t="shared" si="94"/>
        <v>8</v>
      </c>
      <c r="O468" s="15">
        <f>INDEX(卡牌消耗!$H$13:$H$33,世界BOSS专属武器!N468)</f>
        <v>1501008</v>
      </c>
      <c r="P468" s="49" t="s">
        <v>480</v>
      </c>
      <c r="Q468" s="15">
        <f t="shared" si="95"/>
        <v>31</v>
      </c>
      <c r="R468" s="49" t="str">
        <f t="shared" si="96"/>
        <v>金币</v>
      </c>
      <c r="S468" s="15">
        <f t="shared" si="97"/>
        <v>10000</v>
      </c>
      <c r="T468" s="15" t="str">
        <f t="shared" si="98"/>
        <v>中级专属强化石</v>
      </c>
      <c r="U468" s="15">
        <f t="shared" si="99"/>
        <v>8</v>
      </c>
      <c r="V468" s="15" t="str">
        <f t="shared" si="100"/>
        <v>高级专属强化石</v>
      </c>
      <c r="W468" s="15">
        <f t="shared" si="101"/>
        <v>3</v>
      </c>
      <c r="X468" s="15">
        <f t="shared" si="102"/>
        <v>0.1</v>
      </c>
      <c r="Y468" s="15">
        <f t="shared" si="103"/>
        <v>1</v>
      </c>
      <c r="Z468" s="15">
        <f t="shared" si="104"/>
        <v>30</v>
      </c>
      <c r="AA468" s="15">
        <f t="shared" si="105"/>
        <v>0.42670000000000002</v>
      </c>
    </row>
    <row r="469" spans="13:27" ht="16.5" x14ac:dyDescent="0.2">
      <c r="M469" s="15">
        <v>390</v>
      </c>
      <c r="N469" s="15">
        <f t="shared" si="94"/>
        <v>8</v>
      </c>
      <c r="O469" s="15">
        <f>INDEX(卡牌消耗!$H$13:$H$33,世界BOSS专属武器!N469)</f>
        <v>1501008</v>
      </c>
      <c r="P469" s="49" t="s">
        <v>480</v>
      </c>
      <c r="Q469" s="15">
        <f t="shared" si="95"/>
        <v>32</v>
      </c>
      <c r="R469" s="49" t="str">
        <f t="shared" si="96"/>
        <v>金币</v>
      </c>
      <c r="S469" s="15">
        <f t="shared" si="97"/>
        <v>10000</v>
      </c>
      <c r="T469" s="15" t="str">
        <f t="shared" si="98"/>
        <v>中级专属强化石</v>
      </c>
      <c r="U469" s="15">
        <f t="shared" si="99"/>
        <v>8</v>
      </c>
      <c r="V469" s="15" t="str">
        <f t="shared" si="100"/>
        <v>高级专属强化石</v>
      </c>
      <c r="W469" s="15">
        <f t="shared" si="101"/>
        <v>3</v>
      </c>
      <c r="X469" s="15">
        <f t="shared" si="102"/>
        <v>0.1</v>
      </c>
      <c r="Y469" s="15">
        <f t="shared" si="103"/>
        <v>1</v>
      </c>
      <c r="Z469" s="15">
        <f t="shared" si="104"/>
        <v>30</v>
      </c>
      <c r="AA469" s="15">
        <f t="shared" si="105"/>
        <v>0.45329999999999998</v>
      </c>
    </row>
    <row r="470" spans="13:27" ht="16.5" x14ac:dyDescent="0.2">
      <c r="M470" s="15">
        <v>391</v>
      </c>
      <c r="N470" s="15">
        <f t="shared" si="94"/>
        <v>8</v>
      </c>
      <c r="O470" s="15">
        <f>INDEX(卡牌消耗!$H$13:$H$33,世界BOSS专属武器!N470)</f>
        <v>1501008</v>
      </c>
      <c r="P470" s="49" t="s">
        <v>480</v>
      </c>
      <c r="Q470" s="15">
        <f t="shared" si="95"/>
        <v>33</v>
      </c>
      <c r="R470" s="49" t="str">
        <f t="shared" si="96"/>
        <v>金币</v>
      </c>
      <c r="S470" s="15">
        <f t="shared" si="97"/>
        <v>10000</v>
      </c>
      <c r="T470" s="15" t="str">
        <f t="shared" si="98"/>
        <v>中级专属强化石</v>
      </c>
      <c r="U470" s="15">
        <f t="shared" si="99"/>
        <v>8</v>
      </c>
      <c r="V470" s="15" t="str">
        <f t="shared" si="100"/>
        <v>高级专属强化石</v>
      </c>
      <c r="W470" s="15">
        <f t="shared" si="101"/>
        <v>3</v>
      </c>
      <c r="X470" s="15">
        <f t="shared" si="102"/>
        <v>0.1</v>
      </c>
      <c r="Y470" s="15">
        <f t="shared" si="103"/>
        <v>1</v>
      </c>
      <c r="Z470" s="15">
        <f t="shared" si="104"/>
        <v>30</v>
      </c>
      <c r="AA470" s="15">
        <f t="shared" si="105"/>
        <v>0.48</v>
      </c>
    </row>
    <row r="471" spans="13:27" ht="16.5" x14ac:dyDescent="0.2">
      <c r="M471" s="15">
        <v>392</v>
      </c>
      <c r="N471" s="15">
        <f t="shared" si="94"/>
        <v>8</v>
      </c>
      <c r="O471" s="15">
        <f>INDEX(卡牌消耗!$H$13:$H$33,世界BOSS专属武器!N471)</f>
        <v>1501008</v>
      </c>
      <c r="P471" s="49" t="s">
        <v>480</v>
      </c>
      <c r="Q471" s="15">
        <f t="shared" si="95"/>
        <v>34</v>
      </c>
      <c r="R471" s="49" t="str">
        <f t="shared" si="96"/>
        <v>金币</v>
      </c>
      <c r="S471" s="15">
        <f t="shared" si="97"/>
        <v>10000</v>
      </c>
      <c r="T471" s="15" t="str">
        <f t="shared" si="98"/>
        <v>中级专属强化石</v>
      </c>
      <c r="U471" s="15">
        <f t="shared" si="99"/>
        <v>8</v>
      </c>
      <c r="V471" s="15" t="str">
        <f t="shared" si="100"/>
        <v>高级专属强化石</v>
      </c>
      <c r="W471" s="15">
        <f t="shared" si="101"/>
        <v>3</v>
      </c>
      <c r="X471" s="15">
        <f t="shared" si="102"/>
        <v>0.1</v>
      </c>
      <c r="Y471" s="15">
        <f t="shared" si="103"/>
        <v>1</v>
      </c>
      <c r="Z471" s="15">
        <f t="shared" si="104"/>
        <v>30</v>
      </c>
      <c r="AA471" s="15">
        <f t="shared" si="105"/>
        <v>0.50670000000000004</v>
      </c>
    </row>
    <row r="472" spans="13:27" ht="16.5" x14ac:dyDescent="0.2">
      <c r="M472" s="15">
        <v>393</v>
      </c>
      <c r="N472" s="15">
        <f t="shared" si="94"/>
        <v>8</v>
      </c>
      <c r="O472" s="15">
        <f>INDEX(卡牌消耗!$H$13:$H$33,世界BOSS专属武器!N472)</f>
        <v>1501008</v>
      </c>
      <c r="P472" s="49" t="s">
        <v>480</v>
      </c>
      <c r="Q472" s="15">
        <f t="shared" si="95"/>
        <v>35</v>
      </c>
      <c r="R472" s="49" t="str">
        <f t="shared" si="96"/>
        <v>金币</v>
      </c>
      <c r="S472" s="15">
        <f t="shared" si="97"/>
        <v>10000</v>
      </c>
      <c r="T472" s="15" t="str">
        <f t="shared" si="98"/>
        <v>中级专属强化石</v>
      </c>
      <c r="U472" s="15">
        <f t="shared" si="99"/>
        <v>8</v>
      </c>
      <c r="V472" s="15" t="str">
        <f t="shared" si="100"/>
        <v>高级专属强化石</v>
      </c>
      <c r="W472" s="15">
        <f t="shared" si="101"/>
        <v>3</v>
      </c>
      <c r="X472" s="15">
        <f t="shared" si="102"/>
        <v>0.1</v>
      </c>
      <c r="Y472" s="15">
        <f t="shared" si="103"/>
        <v>1</v>
      </c>
      <c r="Z472" s="15">
        <f t="shared" si="104"/>
        <v>30</v>
      </c>
      <c r="AA472" s="15">
        <f t="shared" si="105"/>
        <v>0.5333</v>
      </c>
    </row>
    <row r="473" spans="13:27" ht="16.5" x14ac:dyDescent="0.2">
      <c r="M473" s="15">
        <v>394</v>
      </c>
      <c r="N473" s="15">
        <f t="shared" si="94"/>
        <v>8</v>
      </c>
      <c r="O473" s="15">
        <f>INDEX(卡牌消耗!$H$13:$H$33,世界BOSS专属武器!N473)</f>
        <v>1501008</v>
      </c>
      <c r="P473" s="49" t="s">
        <v>480</v>
      </c>
      <c r="Q473" s="15">
        <f t="shared" si="95"/>
        <v>36</v>
      </c>
      <c r="R473" s="49" t="str">
        <f t="shared" si="96"/>
        <v>金币</v>
      </c>
      <c r="S473" s="15">
        <f t="shared" si="97"/>
        <v>10000</v>
      </c>
      <c r="T473" s="15" t="str">
        <f t="shared" si="98"/>
        <v>中级专属强化石</v>
      </c>
      <c r="U473" s="15">
        <f t="shared" si="99"/>
        <v>8</v>
      </c>
      <c r="V473" s="15" t="str">
        <f t="shared" si="100"/>
        <v>高级专属强化石</v>
      </c>
      <c r="W473" s="15">
        <f t="shared" si="101"/>
        <v>3</v>
      </c>
      <c r="X473" s="15">
        <f t="shared" si="102"/>
        <v>0.1</v>
      </c>
      <c r="Y473" s="15">
        <f t="shared" si="103"/>
        <v>1</v>
      </c>
      <c r="Z473" s="15">
        <f t="shared" si="104"/>
        <v>30</v>
      </c>
      <c r="AA473" s="15">
        <f t="shared" si="105"/>
        <v>0.56000000000000005</v>
      </c>
    </row>
    <row r="474" spans="13:27" ht="16.5" x14ac:dyDescent="0.2">
      <c r="M474" s="15">
        <v>395</v>
      </c>
      <c r="N474" s="15">
        <f t="shared" si="94"/>
        <v>8</v>
      </c>
      <c r="O474" s="15">
        <f>INDEX(卡牌消耗!$H$13:$H$33,世界BOSS专属武器!N474)</f>
        <v>1501008</v>
      </c>
      <c r="P474" s="49" t="s">
        <v>480</v>
      </c>
      <c r="Q474" s="15">
        <f t="shared" si="95"/>
        <v>37</v>
      </c>
      <c r="R474" s="49" t="str">
        <f t="shared" si="96"/>
        <v>金币</v>
      </c>
      <c r="S474" s="15">
        <f t="shared" si="97"/>
        <v>10000</v>
      </c>
      <c r="T474" s="15" t="str">
        <f t="shared" si="98"/>
        <v>中级专属强化石</v>
      </c>
      <c r="U474" s="15">
        <f t="shared" si="99"/>
        <v>8</v>
      </c>
      <c r="V474" s="15" t="str">
        <f t="shared" si="100"/>
        <v>高级专属强化石</v>
      </c>
      <c r="W474" s="15">
        <f t="shared" si="101"/>
        <v>3</v>
      </c>
      <c r="X474" s="15">
        <f t="shared" si="102"/>
        <v>0.1</v>
      </c>
      <c r="Y474" s="15">
        <f t="shared" si="103"/>
        <v>1</v>
      </c>
      <c r="Z474" s="15">
        <f t="shared" si="104"/>
        <v>30</v>
      </c>
      <c r="AA474" s="15">
        <f t="shared" si="105"/>
        <v>0.5867</v>
      </c>
    </row>
    <row r="475" spans="13:27" ht="16.5" x14ac:dyDescent="0.2">
      <c r="M475" s="15">
        <v>396</v>
      </c>
      <c r="N475" s="15">
        <f t="shared" si="94"/>
        <v>8</v>
      </c>
      <c r="O475" s="15">
        <f>INDEX(卡牌消耗!$H$13:$H$33,世界BOSS专属武器!N475)</f>
        <v>1501008</v>
      </c>
      <c r="P475" s="49" t="s">
        <v>480</v>
      </c>
      <c r="Q475" s="15">
        <f t="shared" si="95"/>
        <v>38</v>
      </c>
      <c r="R475" s="49" t="str">
        <f t="shared" si="96"/>
        <v>金币</v>
      </c>
      <c r="S475" s="15">
        <f t="shared" si="97"/>
        <v>10000</v>
      </c>
      <c r="T475" s="15" t="str">
        <f t="shared" si="98"/>
        <v>中级专属强化石</v>
      </c>
      <c r="U475" s="15">
        <f t="shared" si="99"/>
        <v>8</v>
      </c>
      <c r="V475" s="15" t="str">
        <f t="shared" si="100"/>
        <v>高级专属强化石</v>
      </c>
      <c r="W475" s="15">
        <f t="shared" si="101"/>
        <v>3</v>
      </c>
      <c r="X475" s="15">
        <f t="shared" si="102"/>
        <v>0.1</v>
      </c>
      <c r="Y475" s="15">
        <f t="shared" si="103"/>
        <v>1</v>
      </c>
      <c r="Z475" s="15">
        <f t="shared" si="104"/>
        <v>30</v>
      </c>
      <c r="AA475" s="15">
        <f t="shared" si="105"/>
        <v>0.61329999999999996</v>
      </c>
    </row>
    <row r="476" spans="13:27" ht="16.5" x14ac:dyDescent="0.2">
      <c r="M476" s="15">
        <v>397</v>
      </c>
      <c r="N476" s="15">
        <f t="shared" si="94"/>
        <v>8</v>
      </c>
      <c r="O476" s="15">
        <f>INDEX(卡牌消耗!$H$13:$H$33,世界BOSS专属武器!N476)</f>
        <v>1501008</v>
      </c>
      <c r="P476" s="49" t="s">
        <v>480</v>
      </c>
      <c r="Q476" s="15">
        <f t="shared" si="95"/>
        <v>39</v>
      </c>
      <c r="R476" s="49" t="str">
        <f t="shared" si="96"/>
        <v>金币</v>
      </c>
      <c r="S476" s="15">
        <f t="shared" si="97"/>
        <v>10000</v>
      </c>
      <c r="T476" s="15" t="str">
        <f t="shared" si="98"/>
        <v>中级专属强化石</v>
      </c>
      <c r="U476" s="15">
        <f t="shared" si="99"/>
        <v>8</v>
      </c>
      <c r="V476" s="15" t="str">
        <f t="shared" si="100"/>
        <v>高级专属强化石</v>
      </c>
      <c r="W476" s="15">
        <f t="shared" si="101"/>
        <v>3</v>
      </c>
      <c r="X476" s="15">
        <f t="shared" si="102"/>
        <v>0.1</v>
      </c>
      <c r="Y476" s="15">
        <f t="shared" si="103"/>
        <v>1</v>
      </c>
      <c r="Z476" s="15">
        <f t="shared" si="104"/>
        <v>30</v>
      </c>
      <c r="AA476" s="15">
        <f t="shared" si="105"/>
        <v>0.64</v>
      </c>
    </row>
    <row r="477" spans="13:27" ht="16.5" x14ac:dyDescent="0.2">
      <c r="M477" s="15">
        <v>398</v>
      </c>
      <c r="N477" s="15">
        <f t="shared" si="94"/>
        <v>8</v>
      </c>
      <c r="O477" s="15">
        <f>INDEX(卡牌消耗!$H$13:$H$33,世界BOSS专属武器!N477)</f>
        <v>1501008</v>
      </c>
      <c r="P477" s="49" t="s">
        <v>480</v>
      </c>
      <c r="Q477" s="15">
        <f t="shared" si="95"/>
        <v>40</v>
      </c>
      <c r="R477" s="49" t="str">
        <f t="shared" si="96"/>
        <v>金币</v>
      </c>
      <c r="S477" s="15">
        <f t="shared" si="97"/>
        <v>20000</v>
      </c>
      <c r="T477" s="15" t="str">
        <f t="shared" si="98"/>
        <v>高级专属强化石</v>
      </c>
      <c r="U477" s="15">
        <f t="shared" si="99"/>
        <v>5</v>
      </c>
      <c r="V477" s="15" t="str">
        <f t="shared" si="100"/>
        <v>[x]</v>
      </c>
      <c r="W477" s="15" t="str">
        <f t="shared" si="101"/>
        <v>[x]</v>
      </c>
      <c r="X477" s="15">
        <f t="shared" si="102"/>
        <v>0.1</v>
      </c>
      <c r="Y477" s="15">
        <f t="shared" si="103"/>
        <v>1</v>
      </c>
      <c r="Z477" s="15">
        <f t="shared" si="104"/>
        <v>35</v>
      </c>
      <c r="AA477" s="15">
        <f t="shared" si="105"/>
        <v>0.66669999999999996</v>
      </c>
    </row>
    <row r="478" spans="13:27" ht="16.5" x14ac:dyDescent="0.2">
      <c r="M478" s="15">
        <v>399</v>
      </c>
      <c r="N478" s="15">
        <f t="shared" si="94"/>
        <v>8</v>
      </c>
      <c r="O478" s="15">
        <f>INDEX(卡牌消耗!$H$13:$H$33,世界BOSS专属武器!N478)</f>
        <v>1501008</v>
      </c>
      <c r="P478" s="49" t="s">
        <v>480</v>
      </c>
      <c r="Q478" s="15">
        <f t="shared" si="95"/>
        <v>41</v>
      </c>
      <c r="R478" s="49" t="str">
        <f t="shared" si="96"/>
        <v>金币</v>
      </c>
      <c r="S478" s="15">
        <f t="shared" si="97"/>
        <v>20000</v>
      </c>
      <c r="T478" s="15" t="str">
        <f t="shared" si="98"/>
        <v>高级专属强化石</v>
      </c>
      <c r="U478" s="15">
        <f t="shared" si="99"/>
        <v>5</v>
      </c>
      <c r="V478" s="15" t="str">
        <f t="shared" si="100"/>
        <v>[x]</v>
      </c>
      <c r="W478" s="15" t="str">
        <f t="shared" si="101"/>
        <v>[x]</v>
      </c>
      <c r="X478" s="15">
        <f t="shared" si="102"/>
        <v>0.1</v>
      </c>
      <c r="Y478" s="15">
        <f t="shared" si="103"/>
        <v>1</v>
      </c>
      <c r="Z478" s="15">
        <f t="shared" si="104"/>
        <v>40</v>
      </c>
      <c r="AA478" s="15">
        <f t="shared" si="105"/>
        <v>0.7</v>
      </c>
    </row>
    <row r="479" spans="13:27" ht="16.5" x14ac:dyDescent="0.2">
      <c r="M479" s="15">
        <v>400</v>
      </c>
      <c r="N479" s="15">
        <f t="shared" si="94"/>
        <v>8</v>
      </c>
      <c r="O479" s="15">
        <f>INDEX(卡牌消耗!$H$13:$H$33,世界BOSS专属武器!N479)</f>
        <v>1501008</v>
      </c>
      <c r="P479" s="49" t="s">
        <v>480</v>
      </c>
      <c r="Q479" s="15">
        <f t="shared" si="95"/>
        <v>42</v>
      </c>
      <c r="R479" s="49" t="str">
        <f t="shared" si="96"/>
        <v>金币</v>
      </c>
      <c r="S479" s="15">
        <f t="shared" si="97"/>
        <v>20000</v>
      </c>
      <c r="T479" s="15" t="str">
        <f t="shared" si="98"/>
        <v>高级专属强化石</v>
      </c>
      <c r="U479" s="15">
        <f t="shared" si="99"/>
        <v>5</v>
      </c>
      <c r="V479" s="15" t="str">
        <f t="shared" si="100"/>
        <v>[x]</v>
      </c>
      <c r="W479" s="15" t="str">
        <f t="shared" si="101"/>
        <v>[x]</v>
      </c>
      <c r="X479" s="15">
        <f t="shared" si="102"/>
        <v>0.1</v>
      </c>
      <c r="Y479" s="15">
        <f t="shared" si="103"/>
        <v>1</v>
      </c>
      <c r="Z479" s="15">
        <f t="shared" si="104"/>
        <v>45</v>
      </c>
      <c r="AA479" s="15">
        <f t="shared" si="105"/>
        <v>0.73329999999999995</v>
      </c>
    </row>
    <row r="480" spans="13:27" ht="16.5" x14ac:dyDescent="0.2">
      <c r="M480" s="15">
        <v>401</v>
      </c>
      <c r="N480" s="15">
        <f t="shared" si="94"/>
        <v>8</v>
      </c>
      <c r="O480" s="15">
        <f>INDEX(卡牌消耗!$H$13:$H$33,世界BOSS专属武器!N480)</f>
        <v>1501008</v>
      </c>
      <c r="P480" s="49" t="s">
        <v>480</v>
      </c>
      <c r="Q480" s="15">
        <f t="shared" si="95"/>
        <v>43</v>
      </c>
      <c r="R480" s="49" t="str">
        <f t="shared" si="96"/>
        <v>金币</v>
      </c>
      <c r="S480" s="15">
        <f t="shared" si="97"/>
        <v>20000</v>
      </c>
      <c r="T480" s="15" t="str">
        <f t="shared" si="98"/>
        <v>高级专属强化石</v>
      </c>
      <c r="U480" s="15">
        <f t="shared" si="99"/>
        <v>5</v>
      </c>
      <c r="V480" s="15" t="str">
        <f t="shared" si="100"/>
        <v>[x]</v>
      </c>
      <c r="W480" s="15" t="str">
        <f t="shared" si="101"/>
        <v>[x]</v>
      </c>
      <c r="X480" s="15">
        <f t="shared" si="102"/>
        <v>0.1</v>
      </c>
      <c r="Y480" s="15">
        <f t="shared" si="103"/>
        <v>1</v>
      </c>
      <c r="Z480" s="15">
        <f t="shared" si="104"/>
        <v>50</v>
      </c>
      <c r="AA480" s="15">
        <f t="shared" si="105"/>
        <v>0.76670000000000005</v>
      </c>
    </row>
    <row r="481" spans="13:27" ht="16.5" x14ac:dyDescent="0.2">
      <c r="M481" s="15">
        <v>402</v>
      </c>
      <c r="N481" s="15">
        <f t="shared" si="94"/>
        <v>8</v>
      </c>
      <c r="O481" s="15">
        <f>INDEX(卡牌消耗!$H$13:$H$33,世界BOSS专属武器!N481)</f>
        <v>1501008</v>
      </c>
      <c r="P481" s="49" t="s">
        <v>480</v>
      </c>
      <c r="Q481" s="15">
        <f t="shared" si="95"/>
        <v>44</v>
      </c>
      <c r="R481" s="49" t="str">
        <f t="shared" si="96"/>
        <v>金币</v>
      </c>
      <c r="S481" s="15">
        <f t="shared" si="97"/>
        <v>20000</v>
      </c>
      <c r="T481" s="15" t="str">
        <f t="shared" si="98"/>
        <v>高级专属强化石</v>
      </c>
      <c r="U481" s="15">
        <f t="shared" si="99"/>
        <v>5</v>
      </c>
      <c r="V481" s="15" t="str">
        <f t="shared" si="100"/>
        <v>[x]</v>
      </c>
      <c r="W481" s="15" t="str">
        <f t="shared" si="101"/>
        <v>[x]</v>
      </c>
      <c r="X481" s="15">
        <f t="shared" si="102"/>
        <v>0.1</v>
      </c>
      <c r="Y481" s="15">
        <f t="shared" si="103"/>
        <v>1</v>
      </c>
      <c r="Z481" s="15">
        <f t="shared" si="104"/>
        <v>55</v>
      </c>
      <c r="AA481" s="15">
        <f t="shared" si="105"/>
        <v>0.8</v>
      </c>
    </row>
    <row r="482" spans="13:27" ht="16.5" x14ac:dyDescent="0.2">
      <c r="M482" s="15">
        <v>403</v>
      </c>
      <c r="N482" s="15">
        <f t="shared" si="94"/>
        <v>8</v>
      </c>
      <c r="O482" s="15">
        <f>INDEX(卡牌消耗!$H$13:$H$33,世界BOSS专属武器!N482)</f>
        <v>1501008</v>
      </c>
      <c r="P482" s="49" t="s">
        <v>480</v>
      </c>
      <c r="Q482" s="15">
        <f t="shared" si="95"/>
        <v>45</v>
      </c>
      <c r="R482" s="49" t="str">
        <f t="shared" si="96"/>
        <v>金币</v>
      </c>
      <c r="S482" s="15">
        <f t="shared" si="97"/>
        <v>20000</v>
      </c>
      <c r="T482" s="15" t="str">
        <f t="shared" si="98"/>
        <v>高级专属强化石</v>
      </c>
      <c r="U482" s="15">
        <f t="shared" si="99"/>
        <v>6</v>
      </c>
      <c r="V482" s="15" t="str">
        <f t="shared" si="100"/>
        <v>[x]</v>
      </c>
      <c r="W482" s="15" t="str">
        <f t="shared" si="101"/>
        <v>[x]</v>
      </c>
      <c r="X482" s="15">
        <f t="shared" si="102"/>
        <v>0.1</v>
      </c>
      <c r="Y482" s="15">
        <f t="shared" si="103"/>
        <v>1</v>
      </c>
      <c r="Z482" s="15">
        <f t="shared" si="104"/>
        <v>60</v>
      </c>
      <c r="AA482" s="15">
        <f t="shared" si="105"/>
        <v>0.83330000000000004</v>
      </c>
    </row>
    <row r="483" spans="13:27" ht="16.5" x14ac:dyDescent="0.2">
      <c r="M483" s="15">
        <v>404</v>
      </c>
      <c r="N483" s="15">
        <f t="shared" si="94"/>
        <v>8</v>
      </c>
      <c r="O483" s="15">
        <f>INDEX(卡牌消耗!$H$13:$H$33,世界BOSS专属武器!N483)</f>
        <v>1501008</v>
      </c>
      <c r="P483" s="49" t="s">
        <v>480</v>
      </c>
      <c r="Q483" s="15">
        <f t="shared" si="95"/>
        <v>46</v>
      </c>
      <c r="R483" s="49" t="str">
        <f t="shared" si="96"/>
        <v>金币</v>
      </c>
      <c r="S483" s="15">
        <f t="shared" si="97"/>
        <v>20000</v>
      </c>
      <c r="T483" s="15" t="str">
        <f t="shared" si="98"/>
        <v>高级专属强化石</v>
      </c>
      <c r="U483" s="15">
        <f t="shared" si="99"/>
        <v>7</v>
      </c>
      <c r="V483" s="15" t="str">
        <f t="shared" si="100"/>
        <v>[x]</v>
      </c>
      <c r="W483" s="15" t="str">
        <f t="shared" si="101"/>
        <v>[x]</v>
      </c>
      <c r="X483" s="15">
        <f t="shared" si="102"/>
        <v>0.1</v>
      </c>
      <c r="Y483" s="15">
        <f t="shared" si="103"/>
        <v>1</v>
      </c>
      <c r="Z483" s="15">
        <f t="shared" si="104"/>
        <v>70</v>
      </c>
      <c r="AA483" s="15">
        <f t="shared" si="105"/>
        <v>0.86670000000000003</v>
      </c>
    </row>
    <row r="484" spans="13:27" ht="16.5" x14ac:dyDescent="0.2">
      <c r="M484" s="15">
        <v>405</v>
      </c>
      <c r="N484" s="15">
        <f t="shared" si="94"/>
        <v>8</v>
      </c>
      <c r="O484" s="15">
        <f>INDEX(卡牌消耗!$H$13:$H$33,世界BOSS专属武器!N484)</f>
        <v>1501008</v>
      </c>
      <c r="P484" s="49" t="s">
        <v>480</v>
      </c>
      <c r="Q484" s="15">
        <f t="shared" si="95"/>
        <v>47</v>
      </c>
      <c r="R484" s="49" t="str">
        <f t="shared" si="96"/>
        <v>金币</v>
      </c>
      <c r="S484" s="15">
        <f t="shared" si="97"/>
        <v>20000</v>
      </c>
      <c r="T484" s="15" t="str">
        <f t="shared" si="98"/>
        <v>高级专属强化石</v>
      </c>
      <c r="U484" s="15">
        <f t="shared" si="99"/>
        <v>8</v>
      </c>
      <c r="V484" s="15" t="str">
        <f t="shared" si="100"/>
        <v>[x]</v>
      </c>
      <c r="W484" s="15" t="str">
        <f t="shared" si="101"/>
        <v>[x]</v>
      </c>
      <c r="X484" s="15">
        <f t="shared" si="102"/>
        <v>0.1</v>
      </c>
      <c r="Y484" s="15">
        <f t="shared" si="103"/>
        <v>1</v>
      </c>
      <c r="Z484" s="15">
        <f t="shared" si="104"/>
        <v>80</v>
      </c>
      <c r="AA484" s="15">
        <f t="shared" si="105"/>
        <v>0.9</v>
      </c>
    </row>
    <row r="485" spans="13:27" ht="16.5" x14ac:dyDescent="0.2">
      <c r="M485" s="15">
        <v>406</v>
      </c>
      <c r="N485" s="15">
        <f t="shared" si="94"/>
        <v>8</v>
      </c>
      <c r="O485" s="15">
        <f>INDEX(卡牌消耗!$H$13:$H$33,世界BOSS专属武器!N485)</f>
        <v>1501008</v>
      </c>
      <c r="P485" s="49" t="s">
        <v>480</v>
      </c>
      <c r="Q485" s="15">
        <f t="shared" si="95"/>
        <v>48</v>
      </c>
      <c r="R485" s="49" t="str">
        <f t="shared" si="96"/>
        <v>金币</v>
      </c>
      <c r="S485" s="15">
        <f t="shared" si="97"/>
        <v>20000</v>
      </c>
      <c r="T485" s="15" t="str">
        <f t="shared" si="98"/>
        <v>高级专属强化石</v>
      </c>
      <c r="U485" s="15">
        <f t="shared" si="99"/>
        <v>9</v>
      </c>
      <c r="V485" s="15" t="str">
        <f t="shared" si="100"/>
        <v>[x]</v>
      </c>
      <c r="W485" s="15" t="str">
        <f t="shared" si="101"/>
        <v>[x]</v>
      </c>
      <c r="X485" s="15">
        <f t="shared" si="102"/>
        <v>0.1</v>
      </c>
      <c r="Y485" s="15">
        <f t="shared" si="103"/>
        <v>1</v>
      </c>
      <c r="Z485" s="15">
        <f t="shared" si="104"/>
        <v>100</v>
      </c>
      <c r="AA485" s="15">
        <f t="shared" si="105"/>
        <v>0.93330000000000002</v>
      </c>
    </row>
    <row r="486" spans="13:27" ht="16.5" x14ac:dyDescent="0.2">
      <c r="M486" s="15">
        <v>407</v>
      </c>
      <c r="N486" s="15">
        <f t="shared" si="94"/>
        <v>8</v>
      </c>
      <c r="O486" s="15">
        <f>INDEX(卡牌消耗!$H$13:$H$33,世界BOSS专属武器!N486)</f>
        <v>1501008</v>
      </c>
      <c r="P486" s="49" t="s">
        <v>480</v>
      </c>
      <c r="Q486" s="15">
        <f t="shared" si="95"/>
        <v>49</v>
      </c>
      <c r="R486" s="49" t="str">
        <f t="shared" si="96"/>
        <v>金币</v>
      </c>
      <c r="S486" s="15">
        <f t="shared" si="97"/>
        <v>20000</v>
      </c>
      <c r="T486" s="15" t="str">
        <f t="shared" si="98"/>
        <v>高级专属强化石</v>
      </c>
      <c r="U486" s="15">
        <f t="shared" si="99"/>
        <v>10</v>
      </c>
      <c r="V486" s="15" t="str">
        <f t="shared" si="100"/>
        <v>[x]</v>
      </c>
      <c r="W486" s="15" t="str">
        <f t="shared" si="101"/>
        <v>[x]</v>
      </c>
      <c r="X486" s="15">
        <f t="shared" si="102"/>
        <v>0.1</v>
      </c>
      <c r="Y486" s="15">
        <f t="shared" si="103"/>
        <v>1</v>
      </c>
      <c r="Z486" s="15">
        <f t="shared" si="104"/>
        <v>120</v>
      </c>
      <c r="AA486" s="15">
        <f t="shared" si="105"/>
        <v>0.9667</v>
      </c>
    </row>
    <row r="487" spans="13:27" ht="16.5" x14ac:dyDescent="0.2">
      <c r="M487" s="15">
        <v>408</v>
      </c>
      <c r="N487" s="15">
        <f t="shared" si="94"/>
        <v>8</v>
      </c>
      <c r="O487" s="15">
        <f>INDEX(卡牌消耗!$H$13:$H$33,世界BOSS专属武器!N487)</f>
        <v>1501008</v>
      </c>
      <c r="P487" s="49" t="s">
        <v>480</v>
      </c>
      <c r="Q487" s="15">
        <f t="shared" si="95"/>
        <v>50</v>
      </c>
      <c r="R487" s="49" t="str">
        <f t="shared" si="96"/>
        <v>金币</v>
      </c>
      <c r="S487" s="15">
        <f t="shared" si="97"/>
        <v>20000</v>
      </c>
      <c r="T487" s="15" t="str">
        <f t="shared" si="98"/>
        <v>高级专属强化石</v>
      </c>
      <c r="U487" s="15">
        <f t="shared" si="99"/>
        <v>15</v>
      </c>
      <c r="V487" s="15" t="str">
        <f t="shared" si="100"/>
        <v>[x]</v>
      </c>
      <c r="W487" s="15" t="str">
        <f t="shared" si="101"/>
        <v>[x]</v>
      </c>
      <c r="X487" s="15">
        <f t="shared" si="102"/>
        <v>0.1</v>
      </c>
      <c r="Y487" s="15">
        <f t="shared" si="103"/>
        <v>1</v>
      </c>
      <c r="Z487" s="15">
        <f t="shared" si="104"/>
        <v>150</v>
      </c>
      <c r="AA487" s="15">
        <f t="shared" si="105"/>
        <v>1</v>
      </c>
    </row>
    <row r="488" spans="13:27" ht="16.5" x14ac:dyDescent="0.2">
      <c r="M488" s="15">
        <v>409</v>
      </c>
      <c r="N488" s="15">
        <f t="shared" si="94"/>
        <v>9</v>
      </c>
      <c r="O488" s="15">
        <f>INDEX(卡牌消耗!$H$13:$H$33,世界BOSS专属武器!N488)</f>
        <v>1501009</v>
      </c>
      <c r="P488" s="49" t="s">
        <v>480</v>
      </c>
      <c r="Q488" s="15">
        <f t="shared" si="95"/>
        <v>0</v>
      </c>
      <c r="R488" s="49" t="str">
        <f t="shared" si="96"/>
        <v>[x]</v>
      </c>
      <c r="S488" s="15" t="str">
        <f t="shared" si="97"/>
        <v>[x]</v>
      </c>
      <c r="T488" s="15" t="str">
        <f t="shared" si="98"/>
        <v>[x]</v>
      </c>
      <c r="U488" s="15" t="str">
        <f t="shared" si="99"/>
        <v>[x]</v>
      </c>
      <c r="V488" s="15" t="str">
        <f t="shared" si="100"/>
        <v>[x]</v>
      </c>
      <c r="W488" s="15" t="str">
        <f t="shared" si="101"/>
        <v>[x]</v>
      </c>
      <c r="X488" s="15" t="str">
        <f t="shared" si="102"/>
        <v>[x]</v>
      </c>
      <c r="Y488" s="15" t="str">
        <f t="shared" si="103"/>
        <v>[x]</v>
      </c>
      <c r="Z488" s="15" t="str">
        <f t="shared" si="104"/>
        <v>[x]</v>
      </c>
      <c r="AA488" s="15" t="str">
        <f t="shared" si="105"/>
        <v>[x]</v>
      </c>
    </row>
    <row r="489" spans="13:27" ht="16.5" x14ac:dyDescent="0.2">
      <c r="M489" s="15">
        <v>410</v>
      </c>
      <c r="N489" s="15">
        <f t="shared" si="94"/>
        <v>9</v>
      </c>
      <c r="O489" s="15">
        <f>INDEX(卡牌消耗!$H$13:$H$33,世界BOSS专属武器!N489)</f>
        <v>1501009</v>
      </c>
      <c r="P489" s="49" t="s">
        <v>480</v>
      </c>
      <c r="Q489" s="15">
        <f t="shared" si="95"/>
        <v>1</v>
      </c>
      <c r="R489" s="49" t="str">
        <f t="shared" si="96"/>
        <v>金币</v>
      </c>
      <c r="S489" s="15">
        <f t="shared" si="97"/>
        <v>100</v>
      </c>
      <c r="T489" s="15" t="str">
        <f t="shared" si="98"/>
        <v>低级专属强化石</v>
      </c>
      <c r="U489" s="15">
        <f t="shared" si="99"/>
        <v>1</v>
      </c>
      <c r="V489" s="15" t="str">
        <f t="shared" si="100"/>
        <v>[x]</v>
      </c>
      <c r="W489" s="15" t="str">
        <f t="shared" si="101"/>
        <v>[x]</v>
      </c>
      <c r="X489" s="15">
        <f t="shared" si="102"/>
        <v>1</v>
      </c>
      <c r="Y489" s="15">
        <f t="shared" si="103"/>
        <v>1</v>
      </c>
      <c r="Z489" s="15">
        <f t="shared" si="104"/>
        <v>1</v>
      </c>
      <c r="AA489" s="15">
        <f t="shared" si="105"/>
        <v>6.7000000000000002E-3</v>
      </c>
    </row>
    <row r="490" spans="13:27" ht="16.5" x14ac:dyDescent="0.2">
      <c r="M490" s="15">
        <v>411</v>
      </c>
      <c r="N490" s="15">
        <f t="shared" si="94"/>
        <v>9</v>
      </c>
      <c r="O490" s="15">
        <f>INDEX(卡牌消耗!$H$13:$H$33,世界BOSS专属武器!N490)</f>
        <v>1501009</v>
      </c>
      <c r="P490" s="49" t="s">
        <v>480</v>
      </c>
      <c r="Q490" s="15">
        <f t="shared" si="95"/>
        <v>2</v>
      </c>
      <c r="R490" s="49" t="str">
        <f t="shared" si="96"/>
        <v>金币</v>
      </c>
      <c r="S490" s="15">
        <f t="shared" si="97"/>
        <v>200</v>
      </c>
      <c r="T490" s="15" t="str">
        <f t="shared" si="98"/>
        <v>低级专属强化石</v>
      </c>
      <c r="U490" s="15">
        <f t="shared" si="99"/>
        <v>1</v>
      </c>
      <c r="V490" s="15" t="str">
        <f t="shared" si="100"/>
        <v>[x]</v>
      </c>
      <c r="W490" s="15" t="str">
        <f t="shared" si="101"/>
        <v>[x]</v>
      </c>
      <c r="X490" s="15">
        <f t="shared" si="102"/>
        <v>0.5</v>
      </c>
      <c r="Y490" s="15">
        <f t="shared" si="103"/>
        <v>1</v>
      </c>
      <c r="Z490" s="15">
        <f t="shared" si="104"/>
        <v>2</v>
      </c>
      <c r="AA490" s="15">
        <f t="shared" si="105"/>
        <v>1.3299999999999999E-2</v>
      </c>
    </row>
    <row r="491" spans="13:27" ht="16.5" x14ac:dyDescent="0.2">
      <c r="M491" s="15">
        <v>412</v>
      </c>
      <c r="N491" s="15">
        <f t="shared" si="94"/>
        <v>9</v>
      </c>
      <c r="O491" s="15">
        <f>INDEX(卡牌消耗!$H$13:$H$33,世界BOSS专属武器!N491)</f>
        <v>1501009</v>
      </c>
      <c r="P491" s="49" t="s">
        <v>480</v>
      </c>
      <c r="Q491" s="15">
        <f t="shared" si="95"/>
        <v>3</v>
      </c>
      <c r="R491" s="49" t="str">
        <f t="shared" si="96"/>
        <v>金币</v>
      </c>
      <c r="S491" s="15">
        <f t="shared" si="97"/>
        <v>300</v>
      </c>
      <c r="T491" s="15" t="str">
        <f t="shared" si="98"/>
        <v>低级专属强化石</v>
      </c>
      <c r="U491" s="15">
        <f t="shared" si="99"/>
        <v>2</v>
      </c>
      <c r="V491" s="15" t="str">
        <f t="shared" si="100"/>
        <v>[x]</v>
      </c>
      <c r="W491" s="15" t="str">
        <f t="shared" si="101"/>
        <v>[x]</v>
      </c>
      <c r="X491" s="15">
        <f t="shared" si="102"/>
        <v>0.48</v>
      </c>
      <c r="Y491" s="15">
        <f t="shared" si="103"/>
        <v>1</v>
      </c>
      <c r="Z491" s="15">
        <f t="shared" si="104"/>
        <v>3</v>
      </c>
      <c r="AA491" s="15">
        <f t="shared" si="105"/>
        <v>0.02</v>
      </c>
    </row>
    <row r="492" spans="13:27" ht="16.5" x14ac:dyDescent="0.2">
      <c r="M492" s="15">
        <v>413</v>
      </c>
      <c r="N492" s="15">
        <f t="shared" si="94"/>
        <v>9</v>
      </c>
      <c r="O492" s="15">
        <f>INDEX(卡牌消耗!$H$13:$H$33,世界BOSS专属武器!N492)</f>
        <v>1501009</v>
      </c>
      <c r="P492" s="49" t="s">
        <v>480</v>
      </c>
      <c r="Q492" s="15">
        <f t="shared" si="95"/>
        <v>4</v>
      </c>
      <c r="R492" s="49" t="str">
        <f t="shared" si="96"/>
        <v>金币</v>
      </c>
      <c r="S492" s="15">
        <f t="shared" si="97"/>
        <v>400</v>
      </c>
      <c r="T492" s="15" t="str">
        <f t="shared" si="98"/>
        <v>低级专属强化石</v>
      </c>
      <c r="U492" s="15">
        <f t="shared" si="99"/>
        <v>3</v>
      </c>
      <c r="V492" s="15" t="str">
        <f t="shared" si="100"/>
        <v>[x]</v>
      </c>
      <c r="W492" s="15" t="str">
        <f t="shared" si="101"/>
        <v>[x]</v>
      </c>
      <c r="X492" s="15">
        <f t="shared" si="102"/>
        <v>0.46</v>
      </c>
      <c r="Y492" s="15">
        <f t="shared" si="103"/>
        <v>1</v>
      </c>
      <c r="Z492" s="15">
        <f t="shared" si="104"/>
        <v>3</v>
      </c>
      <c r="AA492" s="15">
        <f t="shared" si="105"/>
        <v>2.6700000000000002E-2</v>
      </c>
    </row>
    <row r="493" spans="13:27" ht="16.5" x14ac:dyDescent="0.2">
      <c r="M493" s="15">
        <v>414</v>
      </c>
      <c r="N493" s="15">
        <f t="shared" si="94"/>
        <v>9</v>
      </c>
      <c r="O493" s="15">
        <f>INDEX(卡牌消耗!$H$13:$H$33,世界BOSS专属武器!N493)</f>
        <v>1501009</v>
      </c>
      <c r="P493" s="49" t="s">
        <v>480</v>
      </c>
      <c r="Q493" s="15">
        <f t="shared" si="95"/>
        <v>5</v>
      </c>
      <c r="R493" s="49" t="str">
        <f t="shared" si="96"/>
        <v>金币</v>
      </c>
      <c r="S493" s="15">
        <f t="shared" si="97"/>
        <v>500</v>
      </c>
      <c r="T493" s="15" t="str">
        <f t="shared" si="98"/>
        <v>低级专属强化石</v>
      </c>
      <c r="U493" s="15">
        <f t="shared" si="99"/>
        <v>4</v>
      </c>
      <c r="V493" s="15" t="str">
        <f t="shared" si="100"/>
        <v>[x]</v>
      </c>
      <c r="W493" s="15" t="str">
        <f t="shared" si="101"/>
        <v>[x]</v>
      </c>
      <c r="X493" s="15">
        <f t="shared" si="102"/>
        <v>0.44</v>
      </c>
      <c r="Y493" s="15">
        <f t="shared" si="103"/>
        <v>1</v>
      </c>
      <c r="Z493" s="15">
        <f t="shared" si="104"/>
        <v>3</v>
      </c>
      <c r="AA493" s="15">
        <f t="shared" si="105"/>
        <v>3.3300000000000003E-2</v>
      </c>
    </row>
    <row r="494" spans="13:27" ht="16.5" x14ac:dyDescent="0.2">
      <c r="M494" s="15">
        <v>415</v>
      </c>
      <c r="N494" s="15">
        <f t="shared" si="94"/>
        <v>9</v>
      </c>
      <c r="O494" s="15">
        <f>INDEX(卡牌消耗!$H$13:$H$33,世界BOSS专属武器!N494)</f>
        <v>1501009</v>
      </c>
      <c r="P494" s="49" t="s">
        <v>480</v>
      </c>
      <c r="Q494" s="15">
        <f t="shared" si="95"/>
        <v>6</v>
      </c>
      <c r="R494" s="49" t="str">
        <f t="shared" si="96"/>
        <v>金币</v>
      </c>
      <c r="S494" s="15">
        <f t="shared" si="97"/>
        <v>600</v>
      </c>
      <c r="T494" s="15" t="str">
        <f t="shared" si="98"/>
        <v>低级专属强化石</v>
      </c>
      <c r="U494" s="15">
        <f t="shared" si="99"/>
        <v>5</v>
      </c>
      <c r="V494" s="15" t="str">
        <f t="shared" si="100"/>
        <v>[x]</v>
      </c>
      <c r="W494" s="15" t="str">
        <f t="shared" si="101"/>
        <v>[x]</v>
      </c>
      <c r="X494" s="15">
        <f t="shared" si="102"/>
        <v>0.42</v>
      </c>
      <c r="Y494" s="15">
        <f t="shared" si="103"/>
        <v>1</v>
      </c>
      <c r="Z494" s="15">
        <f t="shared" si="104"/>
        <v>4</v>
      </c>
      <c r="AA494" s="15">
        <f t="shared" si="105"/>
        <v>0.04</v>
      </c>
    </row>
    <row r="495" spans="13:27" ht="16.5" x14ac:dyDescent="0.2">
      <c r="M495" s="15">
        <v>416</v>
      </c>
      <c r="N495" s="15">
        <f t="shared" si="94"/>
        <v>9</v>
      </c>
      <c r="O495" s="15">
        <f>INDEX(卡牌消耗!$H$13:$H$33,世界BOSS专属武器!N495)</f>
        <v>1501009</v>
      </c>
      <c r="P495" s="49" t="s">
        <v>480</v>
      </c>
      <c r="Q495" s="15">
        <f t="shared" si="95"/>
        <v>7</v>
      </c>
      <c r="R495" s="49" t="str">
        <f t="shared" si="96"/>
        <v>金币</v>
      </c>
      <c r="S495" s="15">
        <f t="shared" si="97"/>
        <v>700</v>
      </c>
      <c r="T495" s="15" t="str">
        <f t="shared" si="98"/>
        <v>低级专属强化石</v>
      </c>
      <c r="U495" s="15">
        <f t="shared" si="99"/>
        <v>5</v>
      </c>
      <c r="V495" s="15" t="str">
        <f t="shared" si="100"/>
        <v>[x]</v>
      </c>
      <c r="W495" s="15" t="str">
        <f t="shared" si="101"/>
        <v>[x]</v>
      </c>
      <c r="X495" s="15">
        <f t="shared" si="102"/>
        <v>0.4</v>
      </c>
      <c r="Y495" s="15">
        <f t="shared" si="103"/>
        <v>1</v>
      </c>
      <c r="Z495" s="15">
        <f t="shared" si="104"/>
        <v>4</v>
      </c>
      <c r="AA495" s="15">
        <f t="shared" si="105"/>
        <v>4.6699999999999998E-2</v>
      </c>
    </row>
    <row r="496" spans="13:27" ht="16.5" x14ac:dyDescent="0.2">
      <c r="M496" s="15">
        <v>417</v>
      </c>
      <c r="N496" s="15">
        <f t="shared" si="94"/>
        <v>9</v>
      </c>
      <c r="O496" s="15">
        <f>INDEX(卡牌消耗!$H$13:$H$33,世界BOSS专属武器!N496)</f>
        <v>1501009</v>
      </c>
      <c r="P496" s="49" t="s">
        <v>480</v>
      </c>
      <c r="Q496" s="15">
        <f t="shared" si="95"/>
        <v>8</v>
      </c>
      <c r="R496" s="49" t="str">
        <f t="shared" si="96"/>
        <v>金币</v>
      </c>
      <c r="S496" s="15">
        <f t="shared" si="97"/>
        <v>800</v>
      </c>
      <c r="T496" s="15" t="str">
        <f t="shared" si="98"/>
        <v>低级专属强化石</v>
      </c>
      <c r="U496" s="15">
        <f t="shared" si="99"/>
        <v>5</v>
      </c>
      <c r="V496" s="15" t="str">
        <f t="shared" si="100"/>
        <v>[x]</v>
      </c>
      <c r="W496" s="15" t="str">
        <f t="shared" si="101"/>
        <v>[x]</v>
      </c>
      <c r="X496" s="15">
        <f t="shared" si="102"/>
        <v>0.38</v>
      </c>
      <c r="Y496" s="15">
        <f t="shared" si="103"/>
        <v>1</v>
      </c>
      <c r="Z496" s="15">
        <f t="shared" si="104"/>
        <v>5</v>
      </c>
      <c r="AA496" s="15">
        <f t="shared" si="105"/>
        <v>5.33E-2</v>
      </c>
    </row>
    <row r="497" spans="13:27" ht="16.5" x14ac:dyDescent="0.2">
      <c r="M497" s="15">
        <v>418</v>
      </c>
      <c r="N497" s="15">
        <f t="shared" si="94"/>
        <v>9</v>
      </c>
      <c r="O497" s="15">
        <f>INDEX(卡牌消耗!$H$13:$H$33,世界BOSS专属武器!N497)</f>
        <v>1501009</v>
      </c>
      <c r="P497" s="49" t="s">
        <v>480</v>
      </c>
      <c r="Q497" s="15">
        <f t="shared" si="95"/>
        <v>9</v>
      </c>
      <c r="R497" s="49" t="str">
        <f t="shared" si="96"/>
        <v>金币</v>
      </c>
      <c r="S497" s="15">
        <f t="shared" si="97"/>
        <v>900</v>
      </c>
      <c r="T497" s="15" t="str">
        <f t="shared" si="98"/>
        <v>低级专属强化石</v>
      </c>
      <c r="U497" s="15">
        <f t="shared" si="99"/>
        <v>5</v>
      </c>
      <c r="V497" s="15" t="str">
        <f t="shared" si="100"/>
        <v>[x]</v>
      </c>
      <c r="W497" s="15" t="str">
        <f t="shared" si="101"/>
        <v>[x]</v>
      </c>
      <c r="X497" s="15">
        <f t="shared" si="102"/>
        <v>0.36</v>
      </c>
      <c r="Y497" s="15">
        <f t="shared" si="103"/>
        <v>1</v>
      </c>
      <c r="Z497" s="15">
        <f t="shared" si="104"/>
        <v>5</v>
      </c>
      <c r="AA497" s="15">
        <f t="shared" si="105"/>
        <v>0.06</v>
      </c>
    </row>
    <row r="498" spans="13:27" ht="16.5" x14ac:dyDescent="0.2">
      <c r="M498" s="15">
        <v>419</v>
      </c>
      <c r="N498" s="15">
        <f t="shared" si="94"/>
        <v>9</v>
      </c>
      <c r="O498" s="15">
        <f>INDEX(卡牌消耗!$H$13:$H$33,世界BOSS专属武器!N498)</f>
        <v>1501009</v>
      </c>
      <c r="P498" s="49" t="s">
        <v>480</v>
      </c>
      <c r="Q498" s="15">
        <f t="shared" si="95"/>
        <v>10</v>
      </c>
      <c r="R498" s="49" t="str">
        <f t="shared" si="96"/>
        <v>金币</v>
      </c>
      <c r="S498" s="15">
        <f t="shared" si="97"/>
        <v>1000</v>
      </c>
      <c r="T498" s="15" t="str">
        <f t="shared" si="98"/>
        <v>低级专属强化石</v>
      </c>
      <c r="U498" s="15">
        <f t="shared" si="99"/>
        <v>7</v>
      </c>
      <c r="V498" s="15" t="str">
        <f t="shared" si="100"/>
        <v>[x]</v>
      </c>
      <c r="W498" s="15" t="str">
        <f t="shared" si="101"/>
        <v>[x]</v>
      </c>
      <c r="X498" s="15">
        <f t="shared" si="102"/>
        <v>0.35</v>
      </c>
      <c r="Y498" s="15">
        <f t="shared" si="103"/>
        <v>1</v>
      </c>
      <c r="Z498" s="15">
        <f t="shared" si="104"/>
        <v>5</v>
      </c>
      <c r="AA498" s="15">
        <f t="shared" si="105"/>
        <v>6.6699999999999995E-2</v>
      </c>
    </row>
    <row r="499" spans="13:27" ht="16.5" x14ac:dyDescent="0.2">
      <c r="M499" s="15">
        <v>420</v>
      </c>
      <c r="N499" s="15">
        <f t="shared" si="94"/>
        <v>9</v>
      </c>
      <c r="O499" s="15">
        <f>INDEX(卡牌消耗!$H$13:$H$33,世界BOSS专属武器!N499)</f>
        <v>1501009</v>
      </c>
      <c r="P499" s="49" t="s">
        <v>480</v>
      </c>
      <c r="Q499" s="15">
        <f t="shared" si="95"/>
        <v>11</v>
      </c>
      <c r="R499" s="49" t="str">
        <f t="shared" si="96"/>
        <v>金币</v>
      </c>
      <c r="S499" s="15">
        <f t="shared" si="97"/>
        <v>1000</v>
      </c>
      <c r="T499" s="15" t="str">
        <f t="shared" si="98"/>
        <v>低级专属强化石</v>
      </c>
      <c r="U499" s="15">
        <f t="shared" si="99"/>
        <v>7</v>
      </c>
      <c r="V499" s="15" t="str">
        <f t="shared" si="100"/>
        <v>[x]</v>
      </c>
      <c r="W499" s="15" t="str">
        <f t="shared" si="101"/>
        <v>[x]</v>
      </c>
      <c r="X499" s="15">
        <f t="shared" si="102"/>
        <v>0.33</v>
      </c>
      <c r="Y499" s="15">
        <f t="shared" si="103"/>
        <v>1</v>
      </c>
      <c r="Z499" s="15">
        <f t="shared" si="104"/>
        <v>6</v>
      </c>
      <c r="AA499" s="15">
        <f t="shared" si="105"/>
        <v>0.08</v>
      </c>
    </row>
    <row r="500" spans="13:27" ht="16.5" x14ac:dyDescent="0.2">
      <c r="M500" s="15">
        <v>421</v>
      </c>
      <c r="N500" s="15">
        <f t="shared" si="94"/>
        <v>9</v>
      </c>
      <c r="O500" s="15">
        <f>INDEX(卡牌消耗!$H$13:$H$33,世界BOSS专属武器!N500)</f>
        <v>1501009</v>
      </c>
      <c r="P500" s="49" t="s">
        <v>480</v>
      </c>
      <c r="Q500" s="15">
        <f t="shared" si="95"/>
        <v>12</v>
      </c>
      <c r="R500" s="49" t="str">
        <f t="shared" si="96"/>
        <v>金币</v>
      </c>
      <c r="S500" s="15">
        <f t="shared" si="97"/>
        <v>1000</v>
      </c>
      <c r="T500" s="15" t="str">
        <f t="shared" si="98"/>
        <v>低级专属强化石</v>
      </c>
      <c r="U500" s="15">
        <f t="shared" si="99"/>
        <v>7</v>
      </c>
      <c r="V500" s="15" t="str">
        <f t="shared" si="100"/>
        <v>[x]</v>
      </c>
      <c r="W500" s="15" t="str">
        <f t="shared" si="101"/>
        <v>[x]</v>
      </c>
      <c r="X500" s="15">
        <f t="shared" si="102"/>
        <v>0.31</v>
      </c>
      <c r="Y500" s="15">
        <f t="shared" si="103"/>
        <v>1</v>
      </c>
      <c r="Z500" s="15">
        <f t="shared" si="104"/>
        <v>6</v>
      </c>
      <c r="AA500" s="15">
        <f t="shared" si="105"/>
        <v>9.3299999999999994E-2</v>
      </c>
    </row>
    <row r="501" spans="13:27" ht="16.5" x14ac:dyDescent="0.2">
      <c r="M501" s="15">
        <v>422</v>
      </c>
      <c r="N501" s="15">
        <f t="shared" si="94"/>
        <v>9</v>
      </c>
      <c r="O501" s="15">
        <f>INDEX(卡牌消耗!$H$13:$H$33,世界BOSS专属武器!N501)</f>
        <v>1501009</v>
      </c>
      <c r="P501" s="49" t="s">
        <v>480</v>
      </c>
      <c r="Q501" s="15">
        <f t="shared" si="95"/>
        <v>13</v>
      </c>
      <c r="R501" s="49" t="str">
        <f t="shared" si="96"/>
        <v>金币</v>
      </c>
      <c r="S501" s="15">
        <f t="shared" si="97"/>
        <v>1000</v>
      </c>
      <c r="T501" s="15" t="str">
        <f t="shared" si="98"/>
        <v>低级专属强化石</v>
      </c>
      <c r="U501" s="15">
        <f t="shared" si="99"/>
        <v>7</v>
      </c>
      <c r="V501" s="15" t="str">
        <f t="shared" si="100"/>
        <v>[x]</v>
      </c>
      <c r="W501" s="15" t="str">
        <f t="shared" si="101"/>
        <v>[x]</v>
      </c>
      <c r="X501" s="15">
        <f t="shared" si="102"/>
        <v>0.28999999999999998</v>
      </c>
      <c r="Y501" s="15">
        <f t="shared" si="103"/>
        <v>1</v>
      </c>
      <c r="Z501" s="15">
        <f t="shared" si="104"/>
        <v>7</v>
      </c>
      <c r="AA501" s="15">
        <f t="shared" si="105"/>
        <v>0.1067</v>
      </c>
    </row>
    <row r="502" spans="13:27" ht="16.5" x14ac:dyDescent="0.2">
      <c r="M502" s="15">
        <v>423</v>
      </c>
      <c r="N502" s="15">
        <f t="shared" si="94"/>
        <v>9</v>
      </c>
      <c r="O502" s="15">
        <f>INDEX(卡牌消耗!$H$13:$H$33,世界BOSS专属武器!N502)</f>
        <v>1501009</v>
      </c>
      <c r="P502" s="49" t="s">
        <v>480</v>
      </c>
      <c r="Q502" s="15">
        <f t="shared" si="95"/>
        <v>14</v>
      </c>
      <c r="R502" s="49" t="str">
        <f t="shared" si="96"/>
        <v>金币</v>
      </c>
      <c r="S502" s="15">
        <f t="shared" si="97"/>
        <v>1000</v>
      </c>
      <c r="T502" s="15" t="str">
        <f t="shared" si="98"/>
        <v>低级专属强化石</v>
      </c>
      <c r="U502" s="15">
        <f t="shared" si="99"/>
        <v>7</v>
      </c>
      <c r="V502" s="15" t="str">
        <f t="shared" si="100"/>
        <v>[x]</v>
      </c>
      <c r="W502" s="15" t="str">
        <f t="shared" si="101"/>
        <v>[x]</v>
      </c>
      <c r="X502" s="15">
        <f t="shared" si="102"/>
        <v>0.27</v>
      </c>
      <c r="Y502" s="15">
        <f t="shared" si="103"/>
        <v>1</v>
      </c>
      <c r="Z502" s="15">
        <f t="shared" si="104"/>
        <v>7</v>
      </c>
      <c r="AA502" s="15">
        <f t="shared" si="105"/>
        <v>0.12</v>
      </c>
    </row>
    <row r="503" spans="13:27" ht="16.5" x14ac:dyDescent="0.2">
      <c r="M503" s="15">
        <v>424</v>
      </c>
      <c r="N503" s="15">
        <f t="shared" si="94"/>
        <v>9</v>
      </c>
      <c r="O503" s="15">
        <f>INDEX(卡牌消耗!$H$13:$H$33,世界BOSS专属武器!N503)</f>
        <v>1501009</v>
      </c>
      <c r="P503" s="49" t="s">
        <v>480</v>
      </c>
      <c r="Q503" s="15">
        <f t="shared" si="95"/>
        <v>15</v>
      </c>
      <c r="R503" s="49" t="str">
        <f t="shared" si="96"/>
        <v>金币</v>
      </c>
      <c r="S503" s="15">
        <f t="shared" si="97"/>
        <v>1000</v>
      </c>
      <c r="T503" s="15" t="str">
        <f t="shared" si="98"/>
        <v>低级专属强化石</v>
      </c>
      <c r="U503" s="15">
        <f t="shared" si="99"/>
        <v>10</v>
      </c>
      <c r="V503" s="15" t="str">
        <f t="shared" si="100"/>
        <v>[x]</v>
      </c>
      <c r="W503" s="15" t="str">
        <f t="shared" si="101"/>
        <v>[x]</v>
      </c>
      <c r="X503" s="15">
        <f t="shared" si="102"/>
        <v>0.25</v>
      </c>
      <c r="Y503" s="15">
        <f t="shared" si="103"/>
        <v>1</v>
      </c>
      <c r="Z503" s="15">
        <f t="shared" si="104"/>
        <v>8</v>
      </c>
      <c r="AA503" s="15">
        <f t="shared" si="105"/>
        <v>0.1333</v>
      </c>
    </row>
    <row r="504" spans="13:27" ht="16.5" x14ac:dyDescent="0.2">
      <c r="M504" s="15">
        <v>425</v>
      </c>
      <c r="N504" s="15">
        <f t="shared" si="94"/>
        <v>9</v>
      </c>
      <c r="O504" s="15">
        <f>INDEX(卡牌消耗!$H$13:$H$33,世界BOSS专属武器!N504)</f>
        <v>1501009</v>
      </c>
      <c r="P504" s="49" t="s">
        <v>480</v>
      </c>
      <c r="Q504" s="15">
        <f t="shared" si="95"/>
        <v>16</v>
      </c>
      <c r="R504" s="49" t="str">
        <f t="shared" si="96"/>
        <v>金币</v>
      </c>
      <c r="S504" s="15">
        <f t="shared" si="97"/>
        <v>1000</v>
      </c>
      <c r="T504" s="15" t="str">
        <f t="shared" si="98"/>
        <v>低级专属强化石</v>
      </c>
      <c r="U504" s="15">
        <f t="shared" si="99"/>
        <v>10</v>
      </c>
      <c r="V504" s="15" t="str">
        <f t="shared" si="100"/>
        <v>[x]</v>
      </c>
      <c r="W504" s="15" t="str">
        <f t="shared" si="101"/>
        <v>[x]</v>
      </c>
      <c r="X504" s="15">
        <f t="shared" si="102"/>
        <v>0.23</v>
      </c>
      <c r="Y504" s="15">
        <f t="shared" si="103"/>
        <v>1</v>
      </c>
      <c r="Z504" s="15">
        <f t="shared" si="104"/>
        <v>9</v>
      </c>
      <c r="AA504" s="15">
        <f t="shared" si="105"/>
        <v>0.1467</v>
      </c>
    </row>
    <row r="505" spans="13:27" ht="16.5" x14ac:dyDescent="0.2">
      <c r="M505" s="15">
        <v>426</v>
      </c>
      <c r="N505" s="15">
        <f t="shared" si="94"/>
        <v>9</v>
      </c>
      <c r="O505" s="15">
        <f>INDEX(卡牌消耗!$H$13:$H$33,世界BOSS专属武器!N505)</f>
        <v>1501009</v>
      </c>
      <c r="P505" s="49" t="s">
        <v>480</v>
      </c>
      <c r="Q505" s="15">
        <f t="shared" si="95"/>
        <v>17</v>
      </c>
      <c r="R505" s="49" t="str">
        <f t="shared" si="96"/>
        <v>金币</v>
      </c>
      <c r="S505" s="15">
        <f t="shared" si="97"/>
        <v>1000</v>
      </c>
      <c r="T505" s="15" t="str">
        <f t="shared" si="98"/>
        <v>低级专属强化石</v>
      </c>
      <c r="U505" s="15">
        <f t="shared" si="99"/>
        <v>10</v>
      </c>
      <c r="V505" s="15" t="str">
        <f t="shared" si="100"/>
        <v>[x]</v>
      </c>
      <c r="W505" s="15" t="str">
        <f t="shared" si="101"/>
        <v>[x]</v>
      </c>
      <c r="X505" s="15">
        <f t="shared" si="102"/>
        <v>0.21</v>
      </c>
      <c r="Y505" s="15">
        <f t="shared" si="103"/>
        <v>1</v>
      </c>
      <c r="Z505" s="15">
        <f t="shared" si="104"/>
        <v>10</v>
      </c>
      <c r="AA505" s="15">
        <f t="shared" si="105"/>
        <v>0.16</v>
      </c>
    </row>
    <row r="506" spans="13:27" ht="16.5" x14ac:dyDescent="0.2">
      <c r="M506" s="15">
        <v>427</v>
      </c>
      <c r="N506" s="15">
        <f t="shared" si="94"/>
        <v>9</v>
      </c>
      <c r="O506" s="15">
        <f>INDEX(卡牌消耗!$H$13:$H$33,世界BOSS专属武器!N506)</f>
        <v>1501009</v>
      </c>
      <c r="P506" s="49" t="s">
        <v>480</v>
      </c>
      <c r="Q506" s="15">
        <f t="shared" si="95"/>
        <v>18</v>
      </c>
      <c r="R506" s="49" t="str">
        <f t="shared" si="96"/>
        <v>金币</v>
      </c>
      <c r="S506" s="15">
        <f t="shared" si="97"/>
        <v>1000</v>
      </c>
      <c r="T506" s="15" t="str">
        <f t="shared" si="98"/>
        <v>低级专属强化石</v>
      </c>
      <c r="U506" s="15">
        <f t="shared" si="99"/>
        <v>10</v>
      </c>
      <c r="V506" s="15" t="str">
        <f t="shared" si="100"/>
        <v>[x]</v>
      </c>
      <c r="W506" s="15" t="str">
        <f t="shared" si="101"/>
        <v>[x]</v>
      </c>
      <c r="X506" s="15">
        <f t="shared" si="102"/>
        <v>0.19</v>
      </c>
      <c r="Y506" s="15">
        <f t="shared" si="103"/>
        <v>1</v>
      </c>
      <c r="Z506" s="15">
        <f t="shared" si="104"/>
        <v>11</v>
      </c>
      <c r="AA506" s="15">
        <f t="shared" si="105"/>
        <v>0.17330000000000001</v>
      </c>
    </row>
    <row r="507" spans="13:27" ht="16.5" x14ac:dyDescent="0.2">
      <c r="M507" s="15">
        <v>428</v>
      </c>
      <c r="N507" s="15">
        <f t="shared" si="94"/>
        <v>9</v>
      </c>
      <c r="O507" s="15">
        <f>INDEX(卡牌消耗!$H$13:$H$33,世界BOSS专属武器!N507)</f>
        <v>1501009</v>
      </c>
      <c r="P507" s="49" t="s">
        <v>480</v>
      </c>
      <c r="Q507" s="15">
        <f t="shared" si="95"/>
        <v>19</v>
      </c>
      <c r="R507" s="49" t="str">
        <f t="shared" si="96"/>
        <v>金币</v>
      </c>
      <c r="S507" s="15">
        <f t="shared" si="97"/>
        <v>1000</v>
      </c>
      <c r="T507" s="15" t="str">
        <f t="shared" si="98"/>
        <v>低级专属强化石</v>
      </c>
      <c r="U507" s="15">
        <f t="shared" si="99"/>
        <v>10</v>
      </c>
      <c r="V507" s="15" t="str">
        <f t="shared" si="100"/>
        <v>[x]</v>
      </c>
      <c r="W507" s="15" t="str">
        <f t="shared" si="101"/>
        <v>[x]</v>
      </c>
      <c r="X507" s="15">
        <f t="shared" si="102"/>
        <v>0.17</v>
      </c>
      <c r="Y507" s="15">
        <f t="shared" si="103"/>
        <v>1</v>
      </c>
      <c r="Z507" s="15">
        <f t="shared" si="104"/>
        <v>12</v>
      </c>
      <c r="AA507" s="15">
        <f t="shared" si="105"/>
        <v>0.1867</v>
      </c>
    </row>
    <row r="508" spans="13:27" ht="16.5" x14ac:dyDescent="0.2">
      <c r="M508" s="15">
        <v>429</v>
      </c>
      <c r="N508" s="15">
        <f t="shared" si="94"/>
        <v>9</v>
      </c>
      <c r="O508" s="15">
        <f>INDEX(卡牌消耗!$H$13:$H$33,世界BOSS专属武器!N508)</f>
        <v>1501009</v>
      </c>
      <c r="P508" s="49" t="s">
        <v>480</v>
      </c>
      <c r="Q508" s="15">
        <f t="shared" si="95"/>
        <v>20</v>
      </c>
      <c r="R508" s="49" t="str">
        <f t="shared" si="96"/>
        <v>金币</v>
      </c>
      <c r="S508" s="15">
        <f t="shared" si="97"/>
        <v>5000</v>
      </c>
      <c r="T508" s="15" t="str">
        <f t="shared" si="98"/>
        <v>低级专属强化石</v>
      </c>
      <c r="U508" s="15">
        <f t="shared" si="99"/>
        <v>15</v>
      </c>
      <c r="V508" s="15" t="str">
        <f t="shared" si="100"/>
        <v>中级专属强化石</v>
      </c>
      <c r="W508" s="15">
        <f t="shared" si="101"/>
        <v>7</v>
      </c>
      <c r="X508" s="15">
        <f t="shared" si="102"/>
        <v>0.15</v>
      </c>
      <c r="Y508" s="15">
        <f t="shared" si="103"/>
        <v>1</v>
      </c>
      <c r="Z508" s="15">
        <f t="shared" si="104"/>
        <v>15</v>
      </c>
      <c r="AA508" s="15">
        <f t="shared" si="105"/>
        <v>0.2</v>
      </c>
    </row>
    <row r="509" spans="13:27" ht="16.5" x14ac:dyDescent="0.2">
      <c r="M509" s="15">
        <v>430</v>
      </c>
      <c r="N509" s="15">
        <f t="shared" si="94"/>
        <v>9</v>
      </c>
      <c r="O509" s="15">
        <f>INDEX(卡牌消耗!$H$13:$H$33,世界BOSS专属武器!N509)</f>
        <v>1501009</v>
      </c>
      <c r="P509" s="49" t="s">
        <v>480</v>
      </c>
      <c r="Q509" s="15">
        <f t="shared" si="95"/>
        <v>21</v>
      </c>
      <c r="R509" s="49" t="str">
        <f t="shared" si="96"/>
        <v>金币</v>
      </c>
      <c r="S509" s="15">
        <f t="shared" si="97"/>
        <v>5000</v>
      </c>
      <c r="T509" s="15" t="str">
        <f t="shared" si="98"/>
        <v>低级专属强化石</v>
      </c>
      <c r="U509" s="15">
        <f t="shared" si="99"/>
        <v>15</v>
      </c>
      <c r="V509" s="15" t="str">
        <f t="shared" si="100"/>
        <v>中级专属强化石</v>
      </c>
      <c r="W509" s="15">
        <f t="shared" si="101"/>
        <v>7</v>
      </c>
      <c r="X509" s="15">
        <f t="shared" si="102"/>
        <v>0.15</v>
      </c>
      <c r="Y509" s="15">
        <f t="shared" si="103"/>
        <v>1</v>
      </c>
      <c r="Z509" s="15">
        <f t="shared" si="104"/>
        <v>15</v>
      </c>
      <c r="AA509" s="15">
        <f t="shared" si="105"/>
        <v>0.22</v>
      </c>
    </row>
    <row r="510" spans="13:27" ht="16.5" x14ac:dyDescent="0.2">
      <c r="M510" s="15">
        <v>431</v>
      </c>
      <c r="N510" s="15">
        <f t="shared" si="94"/>
        <v>9</v>
      </c>
      <c r="O510" s="15">
        <f>INDEX(卡牌消耗!$H$13:$H$33,世界BOSS专属武器!N510)</f>
        <v>1501009</v>
      </c>
      <c r="P510" s="49" t="s">
        <v>480</v>
      </c>
      <c r="Q510" s="15">
        <f t="shared" si="95"/>
        <v>22</v>
      </c>
      <c r="R510" s="49" t="str">
        <f t="shared" si="96"/>
        <v>金币</v>
      </c>
      <c r="S510" s="15">
        <f t="shared" si="97"/>
        <v>5000</v>
      </c>
      <c r="T510" s="15" t="str">
        <f t="shared" si="98"/>
        <v>低级专属强化石</v>
      </c>
      <c r="U510" s="15">
        <f t="shared" si="99"/>
        <v>15</v>
      </c>
      <c r="V510" s="15" t="str">
        <f t="shared" si="100"/>
        <v>中级专属强化石</v>
      </c>
      <c r="W510" s="15">
        <f t="shared" si="101"/>
        <v>7</v>
      </c>
      <c r="X510" s="15">
        <f t="shared" si="102"/>
        <v>0.15</v>
      </c>
      <c r="Y510" s="15">
        <f t="shared" si="103"/>
        <v>1</v>
      </c>
      <c r="Z510" s="15">
        <f t="shared" si="104"/>
        <v>15</v>
      </c>
      <c r="AA510" s="15">
        <f t="shared" si="105"/>
        <v>0.24</v>
      </c>
    </row>
    <row r="511" spans="13:27" ht="16.5" x14ac:dyDescent="0.2">
      <c r="M511" s="15">
        <v>432</v>
      </c>
      <c r="N511" s="15">
        <f t="shared" si="94"/>
        <v>9</v>
      </c>
      <c r="O511" s="15">
        <f>INDEX(卡牌消耗!$H$13:$H$33,世界BOSS专属武器!N511)</f>
        <v>1501009</v>
      </c>
      <c r="P511" s="49" t="s">
        <v>480</v>
      </c>
      <c r="Q511" s="15">
        <f t="shared" si="95"/>
        <v>23</v>
      </c>
      <c r="R511" s="49" t="str">
        <f t="shared" si="96"/>
        <v>金币</v>
      </c>
      <c r="S511" s="15">
        <f t="shared" si="97"/>
        <v>5000</v>
      </c>
      <c r="T511" s="15" t="str">
        <f t="shared" si="98"/>
        <v>低级专属强化石</v>
      </c>
      <c r="U511" s="15">
        <f t="shared" si="99"/>
        <v>15</v>
      </c>
      <c r="V511" s="15" t="str">
        <f t="shared" si="100"/>
        <v>中级专属强化石</v>
      </c>
      <c r="W511" s="15">
        <f t="shared" si="101"/>
        <v>7</v>
      </c>
      <c r="X511" s="15">
        <f t="shared" si="102"/>
        <v>0.15</v>
      </c>
      <c r="Y511" s="15">
        <f t="shared" si="103"/>
        <v>1</v>
      </c>
      <c r="Z511" s="15">
        <f t="shared" si="104"/>
        <v>18</v>
      </c>
      <c r="AA511" s="15">
        <f t="shared" si="105"/>
        <v>0.26</v>
      </c>
    </row>
    <row r="512" spans="13:27" ht="16.5" x14ac:dyDescent="0.2">
      <c r="M512" s="15">
        <v>433</v>
      </c>
      <c r="N512" s="15">
        <f t="shared" si="94"/>
        <v>9</v>
      </c>
      <c r="O512" s="15">
        <f>INDEX(卡牌消耗!$H$13:$H$33,世界BOSS专属武器!N512)</f>
        <v>1501009</v>
      </c>
      <c r="P512" s="49" t="s">
        <v>480</v>
      </c>
      <c r="Q512" s="15">
        <f t="shared" si="95"/>
        <v>24</v>
      </c>
      <c r="R512" s="49" t="str">
        <f t="shared" si="96"/>
        <v>金币</v>
      </c>
      <c r="S512" s="15">
        <f t="shared" si="97"/>
        <v>5000</v>
      </c>
      <c r="T512" s="15" t="str">
        <f t="shared" si="98"/>
        <v>低级专属强化石</v>
      </c>
      <c r="U512" s="15">
        <f t="shared" si="99"/>
        <v>15</v>
      </c>
      <c r="V512" s="15" t="str">
        <f t="shared" si="100"/>
        <v>中级专属强化石</v>
      </c>
      <c r="W512" s="15">
        <f t="shared" si="101"/>
        <v>7</v>
      </c>
      <c r="X512" s="15">
        <f t="shared" si="102"/>
        <v>0.15</v>
      </c>
      <c r="Y512" s="15">
        <f t="shared" si="103"/>
        <v>1</v>
      </c>
      <c r="Z512" s="15">
        <f t="shared" si="104"/>
        <v>18</v>
      </c>
      <c r="AA512" s="15">
        <f t="shared" si="105"/>
        <v>0.28000000000000003</v>
      </c>
    </row>
    <row r="513" spans="13:27" ht="16.5" x14ac:dyDescent="0.2">
      <c r="M513" s="15">
        <v>434</v>
      </c>
      <c r="N513" s="15">
        <f t="shared" si="94"/>
        <v>9</v>
      </c>
      <c r="O513" s="15">
        <f>INDEX(卡牌消耗!$H$13:$H$33,世界BOSS专属武器!N513)</f>
        <v>1501009</v>
      </c>
      <c r="P513" s="49" t="s">
        <v>480</v>
      </c>
      <c r="Q513" s="15">
        <f t="shared" si="95"/>
        <v>25</v>
      </c>
      <c r="R513" s="49" t="str">
        <f t="shared" si="96"/>
        <v>金币</v>
      </c>
      <c r="S513" s="15">
        <f t="shared" si="97"/>
        <v>5000</v>
      </c>
      <c r="T513" s="15" t="str">
        <f t="shared" si="98"/>
        <v>低级专属强化石</v>
      </c>
      <c r="U513" s="15">
        <f t="shared" si="99"/>
        <v>15</v>
      </c>
      <c r="V513" s="15" t="str">
        <f t="shared" si="100"/>
        <v>中级专属强化石</v>
      </c>
      <c r="W513" s="15">
        <f t="shared" si="101"/>
        <v>7</v>
      </c>
      <c r="X513" s="15">
        <f t="shared" si="102"/>
        <v>0.15</v>
      </c>
      <c r="Y513" s="15">
        <f t="shared" si="103"/>
        <v>1</v>
      </c>
      <c r="Z513" s="15">
        <f t="shared" si="104"/>
        <v>18</v>
      </c>
      <c r="AA513" s="15">
        <f t="shared" si="105"/>
        <v>0.3</v>
      </c>
    </row>
    <row r="514" spans="13:27" ht="16.5" x14ac:dyDescent="0.2">
      <c r="M514" s="15">
        <v>435</v>
      </c>
      <c r="N514" s="15">
        <f t="shared" si="94"/>
        <v>9</v>
      </c>
      <c r="O514" s="15">
        <f>INDEX(卡牌消耗!$H$13:$H$33,世界BOSS专属武器!N514)</f>
        <v>1501009</v>
      </c>
      <c r="P514" s="49" t="s">
        <v>480</v>
      </c>
      <c r="Q514" s="15">
        <f t="shared" si="95"/>
        <v>26</v>
      </c>
      <c r="R514" s="49" t="str">
        <f t="shared" si="96"/>
        <v>金币</v>
      </c>
      <c r="S514" s="15">
        <f t="shared" si="97"/>
        <v>5000</v>
      </c>
      <c r="T514" s="15" t="str">
        <f t="shared" si="98"/>
        <v>低级专属强化石</v>
      </c>
      <c r="U514" s="15">
        <f t="shared" si="99"/>
        <v>15</v>
      </c>
      <c r="V514" s="15" t="str">
        <f t="shared" si="100"/>
        <v>中级专属强化石</v>
      </c>
      <c r="W514" s="15">
        <f t="shared" si="101"/>
        <v>7</v>
      </c>
      <c r="X514" s="15">
        <f t="shared" si="102"/>
        <v>0.15</v>
      </c>
      <c r="Y514" s="15">
        <f t="shared" si="103"/>
        <v>1</v>
      </c>
      <c r="Z514" s="15">
        <f t="shared" si="104"/>
        <v>21</v>
      </c>
      <c r="AA514" s="15">
        <f t="shared" si="105"/>
        <v>0.32</v>
      </c>
    </row>
    <row r="515" spans="13:27" ht="16.5" x14ac:dyDescent="0.2">
      <c r="M515" s="15">
        <v>436</v>
      </c>
      <c r="N515" s="15">
        <f t="shared" si="94"/>
        <v>9</v>
      </c>
      <c r="O515" s="15">
        <f>INDEX(卡牌消耗!$H$13:$H$33,世界BOSS专属武器!N515)</f>
        <v>1501009</v>
      </c>
      <c r="P515" s="49" t="s">
        <v>480</v>
      </c>
      <c r="Q515" s="15">
        <f t="shared" si="95"/>
        <v>27</v>
      </c>
      <c r="R515" s="49" t="str">
        <f t="shared" si="96"/>
        <v>金币</v>
      </c>
      <c r="S515" s="15">
        <f t="shared" si="97"/>
        <v>5000</v>
      </c>
      <c r="T515" s="15" t="str">
        <f t="shared" si="98"/>
        <v>低级专属强化石</v>
      </c>
      <c r="U515" s="15">
        <f t="shared" si="99"/>
        <v>15</v>
      </c>
      <c r="V515" s="15" t="str">
        <f t="shared" si="100"/>
        <v>中级专属强化石</v>
      </c>
      <c r="W515" s="15">
        <f t="shared" si="101"/>
        <v>7</v>
      </c>
      <c r="X515" s="15">
        <f t="shared" si="102"/>
        <v>0.15</v>
      </c>
      <c r="Y515" s="15">
        <f t="shared" si="103"/>
        <v>1</v>
      </c>
      <c r="Z515" s="15">
        <f t="shared" si="104"/>
        <v>22</v>
      </c>
      <c r="AA515" s="15">
        <f t="shared" si="105"/>
        <v>0.34</v>
      </c>
    </row>
    <row r="516" spans="13:27" ht="16.5" x14ac:dyDescent="0.2">
      <c r="M516" s="15">
        <v>437</v>
      </c>
      <c r="N516" s="15">
        <f t="shared" si="94"/>
        <v>9</v>
      </c>
      <c r="O516" s="15">
        <f>INDEX(卡牌消耗!$H$13:$H$33,世界BOSS专属武器!N516)</f>
        <v>1501009</v>
      </c>
      <c r="P516" s="49" t="s">
        <v>480</v>
      </c>
      <c r="Q516" s="15">
        <f t="shared" si="95"/>
        <v>28</v>
      </c>
      <c r="R516" s="49" t="str">
        <f t="shared" si="96"/>
        <v>金币</v>
      </c>
      <c r="S516" s="15">
        <f t="shared" si="97"/>
        <v>5000</v>
      </c>
      <c r="T516" s="15" t="str">
        <f t="shared" si="98"/>
        <v>低级专属强化石</v>
      </c>
      <c r="U516" s="15">
        <f t="shared" si="99"/>
        <v>15</v>
      </c>
      <c r="V516" s="15" t="str">
        <f t="shared" si="100"/>
        <v>中级专属强化石</v>
      </c>
      <c r="W516" s="15">
        <f t="shared" si="101"/>
        <v>7</v>
      </c>
      <c r="X516" s="15">
        <f t="shared" si="102"/>
        <v>0.15</v>
      </c>
      <c r="Y516" s="15">
        <f t="shared" si="103"/>
        <v>1</v>
      </c>
      <c r="Z516" s="15">
        <f t="shared" si="104"/>
        <v>23</v>
      </c>
      <c r="AA516" s="15">
        <f t="shared" si="105"/>
        <v>0.36</v>
      </c>
    </row>
    <row r="517" spans="13:27" ht="16.5" x14ac:dyDescent="0.2">
      <c r="M517" s="15">
        <v>438</v>
      </c>
      <c r="N517" s="15">
        <f t="shared" si="94"/>
        <v>9</v>
      </c>
      <c r="O517" s="15">
        <f>INDEX(卡牌消耗!$H$13:$H$33,世界BOSS专属武器!N517)</f>
        <v>1501009</v>
      </c>
      <c r="P517" s="49" t="s">
        <v>480</v>
      </c>
      <c r="Q517" s="15">
        <f t="shared" si="95"/>
        <v>29</v>
      </c>
      <c r="R517" s="49" t="str">
        <f t="shared" si="96"/>
        <v>金币</v>
      </c>
      <c r="S517" s="15">
        <f t="shared" si="97"/>
        <v>5000</v>
      </c>
      <c r="T517" s="15" t="str">
        <f t="shared" si="98"/>
        <v>低级专属强化石</v>
      </c>
      <c r="U517" s="15">
        <f t="shared" si="99"/>
        <v>15</v>
      </c>
      <c r="V517" s="15" t="str">
        <f t="shared" si="100"/>
        <v>中级专属强化石</v>
      </c>
      <c r="W517" s="15">
        <f t="shared" si="101"/>
        <v>7</v>
      </c>
      <c r="X517" s="15">
        <f t="shared" si="102"/>
        <v>0.15</v>
      </c>
      <c r="Y517" s="15">
        <f t="shared" si="103"/>
        <v>1</v>
      </c>
      <c r="Z517" s="15">
        <f t="shared" si="104"/>
        <v>25</v>
      </c>
      <c r="AA517" s="15">
        <f t="shared" si="105"/>
        <v>0.38</v>
      </c>
    </row>
    <row r="518" spans="13:27" ht="16.5" x14ac:dyDescent="0.2">
      <c r="M518" s="15">
        <v>439</v>
      </c>
      <c r="N518" s="15">
        <f t="shared" si="94"/>
        <v>9</v>
      </c>
      <c r="O518" s="15">
        <f>INDEX(卡牌消耗!$H$13:$H$33,世界BOSS专属武器!N518)</f>
        <v>1501009</v>
      </c>
      <c r="P518" s="49" t="s">
        <v>480</v>
      </c>
      <c r="Q518" s="15">
        <f t="shared" si="95"/>
        <v>30</v>
      </c>
      <c r="R518" s="49" t="str">
        <f t="shared" si="96"/>
        <v>金币</v>
      </c>
      <c r="S518" s="15">
        <f t="shared" si="97"/>
        <v>10000</v>
      </c>
      <c r="T518" s="15" t="str">
        <f t="shared" si="98"/>
        <v>中级专属强化石</v>
      </c>
      <c r="U518" s="15">
        <f t="shared" si="99"/>
        <v>8</v>
      </c>
      <c r="V518" s="15" t="str">
        <f t="shared" si="100"/>
        <v>高级专属强化石</v>
      </c>
      <c r="W518" s="15">
        <f t="shared" si="101"/>
        <v>3</v>
      </c>
      <c r="X518" s="15">
        <f t="shared" si="102"/>
        <v>0.1</v>
      </c>
      <c r="Y518" s="15">
        <f t="shared" si="103"/>
        <v>1</v>
      </c>
      <c r="Z518" s="15">
        <f t="shared" si="104"/>
        <v>30</v>
      </c>
      <c r="AA518" s="15">
        <f t="shared" si="105"/>
        <v>0.4</v>
      </c>
    </row>
    <row r="519" spans="13:27" ht="16.5" x14ac:dyDescent="0.2">
      <c r="M519" s="15">
        <v>440</v>
      </c>
      <c r="N519" s="15">
        <f t="shared" si="94"/>
        <v>9</v>
      </c>
      <c r="O519" s="15">
        <f>INDEX(卡牌消耗!$H$13:$H$33,世界BOSS专属武器!N519)</f>
        <v>1501009</v>
      </c>
      <c r="P519" s="49" t="s">
        <v>480</v>
      </c>
      <c r="Q519" s="15">
        <f t="shared" si="95"/>
        <v>31</v>
      </c>
      <c r="R519" s="49" t="str">
        <f t="shared" si="96"/>
        <v>金币</v>
      </c>
      <c r="S519" s="15">
        <f t="shared" si="97"/>
        <v>10000</v>
      </c>
      <c r="T519" s="15" t="str">
        <f t="shared" si="98"/>
        <v>中级专属强化石</v>
      </c>
      <c r="U519" s="15">
        <f t="shared" si="99"/>
        <v>8</v>
      </c>
      <c r="V519" s="15" t="str">
        <f t="shared" si="100"/>
        <v>高级专属强化石</v>
      </c>
      <c r="W519" s="15">
        <f t="shared" si="101"/>
        <v>3</v>
      </c>
      <c r="X519" s="15">
        <f t="shared" si="102"/>
        <v>0.1</v>
      </c>
      <c r="Y519" s="15">
        <f t="shared" si="103"/>
        <v>1</v>
      </c>
      <c r="Z519" s="15">
        <f t="shared" si="104"/>
        <v>30</v>
      </c>
      <c r="AA519" s="15">
        <f t="shared" si="105"/>
        <v>0.42670000000000002</v>
      </c>
    </row>
    <row r="520" spans="13:27" ht="16.5" x14ac:dyDescent="0.2">
      <c r="M520" s="15">
        <v>441</v>
      </c>
      <c r="N520" s="15">
        <f t="shared" si="94"/>
        <v>9</v>
      </c>
      <c r="O520" s="15">
        <f>INDEX(卡牌消耗!$H$13:$H$33,世界BOSS专属武器!N520)</f>
        <v>1501009</v>
      </c>
      <c r="P520" s="49" t="s">
        <v>480</v>
      </c>
      <c r="Q520" s="15">
        <f t="shared" si="95"/>
        <v>32</v>
      </c>
      <c r="R520" s="49" t="str">
        <f t="shared" si="96"/>
        <v>金币</v>
      </c>
      <c r="S520" s="15">
        <f t="shared" si="97"/>
        <v>10000</v>
      </c>
      <c r="T520" s="15" t="str">
        <f t="shared" si="98"/>
        <v>中级专属强化石</v>
      </c>
      <c r="U520" s="15">
        <f t="shared" si="99"/>
        <v>8</v>
      </c>
      <c r="V520" s="15" t="str">
        <f t="shared" si="100"/>
        <v>高级专属强化石</v>
      </c>
      <c r="W520" s="15">
        <f t="shared" si="101"/>
        <v>3</v>
      </c>
      <c r="X520" s="15">
        <f t="shared" si="102"/>
        <v>0.1</v>
      </c>
      <c r="Y520" s="15">
        <f t="shared" si="103"/>
        <v>1</v>
      </c>
      <c r="Z520" s="15">
        <f t="shared" si="104"/>
        <v>30</v>
      </c>
      <c r="AA520" s="15">
        <f t="shared" si="105"/>
        <v>0.45329999999999998</v>
      </c>
    </row>
    <row r="521" spans="13:27" ht="16.5" x14ac:dyDescent="0.2">
      <c r="M521" s="15">
        <v>442</v>
      </c>
      <c r="N521" s="15">
        <f t="shared" si="94"/>
        <v>9</v>
      </c>
      <c r="O521" s="15">
        <f>INDEX(卡牌消耗!$H$13:$H$33,世界BOSS专属武器!N521)</f>
        <v>1501009</v>
      </c>
      <c r="P521" s="49" t="s">
        <v>480</v>
      </c>
      <c r="Q521" s="15">
        <f t="shared" si="95"/>
        <v>33</v>
      </c>
      <c r="R521" s="49" t="str">
        <f t="shared" si="96"/>
        <v>金币</v>
      </c>
      <c r="S521" s="15">
        <f t="shared" si="97"/>
        <v>10000</v>
      </c>
      <c r="T521" s="15" t="str">
        <f t="shared" si="98"/>
        <v>中级专属强化石</v>
      </c>
      <c r="U521" s="15">
        <f t="shared" si="99"/>
        <v>8</v>
      </c>
      <c r="V521" s="15" t="str">
        <f t="shared" si="100"/>
        <v>高级专属强化石</v>
      </c>
      <c r="W521" s="15">
        <f t="shared" si="101"/>
        <v>3</v>
      </c>
      <c r="X521" s="15">
        <f t="shared" si="102"/>
        <v>0.1</v>
      </c>
      <c r="Y521" s="15">
        <f t="shared" si="103"/>
        <v>1</v>
      </c>
      <c r="Z521" s="15">
        <f t="shared" si="104"/>
        <v>30</v>
      </c>
      <c r="AA521" s="15">
        <f t="shared" si="105"/>
        <v>0.48</v>
      </c>
    </row>
    <row r="522" spans="13:27" ht="16.5" x14ac:dyDescent="0.2">
      <c r="M522" s="15">
        <v>443</v>
      </c>
      <c r="N522" s="15">
        <f t="shared" si="94"/>
        <v>9</v>
      </c>
      <c r="O522" s="15">
        <f>INDEX(卡牌消耗!$H$13:$H$33,世界BOSS专属武器!N522)</f>
        <v>1501009</v>
      </c>
      <c r="P522" s="49" t="s">
        <v>480</v>
      </c>
      <c r="Q522" s="15">
        <f t="shared" si="95"/>
        <v>34</v>
      </c>
      <c r="R522" s="49" t="str">
        <f t="shared" si="96"/>
        <v>金币</v>
      </c>
      <c r="S522" s="15">
        <f t="shared" si="97"/>
        <v>10000</v>
      </c>
      <c r="T522" s="15" t="str">
        <f t="shared" si="98"/>
        <v>中级专属强化石</v>
      </c>
      <c r="U522" s="15">
        <f t="shared" si="99"/>
        <v>8</v>
      </c>
      <c r="V522" s="15" t="str">
        <f t="shared" si="100"/>
        <v>高级专属强化石</v>
      </c>
      <c r="W522" s="15">
        <f t="shared" si="101"/>
        <v>3</v>
      </c>
      <c r="X522" s="15">
        <f t="shared" si="102"/>
        <v>0.1</v>
      </c>
      <c r="Y522" s="15">
        <f t="shared" si="103"/>
        <v>1</v>
      </c>
      <c r="Z522" s="15">
        <f t="shared" si="104"/>
        <v>30</v>
      </c>
      <c r="AA522" s="15">
        <f t="shared" si="105"/>
        <v>0.50670000000000004</v>
      </c>
    </row>
    <row r="523" spans="13:27" ht="16.5" x14ac:dyDescent="0.2">
      <c r="M523" s="15">
        <v>444</v>
      </c>
      <c r="N523" s="15">
        <f t="shared" si="94"/>
        <v>9</v>
      </c>
      <c r="O523" s="15">
        <f>INDEX(卡牌消耗!$H$13:$H$33,世界BOSS专属武器!N523)</f>
        <v>1501009</v>
      </c>
      <c r="P523" s="49" t="s">
        <v>480</v>
      </c>
      <c r="Q523" s="15">
        <f t="shared" si="95"/>
        <v>35</v>
      </c>
      <c r="R523" s="49" t="str">
        <f t="shared" si="96"/>
        <v>金币</v>
      </c>
      <c r="S523" s="15">
        <f t="shared" si="97"/>
        <v>10000</v>
      </c>
      <c r="T523" s="15" t="str">
        <f t="shared" si="98"/>
        <v>中级专属强化石</v>
      </c>
      <c r="U523" s="15">
        <f t="shared" si="99"/>
        <v>8</v>
      </c>
      <c r="V523" s="15" t="str">
        <f t="shared" si="100"/>
        <v>高级专属强化石</v>
      </c>
      <c r="W523" s="15">
        <f t="shared" si="101"/>
        <v>3</v>
      </c>
      <c r="X523" s="15">
        <f t="shared" si="102"/>
        <v>0.1</v>
      </c>
      <c r="Y523" s="15">
        <f t="shared" si="103"/>
        <v>1</v>
      </c>
      <c r="Z523" s="15">
        <f t="shared" si="104"/>
        <v>30</v>
      </c>
      <c r="AA523" s="15">
        <f t="shared" si="105"/>
        <v>0.5333</v>
      </c>
    </row>
    <row r="524" spans="13:27" ht="16.5" x14ac:dyDescent="0.2">
      <c r="M524" s="15">
        <v>445</v>
      </c>
      <c r="N524" s="15">
        <f t="shared" si="94"/>
        <v>9</v>
      </c>
      <c r="O524" s="15">
        <f>INDEX(卡牌消耗!$H$13:$H$33,世界BOSS专属武器!N524)</f>
        <v>1501009</v>
      </c>
      <c r="P524" s="49" t="s">
        <v>480</v>
      </c>
      <c r="Q524" s="15">
        <f t="shared" si="95"/>
        <v>36</v>
      </c>
      <c r="R524" s="49" t="str">
        <f t="shared" si="96"/>
        <v>金币</v>
      </c>
      <c r="S524" s="15">
        <f t="shared" si="97"/>
        <v>10000</v>
      </c>
      <c r="T524" s="15" t="str">
        <f t="shared" si="98"/>
        <v>中级专属强化石</v>
      </c>
      <c r="U524" s="15">
        <f t="shared" si="99"/>
        <v>8</v>
      </c>
      <c r="V524" s="15" t="str">
        <f t="shared" si="100"/>
        <v>高级专属强化石</v>
      </c>
      <c r="W524" s="15">
        <f t="shared" si="101"/>
        <v>3</v>
      </c>
      <c r="X524" s="15">
        <f t="shared" si="102"/>
        <v>0.1</v>
      </c>
      <c r="Y524" s="15">
        <f t="shared" si="103"/>
        <v>1</v>
      </c>
      <c r="Z524" s="15">
        <f t="shared" si="104"/>
        <v>30</v>
      </c>
      <c r="AA524" s="15">
        <f t="shared" si="105"/>
        <v>0.56000000000000005</v>
      </c>
    </row>
    <row r="525" spans="13:27" ht="16.5" x14ac:dyDescent="0.2">
      <c r="M525" s="15">
        <v>446</v>
      </c>
      <c r="N525" s="15">
        <f t="shared" si="94"/>
        <v>9</v>
      </c>
      <c r="O525" s="15">
        <f>INDEX(卡牌消耗!$H$13:$H$33,世界BOSS专属武器!N525)</f>
        <v>1501009</v>
      </c>
      <c r="P525" s="49" t="s">
        <v>480</v>
      </c>
      <c r="Q525" s="15">
        <f t="shared" si="95"/>
        <v>37</v>
      </c>
      <c r="R525" s="49" t="str">
        <f t="shared" si="96"/>
        <v>金币</v>
      </c>
      <c r="S525" s="15">
        <f t="shared" si="97"/>
        <v>10000</v>
      </c>
      <c r="T525" s="15" t="str">
        <f t="shared" si="98"/>
        <v>中级专属强化石</v>
      </c>
      <c r="U525" s="15">
        <f t="shared" si="99"/>
        <v>8</v>
      </c>
      <c r="V525" s="15" t="str">
        <f t="shared" si="100"/>
        <v>高级专属强化石</v>
      </c>
      <c r="W525" s="15">
        <f t="shared" si="101"/>
        <v>3</v>
      </c>
      <c r="X525" s="15">
        <f t="shared" si="102"/>
        <v>0.1</v>
      </c>
      <c r="Y525" s="15">
        <f t="shared" si="103"/>
        <v>1</v>
      </c>
      <c r="Z525" s="15">
        <f t="shared" si="104"/>
        <v>30</v>
      </c>
      <c r="AA525" s="15">
        <f t="shared" si="105"/>
        <v>0.5867</v>
      </c>
    </row>
    <row r="526" spans="13:27" ht="16.5" x14ac:dyDescent="0.2">
      <c r="M526" s="15">
        <v>447</v>
      </c>
      <c r="N526" s="15">
        <f t="shared" si="94"/>
        <v>9</v>
      </c>
      <c r="O526" s="15">
        <f>INDEX(卡牌消耗!$H$13:$H$33,世界BOSS专属武器!N526)</f>
        <v>1501009</v>
      </c>
      <c r="P526" s="49" t="s">
        <v>480</v>
      </c>
      <c r="Q526" s="15">
        <f t="shared" si="95"/>
        <v>38</v>
      </c>
      <c r="R526" s="49" t="str">
        <f t="shared" si="96"/>
        <v>金币</v>
      </c>
      <c r="S526" s="15">
        <f t="shared" si="97"/>
        <v>10000</v>
      </c>
      <c r="T526" s="15" t="str">
        <f t="shared" si="98"/>
        <v>中级专属强化石</v>
      </c>
      <c r="U526" s="15">
        <f t="shared" si="99"/>
        <v>8</v>
      </c>
      <c r="V526" s="15" t="str">
        <f t="shared" si="100"/>
        <v>高级专属强化石</v>
      </c>
      <c r="W526" s="15">
        <f t="shared" si="101"/>
        <v>3</v>
      </c>
      <c r="X526" s="15">
        <f t="shared" si="102"/>
        <v>0.1</v>
      </c>
      <c r="Y526" s="15">
        <f t="shared" si="103"/>
        <v>1</v>
      </c>
      <c r="Z526" s="15">
        <f t="shared" si="104"/>
        <v>30</v>
      </c>
      <c r="AA526" s="15">
        <f t="shared" si="105"/>
        <v>0.61329999999999996</v>
      </c>
    </row>
    <row r="527" spans="13:27" ht="16.5" x14ac:dyDescent="0.2">
      <c r="M527" s="15">
        <v>448</v>
      </c>
      <c r="N527" s="15">
        <f t="shared" si="94"/>
        <v>9</v>
      </c>
      <c r="O527" s="15">
        <f>INDEX(卡牌消耗!$H$13:$H$33,世界BOSS专属武器!N527)</f>
        <v>1501009</v>
      </c>
      <c r="P527" s="49" t="s">
        <v>480</v>
      </c>
      <c r="Q527" s="15">
        <f t="shared" si="95"/>
        <v>39</v>
      </c>
      <c r="R527" s="49" t="str">
        <f t="shared" si="96"/>
        <v>金币</v>
      </c>
      <c r="S527" s="15">
        <f t="shared" si="97"/>
        <v>10000</v>
      </c>
      <c r="T527" s="15" t="str">
        <f t="shared" si="98"/>
        <v>中级专属强化石</v>
      </c>
      <c r="U527" s="15">
        <f t="shared" si="99"/>
        <v>8</v>
      </c>
      <c r="V527" s="15" t="str">
        <f t="shared" si="100"/>
        <v>高级专属强化石</v>
      </c>
      <c r="W527" s="15">
        <f t="shared" si="101"/>
        <v>3</v>
      </c>
      <c r="X527" s="15">
        <f t="shared" si="102"/>
        <v>0.1</v>
      </c>
      <c r="Y527" s="15">
        <f t="shared" si="103"/>
        <v>1</v>
      </c>
      <c r="Z527" s="15">
        <f t="shared" si="104"/>
        <v>30</v>
      </c>
      <c r="AA527" s="15">
        <f t="shared" si="105"/>
        <v>0.64</v>
      </c>
    </row>
    <row r="528" spans="13:27" ht="16.5" x14ac:dyDescent="0.2">
      <c r="M528" s="15">
        <v>449</v>
      </c>
      <c r="N528" s="15">
        <f t="shared" si="94"/>
        <v>9</v>
      </c>
      <c r="O528" s="15">
        <f>INDEX(卡牌消耗!$H$13:$H$33,世界BOSS专属武器!N528)</f>
        <v>1501009</v>
      </c>
      <c r="P528" s="49" t="s">
        <v>480</v>
      </c>
      <c r="Q528" s="15">
        <f t="shared" si="95"/>
        <v>40</v>
      </c>
      <c r="R528" s="49" t="str">
        <f t="shared" si="96"/>
        <v>金币</v>
      </c>
      <c r="S528" s="15">
        <f t="shared" si="97"/>
        <v>20000</v>
      </c>
      <c r="T528" s="15" t="str">
        <f t="shared" si="98"/>
        <v>高级专属强化石</v>
      </c>
      <c r="U528" s="15">
        <f t="shared" si="99"/>
        <v>5</v>
      </c>
      <c r="V528" s="15" t="str">
        <f t="shared" si="100"/>
        <v>[x]</v>
      </c>
      <c r="W528" s="15" t="str">
        <f t="shared" si="101"/>
        <v>[x]</v>
      </c>
      <c r="X528" s="15">
        <f t="shared" si="102"/>
        <v>0.1</v>
      </c>
      <c r="Y528" s="15">
        <f t="shared" si="103"/>
        <v>1</v>
      </c>
      <c r="Z528" s="15">
        <f t="shared" si="104"/>
        <v>35</v>
      </c>
      <c r="AA528" s="15">
        <f t="shared" si="105"/>
        <v>0.66669999999999996</v>
      </c>
    </row>
    <row r="529" spans="13:27" ht="16.5" x14ac:dyDescent="0.2">
      <c r="M529" s="15">
        <v>450</v>
      </c>
      <c r="N529" s="15">
        <f t="shared" ref="N529:N592" si="106">INT((M529-1)/51)+1</f>
        <v>9</v>
      </c>
      <c r="O529" s="15">
        <f>INDEX(卡牌消耗!$H$13:$H$33,世界BOSS专属武器!N529)</f>
        <v>1501009</v>
      </c>
      <c r="P529" s="49" t="s">
        <v>480</v>
      </c>
      <c r="Q529" s="15">
        <f t="shared" ref="Q529:Q592" si="107">MOD(M529-1,51)</f>
        <v>41</v>
      </c>
      <c r="R529" s="49" t="str">
        <f t="shared" ref="R529:R592" si="108">IF(Q529&gt;0,"金币","[x]")</f>
        <v>金币</v>
      </c>
      <c r="S529" s="15">
        <f t="shared" ref="S529:S592" si="109">IF(Q529&gt;0,INDEX($V$27:$V$76,Q529),"[x]")</f>
        <v>20000</v>
      </c>
      <c r="T529" s="15" t="str">
        <f t="shared" ref="T529:T592" si="110">IF(Q529&gt;0,INDEX($W$27:$W$76,Q529),"[x]")</f>
        <v>高级专属强化石</v>
      </c>
      <c r="U529" s="15">
        <f t="shared" ref="U529:U592" si="111">IF(Q529&gt;0,INDEX($AA$27:$AF$76,Q529,INDEX($Y$27:$Y$76,Q529)),"[x]")</f>
        <v>5</v>
      </c>
      <c r="V529" s="15" t="str">
        <f t="shared" ref="V529:V592" si="112">IF(AND(Q529&gt;=20,Q529&lt;40),INDEX($X$27:$X$76,Q529),"[x]")</f>
        <v>[x]</v>
      </c>
      <c r="W529" s="15" t="str">
        <f t="shared" ref="W529:W592" si="113">IF(AND(Q529&gt;=20,Q529&lt;40),INDEX($AA$27:$AF$76,Q529,INDEX($Z$27:$Z$76,Q529)),"[x]")</f>
        <v>[x]</v>
      </c>
      <c r="X529" s="15">
        <f t="shared" ref="X529:X592" si="114">IF(Q529&gt;0,INDEX($T$27:$T$76,Q529),"[x]")</f>
        <v>0.1</v>
      </c>
      <c r="Y529" s="15">
        <f t="shared" ref="Y529:Y592" si="115">IF(Q529&gt;0,1,"[x]")</f>
        <v>1</v>
      </c>
      <c r="Z529" s="15">
        <f t="shared" ref="Z529:Z592" si="116">IF(Q529&gt;0,INDEX($AG$27:$AG$76,Q529),"[x]")</f>
        <v>40</v>
      </c>
      <c r="AA529" s="15">
        <f t="shared" ref="AA529:AA592" si="117">IF(Q529&gt;0,INDEX($AL$27:$AL$76,Q529),"[x]")</f>
        <v>0.7</v>
      </c>
    </row>
    <row r="530" spans="13:27" ht="16.5" x14ac:dyDescent="0.2">
      <c r="M530" s="15">
        <v>451</v>
      </c>
      <c r="N530" s="15">
        <f t="shared" si="106"/>
        <v>9</v>
      </c>
      <c r="O530" s="15">
        <f>INDEX(卡牌消耗!$H$13:$H$33,世界BOSS专属武器!N530)</f>
        <v>1501009</v>
      </c>
      <c r="P530" s="49" t="s">
        <v>480</v>
      </c>
      <c r="Q530" s="15">
        <f t="shared" si="107"/>
        <v>42</v>
      </c>
      <c r="R530" s="49" t="str">
        <f t="shared" si="108"/>
        <v>金币</v>
      </c>
      <c r="S530" s="15">
        <f t="shared" si="109"/>
        <v>20000</v>
      </c>
      <c r="T530" s="15" t="str">
        <f t="shared" si="110"/>
        <v>高级专属强化石</v>
      </c>
      <c r="U530" s="15">
        <f t="shared" si="111"/>
        <v>5</v>
      </c>
      <c r="V530" s="15" t="str">
        <f t="shared" si="112"/>
        <v>[x]</v>
      </c>
      <c r="W530" s="15" t="str">
        <f t="shared" si="113"/>
        <v>[x]</v>
      </c>
      <c r="X530" s="15">
        <f t="shared" si="114"/>
        <v>0.1</v>
      </c>
      <c r="Y530" s="15">
        <f t="shared" si="115"/>
        <v>1</v>
      </c>
      <c r="Z530" s="15">
        <f t="shared" si="116"/>
        <v>45</v>
      </c>
      <c r="AA530" s="15">
        <f t="shared" si="117"/>
        <v>0.73329999999999995</v>
      </c>
    </row>
    <row r="531" spans="13:27" ht="16.5" x14ac:dyDescent="0.2">
      <c r="M531" s="15">
        <v>452</v>
      </c>
      <c r="N531" s="15">
        <f t="shared" si="106"/>
        <v>9</v>
      </c>
      <c r="O531" s="15">
        <f>INDEX(卡牌消耗!$H$13:$H$33,世界BOSS专属武器!N531)</f>
        <v>1501009</v>
      </c>
      <c r="P531" s="49" t="s">
        <v>480</v>
      </c>
      <c r="Q531" s="15">
        <f t="shared" si="107"/>
        <v>43</v>
      </c>
      <c r="R531" s="49" t="str">
        <f t="shared" si="108"/>
        <v>金币</v>
      </c>
      <c r="S531" s="15">
        <f t="shared" si="109"/>
        <v>20000</v>
      </c>
      <c r="T531" s="15" t="str">
        <f t="shared" si="110"/>
        <v>高级专属强化石</v>
      </c>
      <c r="U531" s="15">
        <f t="shared" si="111"/>
        <v>5</v>
      </c>
      <c r="V531" s="15" t="str">
        <f t="shared" si="112"/>
        <v>[x]</v>
      </c>
      <c r="W531" s="15" t="str">
        <f t="shared" si="113"/>
        <v>[x]</v>
      </c>
      <c r="X531" s="15">
        <f t="shared" si="114"/>
        <v>0.1</v>
      </c>
      <c r="Y531" s="15">
        <f t="shared" si="115"/>
        <v>1</v>
      </c>
      <c r="Z531" s="15">
        <f t="shared" si="116"/>
        <v>50</v>
      </c>
      <c r="AA531" s="15">
        <f t="shared" si="117"/>
        <v>0.76670000000000005</v>
      </c>
    </row>
    <row r="532" spans="13:27" ht="16.5" x14ac:dyDescent="0.2">
      <c r="M532" s="15">
        <v>453</v>
      </c>
      <c r="N532" s="15">
        <f t="shared" si="106"/>
        <v>9</v>
      </c>
      <c r="O532" s="15">
        <f>INDEX(卡牌消耗!$H$13:$H$33,世界BOSS专属武器!N532)</f>
        <v>1501009</v>
      </c>
      <c r="P532" s="49" t="s">
        <v>480</v>
      </c>
      <c r="Q532" s="15">
        <f t="shared" si="107"/>
        <v>44</v>
      </c>
      <c r="R532" s="49" t="str">
        <f t="shared" si="108"/>
        <v>金币</v>
      </c>
      <c r="S532" s="15">
        <f t="shared" si="109"/>
        <v>20000</v>
      </c>
      <c r="T532" s="15" t="str">
        <f t="shared" si="110"/>
        <v>高级专属强化石</v>
      </c>
      <c r="U532" s="15">
        <f t="shared" si="111"/>
        <v>5</v>
      </c>
      <c r="V532" s="15" t="str">
        <f t="shared" si="112"/>
        <v>[x]</v>
      </c>
      <c r="W532" s="15" t="str">
        <f t="shared" si="113"/>
        <v>[x]</v>
      </c>
      <c r="X532" s="15">
        <f t="shared" si="114"/>
        <v>0.1</v>
      </c>
      <c r="Y532" s="15">
        <f t="shared" si="115"/>
        <v>1</v>
      </c>
      <c r="Z532" s="15">
        <f t="shared" si="116"/>
        <v>55</v>
      </c>
      <c r="AA532" s="15">
        <f t="shared" si="117"/>
        <v>0.8</v>
      </c>
    </row>
    <row r="533" spans="13:27" ht="16.5" x14ac:dyDescent="0.2">
      <c r="M533" s="15">
        <v>454</v>
      </c>
      <c r="N533" s="15">
        <f t="shared" si="106"/>
        <v>9</v>
      </c>
      <c r="O533" s="15">
        <f>INDEX(卡牌消耗!$H$13:$H$33,世界BOSS专属武器!N533)</f>
        <v>1501009</v>
      </c>
      <c r="P533" s="49" t="s">
        <v>480</v>
      </c>
      <c r="Q533" s="15">
        <f t="shared" si="107"/>
        <v>45</v>
      </c>
      <c r="R533" s="49" t="str">
        <f t="shared" si="108"/>
        <v>金币</v>
      </c>
      <c r="S533" s="15">
        <f t="shared" si="109"/>
        <v>20000</v>
      </c>
      <c r="T533" s="15" t="str">
        <f t="shared" si="110"/>
        <v>高级专属强化石</v>
      </c>
      <c r="U533" s="15">
        <f t="shared" si="111"/>
        <v>6</v>
      </c>
      <c r="V533" s="15" t="str">
        <f t="shared" si="112"/>
        <v>[x]</v>
      </c>
      <c r="W533" s="15" t="str">
        <f t="shared" si="113"/>
        <v>[x]</v>
      </c>
      <c r="X533" s="15">
        <f t="shared" si="114"/>
        <v>0.1</v>
      </c>
      <c r="Y533" s="15">
        <f t="shared" si="115"/>
        <v>1</v>
      </c>
      <c r="Z533" s="15">
        <f t="shared" si="116"/>
        <v>60</v>
      </c>
      <c r="AA533" s="15">
        <f t="shared" si="117"/>
        <v>0.83330000000000004</v>
      </c>
    </row>
    <row r="534" spans="13:27" ht="16.5" x14ac:dyDescent="0.2">
      <c r="M534" s="15">
        <v>455</v>
      </c>
      <c r="N534" s="15">
        <f t="shared" si="106"/>
        <v>9</v>
      </c>
      <c r="O534" s="15">
        <f>INDEX(卡牌消耗!$H$13:$H$33,世界BOSS专属武器!N534)</f>
        <v>1501009</v>
      </c>
      <c r="P534" s="49" t="s">
        <v>480</v>
      </c>
      <c r="Q534" s="15">
        <f t="shared" si="107"/>
        <v>46</v>
      </c>
      <c r="R534" s="49" t="str">
        <f t="shared" si="108"/>
        <v>金币</v>
      </c>
      <c r="S534" s="15">
        <f t="shared" si="109"/>
        <v>20000</v>
      </c>
      <c r="T534" s="15" t="str">
        <f t="shared" si="110"/>
        <v>高级专属强化石</v>
      </c>
      <c r="U534" s="15">
        <f t="shared" si="111"/>
        <v>7</v>
      </c>
      <c r="V534" s="15" t="str">
        <f t="shared" si="112"/>
        <v>[x]</v>
      </c>
      <c r="W534" s="15" t="str">
        <f t="shared" si="113"/>
        <v>[x]</v>
      </c>
      <c r="X534" s="15">
        <f t="shared" si="114"/>
        <v>0.1</v>
      </c>
      <c r="Y534" s="15">
        <f t="shared" si="115"/>
        <v>1</v>
      </c>
      <c r="Z534" s="15">
        <f t="shared" si="116"/>
        <v>70</v>
      </c>
      <c r="AA534" s="15">
        <f t="shared" si="117"/>
        <v>0.86670000000000003</v>
      </c>
    </row>
    <row r="535" spans="13:27" ht="16.5" x14ac:dyDescent="0.2">
      <c r="M535" s="15">
        <v>456</v>
      </c>
      <c r="N535" s="15">
        <f t="shared" si="106"/>
        <v>9</v>
      </c>
      <c r="O535" s="15">
        <f>INDEX(卡牌消耗!$H$13:$H$33,世界BOSS专属武器!N535)</f>
        <v>1501009</v>
      </c>
      <c r="P535" s="49" t="s">
        <v>480</v>
      </c>
      <c r="Q535" s="15">
        <f t="shared" si="107"/>
        <v>47</v>
      </c>
      <c r="R535" s="49" t="str">
        <f t="shared" si="108"/>
        <v>金币</v>
      </c>
      <c r="S535" s="15">
        <f t="shared" si="109"/>
        <v>20000</v>
      </c>
      <c r="T535" s="15" t="str">
        <f t="shared" si="110"/>
        <v>高级专属强化石</v>
      </c>
      <c r="U535" s="15">
        <f t="shared" si="111"/>
        <v>8</v>
      </c>
      <c r="V535" s="15" t="str">
        <f t="shared" si="112"/>
        <v>[x]</v>
      </c>
      <c r="W535" s="15" t="str">
        <f t="shared" si="113"/>
        <v>[x]</v>
      </c>
      <c r="X535" s="15">
        <f t="shared" si="114"/>
        <v>0.1</v>
      </c>
      <c r="Y535" s="15">
        <f t="shared" si="115"/>
        <v>1</v>
      </c>
      <c r="Z535" s="15">
        <f t="shared" si="116"/>
        <v>80</v>
      </c>
      <c r="AA535" s="15">
        <f t="shared" si="117"/>
        <v>0.9</v>
      </c>
    </row>
    <row r="536" spans="13:27" ht="16.5" x14ac:dyDescent="0.2">
      <c r="M536" s="15">
        <v>457</v>
      </c>
      <c r="N536" s="15">
        <f t="shared" si="106"/>
        <v>9</v>
      </c>
      <c r="O536" s="15">
        <f>INDEX(卡牌消耗!$H$13:$H$33,世界BOSS专属武器!N536)</f>
        <v>1501009</v>
      </c>
      <c r="P536" s="49" t="s">
        <v>480</v>
      </c>
      <c r="Q536" s="15">
        <f t="shared" si="107"/>
        <v>48</v>
      </c>
      <c r="R536" s="49" t="str">
        <f t="shared" si="108"/>
        <v>金币</v>
      </c>
      <c r="S536" s="15">
        <f t="shared" si="109"/>
        <v>20000</v>
      </c>
      <c r="T536" s="15" t="str">
        <f t="shared" si="110"/>
        <v>高级专属强化石</v>
      </c>
      <c r="U536" s="15">
        <f t="shared" si="111"/>
        <v>9</v>
      </c>
      <c r="V536" s="15" t="str">
        <f t="shared" si="112"/>
        <v>[x]</v>
      </c>
      <c r="W536" s="15" t="str">
        <f t="shared" si="113"/>
        <v>[x]</v>
      </c>
      <c r="X536" s="15">
        <f t="shared" si="114"/>
        <v>0.1</v>
      </c>
      <c r="Y536" s="15">
        <f t="shared" si="115"/>
        <v>1</v>
      </c>
      <c r="Z536" s="15">
        <f t="shared" si="116"/>
        <v>100</v>
      </c>
      <c r="AA536" s="15">
        <f t="shared" si="117"/>
        <v>0.93330000000000002</v>
      </c>
    </row>
    <row r="537" spans="13:27" ht="16.5" x14ac:dyDescent="0.2">
      <c r="M537" s="15">
        <v>458</v>
      </c>
      <c r="N537" s="15">
        <f t="shared" si="106"/>
        <v>9</v>
      </c>
      <c r="O537" s="15">
        <f>INDEX(卡牌消耗!$H$13:$H$33,世界BOSS专属武器!N537)</f>
        <v>1501009</v>
      </c>
      <c r="P537" s="49" t="s">
        <v>480</v>
      </c>
      <c r="Q537" s="15">
        <f t="shared" si="107"/>
        <v>49</v>
      </c>
      <c r="R537" s="49" t="str">
        <f t="shared" si="108"/>
        <v>金币</v>
      </c>
      <c r="S537" s="15">
        <f t="shared" si="109"/>
        <v>20000</v>
      </c>
      <c r="T537" s="15" t="str">
        <f t="shared" si="110"/>
        <v>高级专属强化石</v>
      </c>
      <c r="U537" s="15">
        <f t="shared" si="111"/>
        <v>10</v>
      </c>
      <c r="V537" s="15" t="str">
        <f t="shared" si="112"/>
        <v>[x]</v>
      </c>
      <c r="W537" s="15" t="str">
        <f t="shared" si="113"/>
        <v>[x]</v>
      </c>
      <c r="X537" s="15">
        <f t="shared" si="114"/>
        <v>0.1</v>
      </c>
      <c r="Y537" s="15">
        <f t="shared" si="115"/>
        <v>1</v>
      </c>
      <c r="Z537" s="15">
        <f t="shared" si="116"/>
        <v>120</v>
      </c>
      <c r="AA537" s="15">
        <f t="shared" si="117"/>
        <v>0.9667</v>
      </c>
    </row>
    <row r="538" spans="13:27" ht="16.5" x14ac:dyDescent="0.2">
      <c r="M538" s="15">
        <v>459</v>
      </c>
      <c r="N538" s="15">
        <f t="shared" si="106"/>
        <v>9</v>
      </c>
      <c r="O538" s="15">
        <f>INDEX(卡牌消耗!$H$13:$H$33,世界BOSS专属武器!N538)</f>
        <v>1501009</v>
      </c>
      <c r="P538" s="49" t="s">
        <v>480</v>
      </c>
      <c r="Q538" s="15">
        <f t="shared" si="107"/>
        <v>50</v>
      </c>
      <c r="R538" s="49" t="str">
        <f t="shared" si="108"/>
        <v>金币</v>
      </c>
      <c r="S538" s="15">
        <f t="shared" si="109"/>
        <v>20000</v>
      </c>
      <c r="T538" s="15" t="str">
        <f t="shared" si="110"/>
        <v>高级专属强化石</v>
      </c>
      <c r="U538" s="15">
        <f t="shared" si="111"/>
        <v>15</v>
      </c>
      <c r="V538" s="15" t="str">
        <f t="shared" si="112"/>
        <v>[x]</v>
      </c>
      <c r="W538" s="15" t="str">
        <f t="shared" si="113"/>
        <v>[x]</v>
      </c>
      <c r="X538" s="15">
        <f t="shared" si="114"/>
        <v>0.1</v>
      </c>
      <c r="Y538" s="15">
        <f t="shared" si="115"/>
        <v>1</v>
      </c>
      <c r="Z538" s="15">
        <f t="shared" si="116"/>
        <v>150</v>
      </c>
      <c r="AA538" s="15">
        <f t="shared" si="117"/>
        <v>1</v>
      </c>
    </row>
    <row r="539" spans="13:27" ht="16.5" x14ac:dyDescent="0.2">
      <c r="M539" s="15">
        <v>460</v>
      </c>
      <c r="N539" s="15">
        <f t="shared" si="106"/>
        <v>10</v>
      </c>
      <c r="O539" s="15">
        <f>INDEX(卡牌消耗!$H$13:$H$33,世界BOSS专属武器!N539)</f>
        <v>1501010</v>
      </c>
      <c r="P539" s="49" t="s">
        <v>480</v>
      </c>
      <c r="Q539" s="15">
        <f t="shared" si="107"/>
        <v>0</v>
      </c>
      <c r="R539" s="49" t="str">
        <f t="shared" si="108"/>
        <v>[x]</v>
      </c>
      <c r="S539" s="15" t="str">
        <f t="shared" si="109"/>
        <v>[x]</v>
      </c>
      <c r="T539" s="15" t="str">
        <f t="shared" si="110"/>
        <v>[x]</v>
      </c>
      <c r="U539" s="15" t="str">
        <f t="shared" si="111"/>
        <v>[x]</v>
      </c>
      <c r="V539" s="15" t="str">
        <f t="shared" si="112"/>
        <v>[x]</v>
      </c>
      <c r="W539" s="15" t="str">
        <f t="shared" si="113"/>
        <v>[x]</v>
      </c>
      <c r="X539" s="15" t="str">
        <f t="shared" si="114"/>
        <v>[x]</v>
      </c>
      <c r="Y539" s="15" t="str">
        <f t="shared" si="115"/>
        <v>[x]</v>
      </c>
      <c r="Z539" s="15" t="str">
        <f t="shared" si="116"/>
        <v>[x]</v>
      </c>
      <c r="AA539" s="15" t="str">
        <f t="shared" si="117"/>
        <v>[x]</v>
      </c>
    </row>
    <row r="540" spans="13:27" ht="16.5" x14ac:dyDescent="0.2">
      <c r="M540" s="15">
        <v>461</v>
      </c>
      <c r="N540" s="15">
        <f t="shared" si="106"/>
        <v>10</v>
      </c>
      <c r="O540" s="15">
        <f>INDEX(卡牌消耗!$H$13:$H$33,世界BOSS专属武器!N540)</f>
        <v>1501010</v>
      </c>
      <c r="P540" s="49" t="s">
        <v>480</v>
      </c>
      <c r="Q540" s="15">
        <f t="shared" si="107"/>
        <v>1</v>
      </c>
      <c r="R540" s="49" t="str">
        <f t="shared" si="108"/>
        <v>金币</v>
      </c>
      <c r="S540" s="15">
        <f t="shared" si="109"/>
        <v>100</v>
      </c>
      <c r="T540" s="15" t="str">
        <f t="shared" si="110"/>
        <v>低级专属强化石</v>
      </c>
      <c r="U540" s="15">
        <f t="shared" si="111"/>
        <v>1</v>
      </c>
      <c r="V540" s="15" t="str">
        <f t="shared" si="112"/>
        <v>[x]</v>
      </c>
      <c r="W540" s="15" t="str">
        <f t="shared" si="113"/>
        <v>[x]</v>
      </c>
      <c r="X540" s="15">
        <f t="shared" si="114"/>
        <v>1</v>
      </c>
      <c r="Y540" s="15">
        <f t="shared" si="115"/>
        <v>1</v>
      </c>
      <c r="Z540" s="15">
        <f t="shared" si="116"/>
        <v>1</v>
      </c>
      <c r="AA540" s="15">
        <f t="shared" si="117"/>
        <v>6.7000000000000002E-3</v>
      </c>
    </row>
    <row r="541" spans="13:27" ht="16.5" x14ac:dyDescent="0.2">
      <c r="M541" s="15">
        <v>462</v>
      </c>
      <c r="N541" s="15">
        <f t="shared" si="106"/>
        <v>10</v>
      </c>
      <c r="O541" s="15">
        <f>INDEX(卡牌消耗!$H$13:$H$33,世界BOSS专属武器!N541)</f>
        <v>1501010</v>
      </c>
      <c r="P541" s="49" t="s">
        <v>480</v>
      </c>
      <c r="Q541" s="15">
        <f t="shared" si="107"/>
        <v>2</v>
      </c>
      <c r="R541" s="49" t="str">
        <f t="shared" si="108"/>
        <v>金币</v>
      </c>
      <c r="S541" s="15">
        <f t="shared" si="109"/>
        <v>200</v>
      </c>
      <c r="T541" s="15" t="str">
        <f t="shared" si="110"/>
        <v>低级专属强化石</v>
      </c>
      <c r="U541" s="15">
        <f t="shared" si="111"/>
        <v>1</v>
      </c>
      <c r="V541" s="15" t="str">
        <f t="shared" si="112"/>
        <v>[x]</v>
      </c>
      <c r="W541" s="15" t="str">
        <f t="shared" si="113"/>
        <v>[x]</v>
      </c>
      <c r="X541" s="15">
        <f t="shared" si="114"/>
        <v>0.5</v>
      </c>
      <c r="Y541" s="15">
        <f t="shared" si="115"/>
        <v>1</v>
      </c>
      <c r="Z541" s="15">
        <f t="shared" si="116"/>
        <v>2</v>
      </c>
      <c r="AA541" s="15">
        <f t="shared" si="117"/>
        <v>1.3299999999999999E-2</v>
      </c>
    </row>
    <row r="542" spans="13:27" ht="16.5" x14ac:dyDescent="0.2">
      <c r="M542" s="15">
        <v>463</v>
      </c>
      <c r="N542" s="15">
        <f t="shared" si="106"/>
        <v>10</v>
      </c>
      <c r="O542" s="15">
        <f>INDEX(卡牌消耗!$H$13:$H$33,世界BOSS专属武器!N542)</f>
        <v>1501010</v>
      </c>
      <c r="P542" s="49" t="s">
        <v>480</v>
      </c>
      <c r="Q542" s="15">
        <f t="shared" si="107"/>
        <v>3</v>
      </c>
      <c r="R542" s="49" t="str">
        <f t="shared" si="108"/>
        <v>金币</v>
      </c>
      <c r="S542" s="15">
        <f t="shared" si="109"/>
        <v>300</v>
      </c>
      <c r="T542" s="15" t="str">
        <f t="shared" si="110"/>
        <v>低级专属强化石</v>
      </c>
      <c r="U542" s="15">
        <f t="shared" si="111"/>
        <v>2</v>
      </c>
      <c r="V542" s="15" t="str">
        <f t="shared" si="112"/>
        <v>[x]</v>
      </c>
      <c r="W542" s="15" t="str">
        <f t="shared" si="113"/>
        <v>[x]</v>
      </c>
      <c r="X542" s="15">
        <f t="shared" si="114"/>
        <v>0.48</v>
      </c>
      <c r="Y542" s="15">
        <f t="shared" si="115"/>
        <v>1</v>
      </c>
      <c r="Z542" s="15">
        <f t="shared" si="116"/>
        <v>3</v>
      </c>
      <c r="AA542" s="15">
        <f t="shared" si="117"/>
        <v>0.02</v>
      </c>
    </row>
    <row r="543" spans="13:27" ht="16.5" x14ac:dyDescent="0.2">
      <c r="M543" s="15">
        <v>464</v>
      </c>
      <c r="N543" s="15">
        <f t="shared" si="106"/>
        <v>10</v>
      </c>
      <c r="O543" s="15">
        <f>INDEX(卡牌消耗!$H$13:$H$33,世界BOSS专属武器!N543)</f>
        <v>1501010</v>
      </c>
      <c r="P543" s="49" t="s">
        <v>480</v>
      </c>
      <c r="Q543" s="15">
        <f t="shared" si="107"/>
        <v>4</v>
      </c>
      <c r="R543" s="49" t="str">
        <f t="shared" si="108"/>
        <v>金币</v>
      </c>
      <c r="S543" s="15">
        <f t="shared" si="109"/>
        <v>400</v>
      </c>
      <c r="T543" s="15" t="str">
        <f t="shared" si="110"/>
        <v>低级专属强化石</v>
      </c>
      <c r="U543" s="15">
        <f t="shared" si="111"/>
        <v>3</v>
      </c>
      <c r="V543" s="15" t="str">
        <f t="shared" si="112"/>
        <v>[x]</v>
      </c>
      <c r="W543" s="15" t="str">
        <f t="shared" si="113"/>
        <v>[x]</v>
      </c>
      <c r="X543" s="15">
        <f t="shared" si="114"/>
        <v>0.46</v>
      </c>
      <c r="Y543" s="15">
        <f t="shared" si="115"/>
        <v>1</v>
      </c>
      <c r="Z543" s="15">
        <f t="shared" si="116"/>
        <v>3</v>
      </c>
      <c r="AA543" s="15">
        <f t="shared" si="117"/>
        <v>2.6700000000000002E-2</v>
      </c>
    </row>
    <row r="544" spans="13:27" ht="16.5" x14ac:dyDescent="0.2">
      <c r="M544" s="15">
        <v>465</v>
      </c>
      <c r="N544" s="15">
        <f t="shared" si="106"/>
        <v>10</v>
      </c>
      <c r="O544" s="15">
        <f>INDEX(卡牌消耗!$H$13:$H$33,世界BOSS专属武器!N544)</f>
        <v>1501010</v>
      </c>
      <c r="P544" s="49" t="s">
        <v>480</v>
      </c>
      <c r="Q544" s="15">
        <f t="shared" si="107"/>
        <v>5</v>
      </c>
      <c r="R544" s="49" t="str">
        <f t="shared" si="108"/>
        <v>金币</v>
      </c>
      <c r="S544" s="15">
        <f t="shared" si="109"/>
        <v>500</v>
      </c>
      <c r="T544" s="15" t="str">
        <f t="shared" si="110"/>
        <v>低级专属强化石</v>
      </c>
      <c r="U544" s="15">
        <f t="shared" si="111"/>
        <v>4</v>
      </c>
      <c r="V544" s="15" t="str">
        <f t="shared" si="112"/>
        <v>[x]</v>
      </c>
      <c r="W544" s="15" t="str">
        <f t="shared" si="113"/>
        <v>[x]</v>
      </c>
      <c r="X544" s="15">
        <f t="shared" si="114"/>
        <v>0.44</v>
      </c>
      <c r="Y544" s="15">
        <f t="shared" si="115"/>
        <v>1</v>
      </c>
      <c r="Z544" s="15">
        <f t="shared" si="116"/>
        <v>3</v>
      </c>
      <c r="AA544" s="15">
        <f t="shared" si="117"/>
        <v>3.3300000000000003E-2</v>
      </c>
    </row>
    <row r="545" spans="13:27" ht="16.5" x14ac:dyDescent="0.2">
      <c r="M545" s="15">
        <v>466</v>
      </c>
      <c r="N545" s="15">
        <f t="shared" si="106"/>
        <v>10</v>
      </c>
      <c r="O545" s="15">
        <f>INDEX(卡牌消耗!$H$13:$H$33,世界BOSS专属武器!N545)</f>
        <v>1501010</v>
      </c>
      <c r="P545" s="49" t="s">
        <v>480</v>
      </c>
      <c r="Q545" s="15">
        <f t="shared" si="107"/>
        <v>6</v>
      </c>
      <c r="R545" s="49" t="str">
        <f t="shared" si="108"/>
        <v>金币</v>
      </c>
      <c r="S545" s="15">
        <f t="shared" si="109"/>
        <v>600</v>
      </c>
      <c r="T545" s="15" t="str">
        <f t="shared" si="110"/>
        <v>低级专属强化石</v>
      </c>
      <c r="U545" s="15">
        <f t="shared" si="111"/>
        <v>5</v>
      </c>
      <c r="V545" s="15" t="str">
        <f t="shared" si="112"/>
        <v>[x]</v>
      </c>
      <c r="W545" s="15" t="str">
        <f t="shared" si="113"/>
        <v>[x]</v>
      </c>
      <c r="X545" s="15">
        <f t="shared" si="114"/>
        <v>0.42</v>
      </c>
      <c r="Y545" s="15">
        <f t="shared" si="115"/>
        <v>1</v>
      </c>
      <c r="Z545" s="15">
        <f t="shared" si="116"/>
        <v>4</v>
      </c>
      <c r="AA545" s="15">
        <f t="shared" si="117"/>
        <v>0.04</v>
      </c>
    </row>
    <row r="546" spans="13:27" ht="16.5" x14ac:dyDescent="0.2">
      <c r="M546" s="15">
        <v>467</v>
      </c>
      <c r="N546" s="15">
        <f t="shared" si="106"/>
        <v>10</v>
      </c>
      <c r="O546" s="15">
        <f>INDEX(卡牌消耗!$H$13:$H$33,世界BOSS专属武器!N546)</f>
        <v>1501010</v>
      </c>
      <c r="P546" s="49" t="s">
        <v>480</v>
      </c>
      <c r="Q546" s="15">
        <f t="shared" si="107"/>
        <v>7</v>
      </c>
      <c r="R546" s="49" t="str">
        <f t="shared" si="108"/>
        <v>金币</v>
      </c>
      <c r="S546" s="15">
        <f t="shared" si="109"/>
        <v>700</v>
      </c>
      <c r="T546" s="15" t="str">
        <f t="shared" si="110"/>
        <v>低级专属强化石</v>
      </c>
      <c r="U546" s="15">
        <f t="shared" si="111"/>
        <v>5</v>
      </c>
      <c r="V546" s="15" t="str">
        <f t="shared" si="112"/>
        <v>[x]</v>
      </c>
      <c r="W546" s="15" t="str">
        <f t="shared" si="113"/>
        <v>[x]</v>
      </c>
      <c r="X546" s="15">
        <f t="shared" si="114"/>
        <v>0.4</v>
      </c>
      <c r="Y546" s="15">
        <f t="shared" si="115"/>
        <v>1</v>
      </c>
      <c r="Z546" s="15">
        <f t="shared" si="116"/>
        <v>4</v>
      </c>
      <c r="AA546" s="15">
        <f t="shared" si="117"/>
        <v>4.6699999999999998E-2</v>
      </c>
    </row>
    <row r="547" spans="13:27" ht="16.5" x14ac:dyDescent="0.2">
      <c r="M547" s="15">
        <v>468</v>
      </c>
      <c r="N547" s="15">
        <f t="shared" si="106"/>
        <v>10</v>
      </c>
      <c r="O547" s="15">
        <f>INDEX(卡牌消耗!$H$13:$H$33,世界BOSS专属武器!N547)</f>
        <v>1501010</v>
      </c>
      <c r="P547" s="49" t="s">
        <v>480</v>
      </c>
      <c r="Q547" s="15">
        <f t="shared" si="107"/>
        <v>8</v>
      </c>
      <c r="R547" s="49" t="str">
        <f t="shared" si="108"/>
        <v>金币</v>
      </c>
      <c r="S547" s="15">
        <f t="shared" si="109"/>
        <v>800</v>
      </c>
      <c r="T547" s="15" t="str">
        <f t="shared" si="110"/>
        <v>低级专属强化石</v>
      </c>
      <c r="U547" s="15">
        <f t="shared" si="111"/>
        <v>5</v>
      </c>
      <c r="V547" s="15" t="str">
        <f t="shared" si="112"/>
        <v>[x]</v>
      </c>
      <c r="W547" s="15" t="str">
        <f t="shared" si="113"/>
        <v>[x]</v>
      </c>
      <c r="X547" s="15">
        <f t="shared" si="114"/>
        <v>0.38</v>
      </c>
      <c r="Y547" s="15">
        <f t="shared" si="115"/>
        <v>1</v>
      </c>
      <c r="Z547" s="15">
        <f t="shared" si="116"/>
        <v>5</v>
      </c>
      <c r="AA547" s="15">
        <f t="shared" si="117"/>
        <v>5.33E-2</v>
      </c>
    </row>
    <row r="548" spans="13:27" ht="16.5" x14ac:dyDescent="0.2">
      <c r="M548" s="15">
        <v>469</v>
      </c>
      <c r="N548" s="15">
        <f t="shared" si="106"/>
        <v>10</v>
      </c>
      <c r="O548" s="15">
        <f>INDEX(卡牌消耗!$H$13:$H$33,世界BOSS专属武器!N548)</f>
        <v>1501010</v>
      </c>
      <c r="P548" s="49" t="s">
        <v>480</v>
      </c>
      <c r="Q548" s="15">
        <f t="shared" si="107"/>
        <v>9</v>
      </c>
      <c r="R548" s="49" t="str">
        <f t="shared" si="108"/>
        <v>金币</v>
      </c>
      <c r="S548" s="15">
        <f t="shared" si="109"/>
        <v>900</v>
      </c>
      <c r="T548" s="15" t="str">
        <f t="shared" si="110"/>
        <v>低级专属强化石</v>
      </c>
      <c r="U548" s="15">
        <f t="shared" si="111"/>
        <v>5</v>
      </c>
      <c r="V548" s="15" t="str">
        <f t="shared" si="112"/>
        <v>[x]</v>
      </c>
      <c r="W548" s="15" t="str">
        <f t="shared" si="113"/>
        <v>[x]</v>
      </c>
      <c r="X548" s="15">
        <f t="shared" si="114"/>
        <v>0.36</v>
      </c>
      <c r="Y548" s="15">
        <f t="shared" si="115"/>
        <v>1</v>
      </c>
      <c r="Z548" s="15">
        <f t="shared" si="116"/>
        <v>5</v>
      </c>
      <c r="AA548" s="15">
        <f t="shared" si="117"/>
        <v>0.06</v>
      </c>
    </row>
    <row r="549" spans="13:27" ht="16.5" x14ac:dyDescent="0.2">
      <c r="M549" s="15">
        <v>470</v>
      </c>
      <c r="N549" s="15">
        <f t="shared" si="106"/>
        <v>10</v>
      </c>
      <c r="O549" s="15">
        <f>INDEX(卡牌消耗!$H$13:$H$33,世界BOSS专属武器!N549)</f>
        <v>1501010</v>
      </c>
      <c r="P549" s="49" t="s">
        <v>480</v>
      </c>
      <c r="Q549" s="15">
        <f t="shared" si="107"/>
        <v>10</v>
      </c>
      <c r="R549" s="49" t="str">
        <f t="shared" si="108"/>
        <v>金币</v>
      </c>
      <c r="S549" s="15">
        <f t="shared" si="109"/>
        <v>1000</v>
      </c>
      <c r="T549" s="15" t="str">
        <f t="shared" si="110"/>
        <v>低级专属强化石</v>
      </c>
      <c r="U549" s="15">
        <f t="shared" si="111"/>
        <v>7</v>
      </c>
      <c r="V549" s="15" t="str">
        <f t="shared" si="112"/>
        <v>[x]</v>
      </c>
      <c r="W549" s="15" t="str">
        <f t="shared" si="113"/>
        <v>[x]</v>
      </c>
      <c r="X549" s="15">
        <f t="shared" si="114"/>
        <v>0.35</v>
      </c>
      <c r="Y549" s="15">
        <f t="shared" si="115"/>
        <v>1</v>
      </c>
      <c r="Z549" s="15">
        <f t="shared" si="116"/>
        <v>5</v>
      </c>
      <c r="AA549" s="15">
        <f t="shared" si="117"/>
        <v>6.6699999999999995E-2</v>
      </c>
    </row>
    <row r="550" spans="13:27" ht="16.5" x14ac:dyDescent="0.2">
      <c r="M550" s="15">
        <v>471</v>
      </c>
      <c r="N550" s="15">
        <f t="shared" si="106"/>
        <v>10</v>
      </c>
      <c r="O550" s="15">
        <f>INDEX(卡牌消耗!$H$13:$H$33,世界BOSS专属武器!N550)</f>
        <v>1501010</v>
      </c>
      <c r="P550" s="49" t="s">
        <v>480</v>
      </c>
      <c r="Q550" s="15">
        <f t="shared" si="107"/>
        <v>11</v>
      </c>
      <c r="R550" s="49" t="str">
        <f t="shared" si="108"/>
        <v>金币</v>
      </c>
      <c r="S550" s="15">
        <f t="shared" si="109"/>
        <v>1000</v>
      </c>
      <c r="T550" s="15" t="str">
        <f t="shared" si="110"/>
        <v>低级专属强化石</v>
      </c>
      <c r="U550" s="15">
        <f t="shared" si="111"/>
        <v>7</v>
      </c>
      <c r="V550" s="15" t="str">
        <f t="shared" si="112"/>
        <v>[x]</v>
      </c>
      <c r="W550" s="15" t="str">
        <f t="shared" si="113"/>
        <v>[x]</v>
      </c>
      <c r="X550" s="15">
        <f t="shared" si="114"/>
        <v>0.33</v>
      </c>
      <c r="Y550" s="15">
        <f t="shared" si="115"/>
        <v>1</v>
      </c>
      <c r="Z550" s="15">
        <f t="shared" si="116"/>
        <v>6</v>
      </c>
      <c r="AA550" s="15">
        <f t="shared" si="117"/>
        <v>0.08</v>
      </c>
    </row>
    <row r="551" spans="13:27" ht="16.5" x14ac:dyDescent="0.2">
      <c r="M551" s="15">
        <v>472</v>
      </c>
      <c r="N551" s="15">
        <f t="shared" si="106"/>
        <v>10</v>
      </c>
      <c r="O551" s="15">
        <f>INDEX(卡牌消耗!$H$13:$H$33,世界BOSS专属武器!N551)</f>
        <v>1501010</v>
      </c>
      <c r="P551" s="49" t="s">
        <v>480</v>
      </c>
      <c r="Q551" s="15">
        <f t="shared" si="107"/>
        <v>12</v>
      </c>
      <c r="R551" s="49" t="str">
        <f t="shared" si="108"/>
        <v>金币</v>
      </c>
      <c r="S551" s="15">
        <f t="shared" si="109"/>
        <v>1000</v>
      </c>
      <c r="T551" s="15" t="str">
        <f t="shared" si="110"/>
        <v>低级专属强化石</v>
      </c>
      <c r="U551" s="15">
        <f t="shared" si="111"/>
        <v>7</v>
      </c>
      <c r="V551" s="15" t="str">
        <f t="shared" si="112"/>
        <v>[x]</v>
      </c>
      <c r="W551" s="15" t="str">
        <f t="shared" si="113"/>
        <v>[x]</v>
      </c>
      <c r="X551" s="15">
        <f t="shared" si="114"/>
        <v>0.31</v>
      </c>
      <c r="Y551" s="15">
        <f t="shared" si="115"/>
        <v>1</v>
      </c>
      <c r="Z551" s="15">
        <f t="shared" si="116"/>
        <v>6</v>
      </c>
      <c r="AA551" s="15">
        <f t="shared" si="117"/>
        <v>9.3299999999999994E-2</v>
      </c>
    </row>
    <row r="552" spans="13:27" ht="16.5" x14ac:dyDescent="0.2">
      <c r="M552" s="15">
        <v>473</v>
      </c>
      <c r="N552" s="15">
        <f t="shared" si="106"/>
        <v>10</v>
      </c>
      <c r="O552" s="15">
        <f>INDEX(卡牌消耗!$H$13:$H$33,世界BOSS专属武器!N552)</f>
        <v>1501010</v>
      </c>
      <c r="P552" s="49" t="s">
        <v>480</v>
      </c>
      <c r="Q552" s="15">
        <f t="shared" si="107"/>
        <v>13</v>
      </c>
      <c r="R552" s="49" t="str">
        <f t="shared" si="108"/>
        <v>金币</v>
      </c>
      <c r="S552" s="15">
        <f t="shared" si="109"/>
        <v>1000</v>
      </c>
      <c r="T552" s="15" t="str">
        <f t="shared" si="110"/>
        <v>低级专属强化石</v>
      </c>
      <c r="U552" s="15">
        <f t="shared" si="111"/>
        <v>7</v>
      </c>
      <c r="V552" s="15" t="str">
        <f t="shared" si="112"/>
        <v>[x]</v>
      </c>
      <c r="W552" s="15" t="str">
        <f t="shared" si="113"/>
        <v>[x]</v>
      </c>
      <c r="X552" s="15">
        <f t="shared" si="114"/>
        <v>0.28999999999999998</v>
      </c>
      <c r="Y552" s="15">
        <f t="shared" si="115"/>
        <v>1</v>
      </c>
      <c r="Z552" s="15">
        <f t="shared" si="116"/>
        <v>7</v>
      </c>
      <c r="AA552" s="15">
        <f t="shared" si="117"/>
        <v>0.1067</v>
      </c>
    </row>
    <row r="553" spans="13:27" ht="16.5" x14ac:dyDescent="0.2">
      <c r="M553" s="15">
        <v>474</v>
      </c>
      <c r="N553" s="15">
        <f t="shared" si="106"/>
        <v>10</v>
      </c>
      <c r="O553" s="15">
        <f>INDEX(卡牌消耗!$H$13:$H$33,世界BOSS专属武器!N553)</f>
        <v>1501010</v>
      </c>
      <c r="P553" s="49" t="s">
        <v>480</v>
      </c>
      <c r="Q553" s="15">
        <f t="shared" si="107"/>
        <v>14</v>
      </c>
      <c r="R553" s="49" t="str">
        <f t="shared" si="108"/>
        <v>金币</v>
      </c>
      <c r="S553" s="15">
        <f t="shared" si="109"/>
        <v>1000</v>
      </c>
      <c r="T553" s="15" t="str">
        <f t="shared" si="110"/>
        <v>低级专属强化石</v>
      </c>
      <c r="U553" s="15">
        <f t="shared" si="111"/>
        <v>7</v>
      </c>
      <c r="V553" s="15" t="str">
        <f t="shared" si="112"/>
        <v>[x]</v>
      </c>
      <c r="W553" s="15" t="str">
        <f t="shared" si="113"/>
        <v>[x]</v>
      </c>
      <c r="X553" s="15">
        <f t="shared" si="114"/>
        <v>0.27</v>
      </c>
      <c r="Y553" s="15">
        <f t="shared" si="115"/>
        <v>1</v>
      </c>
      <c r="Z553" s="15">
        <f t="shared" si="116"/>
        <v>7</v>
      </c>
      <c r="AA553" s="15">
        <f t="shared" si="117"/>
        <v>0.12</v>
      </c>
    </row>
    <row r="554" spans="13:27" ht="16.5" x14ac:dyDescent="0.2">
      <c r="M554" s="15">
        <v>475</v>
      </c>
      <c r="N554" s="15">
        <f t="shared" si="106"/>
        <v>10</v>
      </c>
      <c r="O554" s="15">
        <f>INDEX(卡牌消耗!$H$13:$H$33,世界BOSS专属武器!N554)</f>
        <v>1501010</v>
      </c>
      <c r="P554" s="49" t="s">
        <v>480</v>
      </c>
      <c r="Q554" s="15">
        <f t="shared" si="107"/>
        <v>15</v>
      </c>
      <c r="R554" s="49" t="str">
        <f t="shared" si="108"/>
        <v>金币</v>
      </c>
      <c r="S554" s="15">
        <f t="shared" si="109"/>
        <v>1000</v>
      </c>
      <c r="T554" s="15" t="str">
        <f t="shared" si="110"/>
        <v>低级专属强化石</v>
      </c>
      <c r="U554" s="15">
        <f t="shared" si="111"/>
        <v>10</v>
      </c>
      <c r="V554" s="15" t="str">
        <f t="shared" si="112"/>
        <v>[x]</v>
      </c>
      <c r="W554" s="15" t="str">
        <f t="shared" si="113"/>
        <v>[x]</v>
      </c>
      <c r="X554" s="15">
        <f t="shared" si="114"/>
        <v>0.25</v>
      </c>
      <c r="Y554" s="15">
        <f t="shared" si="115"/>
        <v>1</v>
      </c>
      <c r="Z554" s="15">
        <f t="shared" si="116"/>
        <v>8</v>
      </c>
      <c r="AA554" s="15">
        <f t="shared" si="117"/>
        <v>0.1333</v>
      </c>
    </row>
    <row r="555" spans="13:27" ht="16.5" x14ac:dyDescent="0.2">
      <c r="M555" s="15">
        <v>476</v>
      </c>
      <c r="N555" s="15">
        <f t="shared" si="106"/>
        <v>10</v>
      </c>
      <c r="O555" s="15">
        <f>INDEX(卡牌消耗!$H$13:$H$33,世界BOSS专属武器!N555)</f>
        <v>1501010</v>
      </c>
      <c r="P555" s="49" t="s">
        <v>480</v>
      </c>
      <c r="Q555" s="15">
        <f t="shared" si="107"/>
        <v>16</v>
      </c>
      <c r="R555" s="49" t="str">
        <f t="shared" si="108"/>
        <v>金币</v>
      </c>
      <c r="S555" s="15">
        <f t="shared" si="109"/>
        <v>1000</v>
      </c>
      <c r="T555" s="15" t="str">
        <f t="shared" si="110"/>
        <v>低级专属强化石</v>
      </c>
      <c r="U555" s="15">
        <f t="shared" si="111"/>
        <v>10</v>
      </c>
      <c r="V555" s="15" t="str">
        <f t="shared" si="112"/>
        <v>[x]</v>
      </c>
      <c r="W555" s="15" t="str">
        <f t="shared" si="113"/>
        <v>[x]</v>
      </c>
      <c r="X555" s="15">
        <f t="shared" si="114"/>
        <v>0.23</v>
      </c>
      <c r="Y555" s="15">
        <f t="shared" si="115"/>
        <v>1</v>
      </c>
      <c r="Z555" s="15">
        <f t="shared" si="116"/>
        <v>9</v>
      </c>
      <c r="AA555" s="15">
        <f t="shared" si="117"/>
        <v>0.1467</v>
      </c>
    </row>
    <row r="556" spans="13:27" ht="16.5" x14ac:dyDescent="0.2">
      <c r="M556" s="15">
        <v>477</v>
      </c>
      <c r="N556" s="15">
        <f t="shared" si="106"/>
        <v>10</v>
      </c>
      <c r="O556" s="15">
        <f>INDEX(卡牌消耗!$H$13:$H$33,世界BOSS专属武器!N556)</f>
        <v>1501010</v>
      </c>
      <c r="P556" s="49" t="s">
        <v>480</v>
      </c>
      <c r="Q556" s="15">
        <f t="shared" si="107"/>
        <v>17</v>
      </c>
      <c r="R556" s="49" t="str">
        <f t="shared" si="108"/>
        <v>金币</v>
      </c>
      <c r="S556" s="15">
        <f t="shared" si="109"/>
        <v>1000</v>
      </c>
      <c r="T556" s="15" t="str">
        <f t="shared" si="110"/>
        <v>低级专属强化石</v>
      </c>
      <c r="U556" s="15">
        <f t="shared" si="111"/>
        <v>10</v>
      </c>
      <c r="V556" s="15" t="str">
        <f t="shared" si="112"/>
        <v>[x]</v>
      </c>
      <c r="W556" s="15" t="str">
        <f t="shared" si="113"/>
        <v>[x]</v>
      </c>
      <c r="X556" s="15">
        <f t="shared" si="114"/>
        <v>0.21</v>
      </c>
      <c r="Y556" s="15">
        <f t="shared" si="115"/>
        <v>1</v>
      </c>
      <c r="Z556" s="15">
        <f t="shared" si="116"/>
        <v>10</v>
      </c>
      <c r="AA556" s="15">
        <f t="shared" si="117"/>
        <v>0.16</v>
      </c>
    </row>
    <row r="557" spans="13:27" ht="16.5" x14ac:dyDescent="0.2">
      <c r="M557" s="15">
        <v>478</v>
      </c>
      <c r="N557" s="15">
        <f t="shared" si="106"/>
        <v>10</v>
      </c>
      <c r="O557" s="15">
        <f>INDEX(卡牌消耗!$H$13:$H$33,世界BOSS专属武器!N557)</f>
        <v>1501010</v>
      </c>
      <c r="P557" s="49" t="s">
        <v>480</v>
      </c>
      <c r="Q557" s="15">
        <f t="shared" si="107"/>
        <v>18</v>
      </c>
      <c r="R557" s="49" t="str">
        <f t="shared" si="108"/>
        <v>金币</v>
      </c>
      <c r="S557" s="15">
        <f t="shared" si="109"/>
        <v>1000</v>
      </c>
      <c r="T557" s="15" t="str">
        <f t="shared" si="110"/>
        <v>低级专属强化石</v>
      </c>
      <c r="U557" s="15">
        <f t="shared" si="111"/>
        <v>10</v>
      </c>
      <c r="V557" s="15" t="str">
        <f t="shared" si="112"/>
        <v>[x]</v>
      </c>
      <c r="W557" s="15" t="str">
        <f t="shared" si="113"/>
        <v>[x]</v>
      </c>
      <c r="X557" s="15">
        <f t="shared" si="114"/>
        <v>0.19</v>
      </c>
      <c r="Y557" s="15">
        <f t="shared" si="115"/>
        <v>1</v>
      </c>
      <c r="Z557" s="15">
        <f t="shared" si="116"/>
        <v>11</v>
      </c>
      <c r="AA557" s="15">
        <f t="shared" si="117"/>
        <v>0.17330000000000001</v>
      </c>
    </row>
    <row r="558" spans="13:27" ht="16.5" x14ac:dyDescent="0.2">
      <c r="M558" s="15">
        <v>479</v>
      </c>
      <c r="N558" s="15">
        <f t="shared" si="106"/>
        <v>10</v>
      </c>
      <c r="O558" s="15">
        <f>INDEX(卡牌消耗!$H$13:$H$33,世界BOSS专属武器!N558)</f>
        <v>1501010</v>
      </c>
      <c r="P558" s="49" t="s">
        <v>480</v>
      </c>
      <c r="Q558" s="15">
        <f t="shared" si="107"/>
        <v>19</v>
      </c>
      <c r="R558" s="49" t="str">
        <f t="shared" si="108"/>
        <v>金币</v>
      </c>
      <c r="S558" s="15">
        <f t="shared" si="109"/>
        <v>1000</v>
      </c>
      <c r="T558" s="15" t="str">
        <f t="shared" si="110"/>
        <v>低级专属强化石</v>
      </c>
      <c r="U558" s="15">
        <f t="shared" si="111"/>
        <v>10</v>
      </c>
      <c r="V558" s="15" t="str">
        <f t="shared" si="112"/>
        <v>[x]</v>
      </c>
      <c r="W558" s="15" t="str">
        <f t="shared" si="113"/>
        <v>[x]</v>
      </c>
      <c r="X558" s="15">
        <f t="shared" si="114"/>
        <v>0.17</v>
      </c>
      <c r="Y558" s="15">
        <f t="shared" si="115"/>
        <v>1</v>
      </c>
      <c r="Z558" s="15">
        <f t="shared" si="116"/>
        <v>12</v>
      </c>
      <c r="AA558" s="15">
        <f t="shared" si="117"/>
        <v>0.1867</v>
      </c>
    </row>
    <row r="559" spans="13:27" ht="16.5" x14ac:dyDescent="0.2">
      <c r="M559" s="15">
        <v>480</v>
      </c>
      <c r="N559" s="15">
        <f t="shared" si="106"/>
        <v>10</v>
      </c>
      <c r="O559" s="15">
        <f>INDEX(卡牌消耗!$H$13:$H$33,世界BOSS专属武器!N559)</f>
        <v>1501010</v>
      </c>
      <c r="P559" s="49" t="s">
        <v>480</v>
      </c>
      <c r="Q559" s="15">
        <f t="shared" si="107"/>
        <v>20</v>
      </c>
      <c r="R559" s="49" t="str">
        <f t="shared" si="108"/>
        <v>金币</v>
      </c>
      <c r="S559" s="15">
        <f t="shared" si="109"/>
        <v>5000</v>
      </c>
      <c r="T559" s="15" t="str">
        <f t="shared" si="110"/>
        <v>低级专属强化石</v>
      </c>
      <c r="U559" s="15">
        <f t="shared" si="111"/>
        <v>15</v>
      </c>
      <c r="V559" s="15" t="str">
        <f t="shared" si="112"/>
        <v>中级专属强化石</v>
      </c>
      <c r="W559" s="15">
        <f t="shared" si="113"/>
        <v>7</v>
      </c>
      <c r="X559" s="15">
        <f t="shared" si="114"/>
        <v>0.15</v>
      </c>
      <c r="Y559" s="15">
        <f t="shared" si="115"/>
        <v>1</v>
      </c>
      <c r="Z559" s="15">
        <f t="shared" si="116"/>
        <v>15</v>
      </c>
      <c r="AA559" s="15">
        <f t="shared" si="117"/>
        <v>0.2</v>
      </c>
    </row>
    <row r="560" spans="13:27" ht="16.5" x14ac:dyDescent="0.2">
      <c r="M560" s="15">
        <v>481</v>
      </c>
      <c r="N560" s="15">
        <f t="shared" si="106"/>
        <v>10</v>
      </c>
      <c r="O560" s="15">
        <f>INDEX(卡牌消耗!$H$13:$H$33,世界BOSS专属武器!N560)</f>
        <v>1501010</v>
      </c>
      <c r="P560" s="49" t="s">
        <v>480</v>
      </c>
      <c r="Q560" s="15">
        <f t="shared" si="107"/>
        <v>21</v>
      </c>
      <c r="R560" s="49" t="str">
        <f t="shared" si="108"/>
        <v>金币</v>
      </c>
      <c r="S560" s="15">
        <f t="shared" si="109"/>
        <v>5000</v>
      </c>
      <c r="T560" s="15" t="str">
        <f t="shared" si="110"/>
        <v>低级专属强化石</v>
      </c>
      <c r="U560" s="15">
        <f t="shared" si="111"/>
        <v>15</v>
      </c>
      <c r="V560" s="15" t="str">
        <f t="shared" si="112"/>
        <v>中级专属强化石</v>
      </c>
      <c r="W560" s="15">
        <f t="shared" si="113"/>
        <v>7</v>
      </c>
      <c r="X560" s="15">
        <f t="shared" si="114"/>
        <v>0.15</v>
      </c>
      <c r="Y560" s="15">
        <f t="shared" si="115"/>
        <v>1</v>
      </c>
      <c r="Z560" s="15">
        <f t="shared" si="116"/>
        <v>15</v>
      </c>
      <c r="AA560" s="15">
        <f t="shared" si="117"/>
        <v>0.22</v>
      </c>
    </row>
    <row r="561" spans="13:27" ht="16.5" x14ac:dyDescent="0.2">
      <c r="M561" s="15">
        <v>482</v>
      </c>
      <c r="N561" s="15">
        <f t="shared" si="106"/>
        <v>10</v>
      </c>
      <c r="O561" s="15">
        <f>INDEX(卡牌消耗!$H$13:$H$33,世界BOSS专属武器!N561)</f>
        <v>1501010</v>
      </c>
      <c r="P561" s="49" t="s">
        <v>480</v>
      </c>
      <c r="Q561" s="15">
        <f t="shared" si="107"/>
        <v>22</v>
      </c>
      <c r="R561" s="49" t="str">
        <f t="shared" si="108"/>
        <v>金币</v>
      </c>
      <c r="S561" s="15">
        <f t="shared" si="109"/>
        <v>5000</v>
      </c>
      <c r="T561" s="15" t="str">
        <f t="shared" si="110"/>
        <v>低级专属强化石</v>
      </c>
      <c r="U561" s="15">
        <f t="shared" si="111"/>
        <v>15</v>
      </c>
      <c r="V561" s="15" t="str">
        <f t="shared" si="112"/>
        <v>中级专属强化石</v>
      </c>
      <c r="W561" s="15">
        <f t="shared" si="113"/>
        <v>7</v>
      </c>
      <c r="X561" s="15">
        <f t="shared" si="114"/>
        <v>0.15</v>
      </c>
      <c r="Y561" s="15">
        <f t="shared" si="115"/>
        <v>1</v>
      </c>
      <c r="Z561" s="15">
        <f t="shared" si="116"/>
        <v>15</v>
      </c>
      <c r="AA561" s="15">
        <f t="shared" si="117"/>
        <v>0.24</v>
      </c>
    </row>
    <row r="562" spans="13:27" ht="16.5" x14ac:dyDescent="0.2">
      <c r="M562" s="15">
        <v>483</v>
      </c>
      <c r="N562" s="15">
        <f t="shared" si="106"/>
        <v>10</v>
      </c>
      <c r="O562" s="15">
        <f>INDEX(卡牌消耗!$H$13:$H$33,世界BOSS专属武器!N562)</f>
        <v>1501010</v>
      </c>
      <c r="P562" s="49" t="s">
        <v>480</v>
      </c>
      <c r="Q562" s="15">
        <f t="shared" si="107"/>
        <v>23</v>
      </c>
      <c r="R562" s="49" t="str">
        <f t="shared" si="108"/>
        <v>金币</v>
      </c>
      <c r="S562" s="15">
        <f t="shared" si="109"/>
        <v>5000</v>
      </c>
      <c r="T562" s="15" t="str">
        <f t="shared" si="110"/>
        <v>低级专属强化石</v>
      </c>
      <c r="U562" s="15">
        <f t="shared" si="111"/>
        <v>15</v>
      </c>
      <c r="V562" s="15" t="str">
        <f t="shared" si="112"/>
        <v>中级专属强化石</v>
      </c>
      <c r="W562" s="15">
        <f t="shared" si="113"/>
        <v>7</v>
      </c>
      <c r="X562" s="15">
        <f t="shared" si="114"/>
        <v>0.15</v>
      </c>
      <c r="Y562" s="15">
        <f t="shared" si="115"/>
        <v>1</v>
      </c>
      <c r="Z562" s="15">
        <f t="shared" si="116"/>
        <v>18</v>
      </c>
      <c r="AA562" s="15">
        <f t="shared" si="117"/>
        <v>0.26</v>
      </c>
    </row>
    <row r="563" spans="13:27" ht="16.5" x14ac:dyDescent="0.2">
      <c r="M563" s="15">
        <v>484</v>
      </c>
      <c r="N563" s="15">
        <f t="shared" si="106"/>
        <v>10</v>
      </c>
      <c r="O563" s="15">
        <f>INDEX(卡牌消耗!$H$13:$H$33,世界BOSS专属武器!N563)</f>
        <v>1501010</v>
      </c>
      <c r="P563" s="49" t="s">
        <v>480</v>
      </c>
      <c r="Q563" s="15">
        <f t="shared" si="107"/>
        <v>24</v>
      </c>
      <c r="R563" s="49" t="str">
        <f t="shared" si="108"/>
        <v>金币</v>
      </c>
      <c r="S563" s="15">
        <f t="shared" si="109"/>
        <v>5000</v>
      </c>
      <c r="T563" s="15" t="str">
        <f t="shared" si="110"/>
        <v>低级专属强化石</v>
      </c>
      <c r="U563" s="15">
        <f t="shared" si="111"/>
        <v>15</v>
      </c>
      <c r="V563" s="15" t="str">
        <f t="shared" si="112"/>
        <v>中级专属强化石</v>
      </c>
      <c r="W563" s="15">
        <f t="shared" si="113"/>
        <v>7</v>
      </c>
      <c r="X563" s="15">
        <f t="shared" si="114"/>
        <v>0.15</v>
      </c>
      <c r="Y563" s="15">
        <f t="shared" si="115"/>
        <v>1</v>
      </c>
      <c r="Z563" s="15">
        <f t="shared" si="116"/>
        <v>18</v>
      </c>
      <c r="AA563" s="15">
        <f t="shared" si="117"/>
        <v>0.28000000000000003</v>
      </c>
    </row>
    <row r="564" spans="13:27" ht="16.5" x14ac:dyDescent="0.2">
      <c r="M564" s="15">
        <v>485</v>
      </c>
      <c r="N564" s="15">
        <f t="shared" si="106"/>
        <v>10</v>
      </c>
      <c r="O564" s="15">
        <f>INDEX(卡牌消耗!$H$13:$H$33,世界BOSS专属武器!N564)</f>
        <v>1501010</v>
      </c>
      <c r="P564" s="49" t="s">
        <v>480</v>
      </c>
      <c r="Q564" s="15">
        <f t="shared" si="107"/>
        <v>25</v>
      </c>
      <c r="R564" s="49" t="str">
        <f t="shared" si="108"/>
        <v>金币</v>
      </c>
      <c r="S564" s="15">
        <f t="shared" si="109"/>
        <v>5000</v>
      </c>
      <c r="T564" s="15" t="str">
        <f t="shared" si="110"/>
        <v>低级专属强化石</v>
      </c>
      <c r="U564" s="15">
        <f t="shared" si="111"/>
        <v>15</v>
      </c>
      <c r="V564" s="15" t="str">
        <f t="shared" si="112"/>
        <v>中级专属强化石</v>
      </c>
      <c r="W564" s="15">
        <f t="shared" si="113"/>
        <v>7</v>
      </c>
      <c r="X564" s="15">
        <f t="shared" si="114"/>
        <v>0.15</v>
      </c>
      <c r="Y564" s="15">
        <f t="shared" si="115"/>
        <v>1</v>
      </c>
      <c r="Z564" s="15">
        <f t="shared" si="116"/>
        <v>18</v>
      </c>
      <c r="AA564" s="15">
        <f t="shared" si="117"/>
        <v>0.3</v>
      </c>
    </row>
    <row r="565" spans="13:27" ht="16.5" x14ac:dyDescent="0.2">
      <c r="M565" s="15">
        <v>486</v>
      </c>
      <c r="N565" s="15">
        <f t="shared" si="106"/>
        <v>10</v>
      </c>
      <c r="O565" s="15">
        <f>INDEX(卡牌消耗!$H$13:$H$33,世界BOSS专属武器!N565)</f>
        <v>1501010</v>
      </c>
      <c r="P565" s="49" t="s">
        <v>480</v>
      </c>
      <c r="Q565" s="15">
        <f t="shared" si="107"/>
        <v>26</v>
      </c>
      <c r="R565" s="49" t="str">
        <f t="shared" si="108"/>
        <v>金币</v>
      </c>
      <c r="S565" s="15">
        <f t="shared" si="109"/>
        <v>5000</v>
      </c>
      <c r="T565" s="15" t="str">
        <f t="shared" si="110"/>
        <v>低级专属强化石</v>
      </c>
      <c r="U565" s="15">
        <f t="shared" si="111"/>
        <v>15</v>
      </c>
      <c r="V565" s="15" t="str">
        <f t="shared" si="112"/>
        <v>中级专属强化石</v>
      </c>
      <c r="W565" s="15">
        <f t="shared" si="113"/>
        <v>7</v>
      </c>
      <c r="X565" s="15">
        <f t="shared" si="114"/>
        <v>0.15</v>
      </c>
      <c r="Y565" s="15">
        <f t="shared" si="115"/>
        <v>1</v>
      </c>
      <c r="Z565" s="15">
        <f t="shared" si="116"/>
        <v>21</v>
      </c>
      <c r="AA565" s="15">
        <f t="shared" si="117"/>
        <v>0.32</v>
      </c>
    </row>
    <row r="566" spans="13:27" ht="16.5" x14ac:dyDescent="0.2">
      <c r="M566" s="15">
        <v>487</v>
      </c>
      <c r="N566" s="15">
        <f t="shared" si="106"/>
        <v>10</v>
      </c>
      <c r="O566" s="15">
        <f>INDEX(卡牌消耗!$H$13:$H$33,世界BOSS专属武器!N566)</f>
        <v>1501010</v>
      </c>
      <c r="P566" s="49" t="s">
        <v>480</v>
      </c>
      <c r="Q566" s="15">
        <f t="shared" si="107"/>
        <v>27</v>
      </c>
      <c r="R566" s="49" t="str">
        <f t="shared" si="108"/>
        <v>金币</v>
      </c>
      <c r="S566" s="15">
        <f t="shared" si="109"/>
        <v>5000</v>
      </c>
      <c r="T566" s="15" t="str">
        <f t="shared" si="110"/>
        <v>低级专属强化石</v>
      </c>
      <c r="U566" s="15">
        <f t="shared" si="111"/>
        <v>15</v>
      </c>
      <c r="V566" s="15" t="str">
        <f t="shared" si="112"/>
        <v>中级专属强化石</v>
      </c>
      <c r="W566" s="15">
        <f t="shared" si="113"/>
        <v>7</v>
      </c>
      <c r="X566" s="15">
        <f t="shared" si="114"/>
        <v>0.15</v>
      </c>
      <c r="Y566" s="15">
        <f t="shared" si="115"/>
        <v>1</v>
      </c>
      <c r="Z566" s="15">
        <f t="shared" si="116"/>
        <v>22</v>
      </c>
      <c r="AA566" s="15">
        <f t="shared" si="117"/>
        <v>0.34</v>
      </c>
    </row>
    <row r="567" spans="13:27" ht="16.5" x14ac:dyDescent="0.2">
      <c r="M567" s="15">
        <v>488</v>
      </c>
      <c r="N567" s="15">
        <f t="shared" si="106"/>
        <v>10</v>
      </c>
      <c r="O567" s="15">
        <f>INDEX(卡牌消耗!$H$13:$H$33,世界BOSS专属武器!N567)</f>
        <v>1501010</v>
      </c>
      <c r="P567" s="49" t="s">
        <v>480</v>
      </c>
      <c r="Q567" s="15">
        <f t="shared" si="107"/>
        <v>28</v>
      </c>
      <c r="R567" s="49" t="str">
        <f t="shared" si="108"/>
        <v>金币</v>
      </c>
      <c r="S567" s="15">
        <f t="shared" si="109"/>
        <v>5000</v>
      </c>
      <c r="T567" s="15" t="str">
        <f t="shared" si="110"/>
        <v>低级专属强化石</v>
      </c>
      <c r="U567" s="15">
        <f t="shared" si="111"/>
        <v>15</v>
      </c>
      <c r="V567" s="15" t="str">
        <f t="shared" si="112"/>
        <v>中级专属强化石</v>
      </c>
      <c r="W567" s="15">
        <f t="shared" si="113"/>
        <v>7</v>
      </c>
      <c r="X567" s="15">
        <f t="shared" si="114"/>
        <v>0.15</v>
      </c>
      <c r="Y567" s="15">
        <f t="shared" si="115"/>
        <v>1</v>
      </c>
      <c r="Z567" s="15">
        <f t="shared" si="116"/>
        <v>23</v>
      </c>
      <c r="AA567" s="15">
        <f t="shared" si="117"/>
        <v>0.36</v>
      </c>
    </row>
    <row r="568" spans="13:27" ht="16.5" x14ac:dyDescent="0.2">
      <c r="M568" s="15">
        <v>489</v>
      </c>
      <c r="N568" s="15">
        <f t="shared" si="106"/>
        <v>10</v>
      </c>
      <c r="O568" s="15">
        <f>INDEX(卡牌消耗!$H$13:$H$33,世界BOSS专属武器!N568)</f>
        <v>1501010</v>
      </c>
      <c r="P568" s="49" t="s">
        <v>480</v>
      </c>
      <c r="Q568" s="15">
        <f t="shared" si="107"/>
        <v>29</v>
      </c>
      <c r="R568" s="49" t="str">
        <f t="shared" si="108"/>
        <v>金币</v>
      </c>
      <c r="S568" s="15">
        <f t="shared" si="109"/>
        <v>5000</v>
      </c>
      <c r="T568" s="15" t="str">
        <f t="shared" si="110"/>
        <v>低级专属强化石</v>
      </c>
      <c r="U568" s="15">
        <f t="shared" si="111"/>
        <v>15</v>
      </c>
      <c r="V568" s="15" t="str">
        <f t="shared" si="112"/>
        <v>中级专属强化石</v>
      </c>
      <c r="W568" s="15">
        <f t="shared" si="113"/>
        <v>7</v>
      </c>
      <c r="X568" s="15">
        <f t="shared" si="114"/>
        <v>0.15</v>
      </c>
      <c r="Y568" s="15">
        <f t="shared" si="115"/>
        <v>1</v>
      </c>
      <c r="Z568" s="15">
        <f t="shared" si="116"/>
        <v>25</v>
      </c>
      <c r="AA568" s="15">
        <f t="shared" si="117"/>
        <v>0.38</v>
      </c>
    </row>
    <row r="569" spans="13:27" ht="16.5" x14ac:dyDescent="0.2">
      <c r="M569" s="15">
        <v>490</v>
      </c>
      <c r="N569" s="15">
        <f t="shared" si="106"/>
        <v>10</v>
      </c>
      <c r="O569" s="15">
        <f>INDEX(卡牌消耗!$H$13:$H$33,世界BOSS专属武器!N569)</f>
        <v>1501010</v>
      </c>
      <c r="P569" s="49" t="s">
        <v>480</v>
      </c>
      <c r="Q569" s="15">
        <f t="shared" si="107"/>
        <v>30</v>
      </c>
      <c r="R569" s="49" t="str">
        <f t="shared" si="108"/>
        <v>金币</v>
      </c>
      <c r="S569" s="15">
        <f t="shared" si="109"/>
        <v>10000</v>
      </c>
      <c r="T569" s="15" t="str">
        <f t="shared" si="110"/>
        <v>中级专属强化石</v>
      </c>
      <c r="U569" s="15">
        <f t="shared" si="111"/>
        <v>8</v>
      </c>
      <c r="V569" s="15" t="str">
        <f t="shared" si="112"/>
        <v>高级专属强化石</v>
      </c>
      <c r="W569" s="15">
        <f t="shared" si="113"/>
        <v>3</v>
      </c>
      <c r="X569" s="15">
        <f t="shared" si="114"/>
        <v>0.1</v>
      </c>
      <c r="Y569" s="15">
        <f t="shared" si="115"/>
        <v>1</v>
      </c>
      <c r="Z569" s="15">
        <f t="shared" si="116"/>
        <v>30</v>
      </c>
      <c r="AA569" s="15">
        <f t="shared" si="117"/>
        <v>0.4</v>
      </c>
    </row>
    <row r="570" spans="13:27" ht="16.5" x14ac:dyDescent="0.2">
      <c r="M570" s="15">
        <v>491</v>
      </c>
      <c r="N570" s="15">
        <f t="shared" si="106"/>
        <v>10</v>
      </c>
      <c r="O570" s="15">
        <f>INDEX(卡牌消耗!$H$13:$H$33,世界BOSS专属武器!N570)</f>
        <v>1501010</v>
      </c>
      <c r="P570" s="49" t="s">
        <v>480</v>
      </c>
      <c r="Q570" s="15">
        <f t="shared" si="107"/>
        <v>31</v>
      </c>
      <c r="R570" s="49" t="str">
        <f t="shared" si="108"/>
        <v>金币</v>
      </c>
      <c r="S570" s="15">
        <f t="shared" si="109"/>
        <v>10000</v>
      </c>
      <c r="T570" s="15" t="str">
        <f t="shared" si="110"/>
        <v>中级专属强化石</v>
      </c>
      <c r="U570" s="15">
        <f t="shared" si="111"/>
        <v>8</v>
      </c>
      <c r="V570" s="15" t="str">
        <f t="shared" si="112"/>
        <v>高级专属强化石</v>
      </c>
      <c r="W570" s="15">
        <f t="shared" si="113"/>
        <v>3</v>
      </c>
      <c r="X570" s="15">
        <f t="shared" si="114"/>
        <v>0.1</v>
      </c>
      <c r="Y570" s="15">
        <f t="shared" si="115"/>
        <v>1</v>
      </c>
      <c r="Z570" s="15">
        <f t="shared" si="116"/>
        <v>30</v>
      </c>
      <c r="AA570" s="15">
        <f t="shared" si="117"/>
        <v>0.42670000000000002</v>
      </c>
    </row>
    <row r="571" spans="13:27" ht="16.5" x14ac:dyDescent="0.2">
      <c r="M571" s="15">
        <v>492</v>
      </c>
      <c r="N571" s="15">
        <f t="shared" si="106"/>
        <v>10</v>
      </c>
      <c r="O571" s="15">
        <f>INDEX(卡牌消耗!$H$13:$H$33,世界BOSS专属武器!N571)</f>
        <v>1501010</v>
      </c>
      <c r="P571" s="49" t="s">
        <v>480</v>
      </c>
      <c r="Q571" s="15">
        <f t="shared" si="107"/>
        <v>32</v>
      </c>
      <c r="R571" s="49" t="str">
        <f t="shared" si="108"/>
        <v>金币</v>
      </c>
      <c r="S571" s="15">
        <f t="shared" si="109"/>
        <v>10000</v>
      </c>
      <c r="T571" s="15" t="str">
        <f t="shared" si="110"/>
        <v>中级专属强化石</v>
      </c>
      <c r="U571" s="15">
        <f t="shared" si="111"/>
        <v>8</v>
      </c>
      <c r="V571" s="15" t="str">
        <f t="shared" si="112"/>
        <v>高级专属强化石</v>
      </c>
      <c r="W571" s="15">
        <f t="shared" si="113"/>
        <v>3</v>
      </c>
      <c r="X571" s="15">
        <f t="shared" si="114"/>
        <v>0.1</v>
      </c>
      <c r="Y571" s="15">
        <f t="shared" si="115"/>
        <v>1</v>
      </c>
      <c r="Z571" s="15">
        <f t="shared" si="116"/>
        <v>30</v>
      </c>
      <c r="AA571" s="15">
        <f t="shared" si="117"/>
        <v>0.45329999999999998</v>
      </c>
    </row>
    <row r="572" spans="13:27" ht="16.5" x14ac:dyDescent="0.2">
      <c r="M572" s="15">
        <v>493</v>
      </c>
      <c r="N572" s="15">
        <f t="shared" si="106"/>
        <v>10</v>
      </c>
      <c r="O572" s="15">
        <f>INDEX(卡牌消耗!$H$13:$H$33,世界BOSS专属武器!N572)</f>
        <v>1501010</v>
      </c>
      <c r="P572" s="49" t="s">
        <v>480</v>
      </c>
      <c r="Q572" s="15">
        <f t="shared" si="107"/>
        <v>33</v>
      </c>
      <c r="R572" s="49" t="str">
        <f t="shared" si="108"/>
        <v>金币</v>
      </c>
      <c r="S572" s="15">
        <f t="shared" si="109"/>
        <v>10000</v>
      </c>
      <c r="T572" s="15" t="str">
        <f t="shared" si="110"/>
        <v>中级专属强化石</v>
      </c>
      <c r="U572" s="15">
        <f t="shared" si="111"/>
        <v>8</v>
      </c>
      <c r="V572" s="15" t="str">
        <f t="shared" si="112"/>
        <v>高级专属强化石</v>
      </c>
      <c r="W572" s="15">
        <f t="shared" si="113"/>
        <v>3</v>
      </c>
      <c r="X572" s="15">
        <f t="shared" si="114"/>
        <v>0.1</v>
      </c>
      <c r="Y572" s="15">
        <f t="shared" si="115"/>
        <v>1</v>
      </c>
      <c r="Z572" s="15">
        <f t="shared" si="116"/>
        <v>30</v>
      </c>
      <c r="AA572" s="15">
        <f t="shared" si="117"/>
        <v>0.48</v>
      </c>
    </row>
    <row r="573" spans="13:27" ht="16.5" x14ac:dyDescent="0.2">
      <c r="M573" s="15">
        <v>494</v>
      </c>
      <c r="N573" s="15">
        <f t="shared" si="106"/>
        <v>10</v>
      </c>
      <c r="O573" s="15">
        <f>INDEX(卡牌消耗!$H$13:$H$33,世界BOSS专属武器!N573)</f>
        <v>1501010</v>
      </c>
      <c r="P573" s="49" t="s">
        <v>480</v>
      </c>
      <c r="Q573" s="15">
        <f t="shared" si="107"/>
        <v>34</v>
      </c>
      <c r="R573" s="49" t="str">
        <f t="shared" si="108"/>
        <v>金币</v>
      </c>
      <c r="S573" s="15">
        <f t="shared" si="109"/>
        <v>10000</v>
      </c>
      <c r="T573" s="15" t="str">
        <f t="shared" si="110"/>
        <v>中级专属强化石</v>
      </c>
      <c r="U573" s="15">
        <f t="shared" si="111"/>
        <v>8</v>
      </c>
      <c r="V573" s="15" t="str">
        <f t="shared" si="112"/>
        <v>高级专属强化石</v>
      </c>
      <c r="W573" s="15">
        <f t="shared" si="113"/>
        <v>3</v>
      </c>
      <c r="X573" s="15">
        <f t="shared" si="114"/>
        <v>0.1</v>
      </c>
      <c r="Y573" s="15">
        <f t="shared" si="115"/>
        <v>1</v>
      </c>
      <c r="Z573" s="15">
        <f t="shared" si="116"/>
        <v>30</v>
      </c>
      <c r="AA573" s="15">
        <f t="shared" si="117"/>
        <v>0.50670000000000004</v>
      </c>
    </row>
    <row r="574" spans="13:27" ht="16.5" x14ac:dyDescent="0.2">
      <c r="M574" s="15">
        <v>495</v>
      </c>
      <c r="N574" s="15">
        <f t="shared" si="106"/>
        <v>10</v>
      </c>
      <c r="O574" s="15">
        <f>INDEX(卡牌消耗!$H$13:$H$33,世界BOSS专属武器!N574)</f>
        <v>1501010</v>
      </c>
      <c r="P574" s="49" t="s">
        <v>480</v>
      </c>
      <c r="Q574" s="15">
        <f t="shared" si="107"/>
        <v>35</v>
      </c>
      <c r="R574" s="49" t="str">
        <f t="shared" si="108"/>
        <v>金币</v>
      </c>
      <c r="S574" s="15">
        <f t="shared" si="109"/>
        <v>10000</v>
      </c>
      <c r="T574" s="15" t="str">
        <f t="shared" si="110"/>
        <v>中级专属强化石</v>
      </c>
      <c r="U574" s="15">
        <f t="shared" si="111"/>
        <v>8</v>
      </c>
      <c r="V574" s="15" t="str">
        <f t="shared" si="112"/>
        <v>高级专属强化石</v>
      </c>
      <c r="W574" s="15">
        <f t="shared" si="113"/>
        <v>3</v>
      </c>
      <c r="X574" s="15">
        <f t="shared" si="114"/>
        <v>0.1</v>
      </c>
      <c r="Y574" s="15">
        <f t="shared" si="115"/>
        <v>1</v>
      </c>
      <c r="Z574" s="15">
        <f t="shared" si="116"/>
        <v>30</v>
      </c>
      <c r="AA574" s="15">
        <f t="shared" si="117"/>
        <v>0.5333</v>
      </c>
    </row>
    <row r="575" spans="13:27" ht="16.5" x14ac:dyDescent="0.2">
      <c r="M575" s="15">
        <v>496</v>
      </c>
      <c r="N575" s="15">
        <f t="shared" si="106"/>
        <v>10</v>
      </c>
      <c r="O575" s="15">
        <f>INDEX(卡牌消耗!$H$13:$H$33,世界BOSS专属武器!N575)</f>
        <v>1501010</v>
      </c>
      <c r="P575" s="49" t="s">
        <v>480</v>
      </c>
      <c r="Q575" s="15">
        <f t="shared" si="107"/>
        <v>36</v>
      </c>
      <c r="R575" s="49" t="str">
        <f t="shared" si="108"/>
        <v>金币</v>
      </c>
      <c r="S575" s="15">
        <f t="shared" si="109"/>
        <v>10000</v>
      </c>
      <c r="T575" s="15" t="str">
        <f t="shared" si="110"/>
        <v>中级专属强化石</v>
      </c>
      <c r="U575" s="15">
        <f t="shared" si="111"/>
        <v>8</v>
      </c>
      <c r="V575" s="15" t="str">
        <f t="shared" si="112"/>
        <v>高级专属强化石</v>
      </c>
      <c r="W575" s="15">
        <f t="shared" si="113"/>
        <v>3</v>
      </c>
      <c r="X575" s="15">
        <f t="shared" si="114"/>
        <v>0.1</v>
      </c>
      <c r="Y575" s="15">
        <f t="shared" si="115"/>
        <v>1</v>
      </c>
      <c r="Z575" s="15">
        <f t="shared" si="116"/>
        <v>30</v>
      </c>
      <c r="AA575" s="15">
        <f t="shared" si="117"/>
        <v>0.56000000000000005</v>
      </c>
    </row>
    <row r="576" spans="13:27" ht="16.5" x14ac:dyDescent="0.2">
      <c r="M576" s="15">
        <v>497</v>
      </c>
      <c r="N576" s="15">
        <f t="shared" si="106"/>
        <v>10</v>
      </c>
      <c r="O576" s="15">
        <f>INDEX(卡牌消耗!$H$13:$H$33,世界BOSS专属武器!N576)</f>
        <v>1501010</v>
      </c>
      <c r="P576" s="49" t="s">
        <v>480</v>
      </c>
      <c r="Q576" s="15">
        <f t="shared" si="107"/>
        <v>37</v>
      </c>
      <c r="R576" s="49" t="str">
        <f t="shared" si="108"/>
        <v>金币</v>
      </c>
      <c r="S576" s="15">
        <f t="shared" si="109"/>
        <v>10000</v>
      </c>
      <c r="T576" s="15" t="str">
        <f t="shared" si="110"/>
        <v>中级专属强化石</v>
      </c>
      <c r="U576" s="15">
        <f t="shared" si="111"/>
        <v>8</v>
      </c>
      <c r="V576" s="15" t="str">
        <f t="shared" si="112"/>
        <v>高级专属强化石</v>
      </c>
      <c r="W576" s="15">
        <f t="shared" si="113"/>
        <v>3</v>
      </c>
      <c r="X576" s="15">
        <f t="shared" si="114"/>
        <v>0.1</v>
      </c>
      <c r="Y576" s="15">
        <f t="shared" si="115"/>
        <v>1</v>
      </c>
      <c r="Z576" s="15">
        <f t="shared" si="116"/>
        <v>30</v>
      </c>
      <c r="AA576" s="15">
        <f t="shared" si="117"/>
        <v>0.5867</v>
      </c>
    </row>
    <row r="577" spans="13:27" ht="16.5" x14ac:dyDescent="0.2">
      <c r="M577" s="15">
        <v>498</v>
      </c>
      <c r="N577" s="15">
        <f t="shared" si="106"/>
        <v>10</v>
      </c>
      <c r="O577" s="15">
        <f>INDEX(卡牌消耗!$H$13:$H$33,世界BOSS专属武器!N577)</f>
        <v>1501010</v>
      </c>
      <c r="P577" s="49" t="s">
        <v>480</v>
      </c>
      <c r="Q577" s="15">
        <f t="shared" si="107"/>
        <v>38</v>
      </c>
      <c r="R577" s="49" t="str">
        <f t="shared" si="108"/>
        <v>金币</v>
      </c>
      <c r="S577" s="15">
        <f t="shared" si="109"/>
        <v>10000</v>
      </c>
      <c r="T577" s="15" t="str">
        <f t="shared" si="110"/>
        <v>中级专属强化石</v>
      </c>
      <c r="U577" s="15">
        <f t="shared" si="111"/>
        <v>8</v>
      </c>
      <c r="V577" s="15" t="str">
        <f t="shared" si="112"/>
        <v>高级专属强化石</v>
      </c>
      <c r="W577" s="15">
        <f t="shared" si="113"/>
        <v>3</v>
      </c>
      <c r="X577" s="15">
        <f t="shared" si="114"/>
        <v>0.1</v>
      </c>
      <c r="Y577" s="15">
        <f t="shared" si="115"/>
        <v>1</v>
      </c>
      <c r="Z577" s="15">
        <f t="shared" si="116"/>
        <v>30</v>
      </c>
      <c r="AA577" s="15">
        <f t="shared" si="117"/>
        <v>0.61329999999999996</v>
      </c>
    </row>
    <row r="578" spans="13:27" ht="16.5" x14ac:dyDescent="0.2">
      <c r="M578" s="15">
        <v>499</v>
      </c>
      <c r="N578" s="15">
        <f t="shared" si="106"/>
        <v>10</v>
      </c>
      <c r="O578" s="15">
        <f>INDEX(卡牌消耗!$H$13:$H$33,世界BOSS专属武器!N578)</f>
        <v>1501010</v>
      </c>
      <c r="P578" s="49" t="s">
        <v>480</v>
      </c>
      <c r="Q578" s="15">
        <f t="shared" si="107"/>
        <v>39</v>
      </c>
      <c r="R578" s="49" t="str">
        <f t="shared" si="108"/>
        <v>金币</v>
      </c>
      <c r="S578" s="15">
        <f t="shared" si="109"/>
        <v>10000</v>
      </c>
      <c r="T578" s="15" t="str">
        <f t="shared" si="110"/>
        <v>中级专属强化石</v>
      </c>
      <c r="U578" s="15">
        <f t="shared" si="111"/>
        <v>8</v>
      </c>
      <c r="V578" s="15" t="str">
        <f t="shared" si="112"/>
        <v>高级专属强化石</v>
      </c>
      <c r="W578" s="15">
        <f t="shared" si="113"/>
        <v>3</v>
      </c>
      <c r="X578" s="15">
        <f t="shared" si="114"/>
        <v>0.1</v>
      </c>
      <c r="Y578" s="15">
        <f t="shared" si="115"/>
        <v>1</v>
      </c>
      <c r="Z578" s="15">
        <f t="shared" si="116"/>
        <v>30</v>
      </c>
      <c r="AA578" s="15">
        <f t="shared" si="117"/>
        <v>0.64</v>
      </c>
    </row>
    <row r="579" spans="13:27" ht="16.5" x14ac:dyDescent="0.2">
      <c r="M579" s="15">
        <v>500</v>
      </c>
      <c r="N579" s="15">
        <f t="shared" si="106"/>
        <v>10</v>
      </c>
      <c r="O579" s="15">
        <f>INDEX(卡牌消耗!$H$13:$H$33,世界BOSS专属武器!N579)</f>
        <v>1501010</v>
      </c>
      <c r="P579" s="49" t="s">
        <v>480</v>
      </c>
      <c r="Q579" s="15">
        <f t="shared" si="107"/>
        <v>40</v>
      </c>
      <c r="R579" s="49" t="str">
        <f t="shared" si="108"/>
        <v>金币</v>
      </c>
      <c r="S579" s="15">
        <f t="shared" si="109"/>
        <v>20000</v>
      </c>
      <c r="T579" s="15" t="str">
        <f t="shared" si="110"/>
        <v>高级专属强化石</v>
      </c>
      <c r="U579" s="15">
        <f t="shared" si="111"/>
        <v>5</v>
      </c>
      <c r="V579" s="15" t="str">
        <f t="shared" si="112"/>
        <v>[x]</v>
      </c>
      <c r="W579" s="15" t="str">
        <f t="shared" si="113"/>
        <v>[x]</v>
      </c>
      <c r="X579" s="15">
        <f t="shared" si="114"/>
        <v>0.1</v>
      </c>
      <c r="Y579" s="15">
        <f t="shared" si="115"/>
        <v>1</v>
      </c>
      <c r="Z579" s="15">
        <f t="shared" si="116"/>
        <v>35</v>
      </c>
      <c r="AA579" s="15">
        <f t="shared" si="117"/>
        <v>0.66669999999999996</v>
      </c>
    </row>
    <row r="580" spans="13:27" ht="16.5" x14ac:dyDescent="0.2">
      <c r="M580" s="15">
        <v>501</v>
      </c>
      <c r="N580" s="15">
        <f t="shared" si="106"/>
        <v>10</v>
      </c>
      <c r="O580" s="15">
        <f>INDEX(卡牌消耗!$H$13:$H$33,世界BOSS专属武器!N580)</f>
        <v>1501010</v>
      </c>
      <c r="P580" s="49" t="s">
        <v>480</v>
      </c>
      <c r="Q580" s="15">
        <f t="shared" si="107"/>
        <v>41</v>
      </c>
      <c r="R580" s="49" t="str">
        <f t="shared" si="108"/>
        <v>金币</v>
      </c>
      <c r="S580" s="15">
        <f t="shared" si="109"/>
        <v>20000</v>
      </c>
      <c r="T580" s="15" t="str">
        <f t="shared" si="110"/>
        <v>高级专属强化石</v>
      </c>
      <c r="U580" s="15">
        <f t="shared" si="111"/>
        <v>5</v>
      </c>
      <c r="V580" s="15" t="str">
        <f t="shared" si="112"/>
        <v>[x]</v>
      </c>
      <c r="W580" s="15" t="str">
        <f t="shared" si="113"/>
        <v>[x]</v>
      </c>
      <c r="X580" s="15">
        <f t="shared" si="114"/>
        <v>0.1</v>
      </c>
      <c r="Y580" s="15">
        <f t="shared" si="115"/>
        <v>1</v>
      </c>
      <c r="Z580" s="15">
        <f t="shared" si="116"/>
        <v>40</v>
      </c>
      <c r="AA580" s="15">
        <f t="shared" si="117"/>
        <v>0.7</v>
      </c>
    </row>
    <row r="581" spans="13:27" ht="16.5" x14ac:dyDescent="0.2">
      <c r="M581" s="15">
        <v>502</v>
      </c>
      <c r="N581" s="15">
        <f t="shared" si="106"/>
        <v>10</v>
      </c>
      <c r="O581" s="15">
        <f>INDEX(卡牌消耗!$H$13:$H$33,世界BOSS专属武器!N581)</f>
        <v>1501010</v>
      </c>
      <c r="P581" s="49" t="s">
        <v>480</v>
      </c>
      <c r="Q581" s="15">
        <f t="shared" si="107"/>
        <v>42</v>
      </c>
      <c r="R581" s="49" t="str">
        <f t="shared" si="108"/>
        <v>金币</v>
      </c>
      <c r="S581" s="15">
        <f t="shared" si="109"/>
        <v>20000</v>
      </c>
      <c r="T581" s="15" t="str">
        <f t="shared" si="110"/>
        <v>高级专属强化石</v>
      </c>
      <c r="U581" s="15">
        <f t="shared" si="111"/>
        <v>5</v>
      </c>
      <c r="V581" s="15" t="str">
        <f t="shared" si="112"/>
        <v>[x]</v>
      </c>
      <c r="W581" s="15" t="str">
        <f t="shared" si="113"/>
        <v>[x]</v>
      </c>
      <c r="X581" s="15">
        <f t="shared" si="114"/>
        <v>0.1</v>
      </c>
      <c r="Y581" s="15">
        <f t="shared" si="115"/>
        <v>1</v>
      </c>
      <c r="Z581" s="15">
        <f t="shared" si="116"/>
        <v>45</v>
      </c>
      <c r="AA581" s="15">
        <f t="shared" si="117"/>
        <v>0.73329999999999995</v>
      </c>
    </row>
    <row r="582" spans="13:27" ht="16.5" x14ac:dyDescent="0.2">
      <c r="M582" s="15">
        <v>503</v>
      </c>
      <c r="N582" s="15">
        <f t="shared" si="106"/>
        <v>10</v>
      </c>
      <c r="O582" s="15">
        <f>INDEX(卡牌消耗!$H$13:$H$33,世界BOSS专属武器!N582)</f>
        <v>1501010</v>
      </c>
      <c r="P582" s="49" t="s">
        <v>480</v>
      </c>
      <c r="Q582" s="15">
        <f t="shared" si="107"/>
        <v>43</v>
      </c>
      <c r="R582" s="49" t="str">
        <f t="shared" si="108"/>
        <v>金币</v>
      </c>
      <c r="S582" s="15">
        <f t="shared" si="109"/>
        <v>20000</v>
      </c>
      <c r="T582" s="15" t="str">
        <f t="shared" si="110"/>
        <v>高级专属强化石</v>
      </c>
      <c r="U582" s="15">
        <f t="shared" si="111"/>
        <v>5</v>
      </c>
      <c r="V582" s="15" t="str">
        <f t="shared" si="112"/>
        <v>[x]</v>
      </c>
      <c r="W582" s="15" t="str">
        <f t="shared" si="113"/>
        <v>[x]</v>
      </c>
      <c r="X582" s="15">
        <f t="shared" si="114"/>
        <v>0.1</v>
      </c>
      <c r="Y582" s="15">
        <f t="shared" si="115"/>
        <v>1</v>
      </c>
      <c r="Z582" s="15">
        <f t="shared" si="116"/>
        <v>50</v>
      </c>
      <c r="AA582" s="15">
        <f t="shared" si="117"/>
        <v>0.76670000000000005</v>
      </c>
    </row>
    <row r="583" spans="13:27" ht="16.5" x14ac:dyDescent="0.2">
      <c r="M583" s="15">
        <v>504</v>
      </c>
      <c r="N583" s="15">
        <f t="shared" si="106"/>
        <v>10</v>
      </c>
      <c r="O583" s="15">
        <f>INDEX(卡牌消耗!$H$13:$H$33,世界BOSS专属武器!N583)</f>
        <v>1501010</v>
      </c>
      <c r="P583" s="49" t="s">
        <v>480</v>
      </c>
      <c r="Q583" s="15">
        <f t="shared" si="107"/>
        <v>44</v>
      </c>
      <c r="R583" s="49" t="str">
        <f t="shared" si="108"/>
        <v>金币</v>
      </c>
      <c r="S583" s="15">
        <f t="shared" si="109"/>
        <v>20000</v>
      </c>
      <c r="T583" s="15" t="str">
        <f t="shared" si="110"/>
        <v>高级专属强化石</v>
      </c>
      <c r="U583" s="15">
        <f t="shared" si="111"/>
        <v>5</v>
      </c>
      <c r="V583" s="15" t="str">
        <f t="shared" si="112"/>
        <v>[x]</v>
      </c>
      <c r="W583" s="15" t="str">
        <f t="shared" si="113"/>
        <v>[x]</v>
      </c>
      <c r="X583" s="15">
        <f t="shared" si="114"/>
        <v>0.1</v>
      </c>
      <c r="Y583" s="15">
        <f t="shared" si="115"/>
        <v>1</v>
      </c>
      <c r="Z583" s="15">
        <f t="shared" si="116"/>
        <v>55</v>
      </c>
      <c r="AA583" s="15">
        <f t="shared" si="117"/>
        <v>0.8</v>
      </c>
    </row>
    <row r="584" spans="13:27" ht="16.5" x14ac:dyDescent="0.2">
      <c r="M584" s="15">
        <v>505</v>
      </c>
      <c r="N584" s="15">
        <f t="shared" si="106"/>
        <v>10</v>
      </c>
      <c r="O584" s="15">
        <f>INDEX(卡牌消耗!$H$13:$H$33,世界BOSS专属武器!N584)</f>
        <v>1501010</v>
      </c>
      <c r="P584" s="49" t="s">
        <v>480</v>
      </c>
      <c r="Q584" s="15">
        <f t="shared" si="107"/>
        <v>45</v>
      </c>
      <c r="R584" s="49" t="str">
        <f t="shared" si="108"/>
        <v>金币</v>
      </c>
      <c r="S584" s="15">
        <f t="shared" si="109"/>
        <v>20000</v>
      </c>
      <c r="T584" s="15" t="str">
        <f t="shared" si="110"/>
        <v>高级专属强化石</v>
      </c>
      <c r="U584" s="15">
        <f t="shared" si="111"/>
        <v>6</v>
      </c>
      <c r="V584" s="15" t="str">
        <f t="shared" si="112"/>
        <v>[x]</v>
      </c>
      <c r="W584" s="15" t="str">
        <f t="shared" si="113"/>
        <v>[x]</v>
      </c>
      <c r="X584" s="15">
        <f t="shared" si="114"/>
        <v>0.1</v>
      </c>
      <c r="Y584" s="15">
        <f t="shared" si="115"/>
        <v>1</v>
      </c>
      <c r="Z584" s="15">
        <f t="shared" si="116"/>
        <v>60</v>
      </c>
      <c r="AA584" s="15">
        <f t="shared" si="117"/>
        <v>0.83330000000000004</v>
      </c>
    </row>
    <row r="585" spans="13:27" ht="16.5" x14ac:dyDescent="0.2">
      <c r="M585" s="15">
        <v>506</v>
      </c>
      <c r="N585" s="15">
        <f t="shared" si="106"/>
        <v>10</v>
      </c>
      <c r="O585" s="15">
        <f>INDEX(卡牌消耗!$H$13:$H$33,世界BOSS专属武器!N585)</f>
        <v>1501010</v>
      </c>
      <c r="P585" s="49" t="s">
        <v>480</v>
      </c>
      <c r="Q585" s="15">
        <f t="shared" si="107"/>
        <v>46</v>
      </c>
      <c r="R585" s="49" t="str">
        <f t="shared" si="108"/>
        <v>金币</v>
      </c>
      <c r="S585" s="15">
        <f t="shared" si="109"/>
        <v>20000</v>
      </c>
      <c r="T585" s="15" t="str">
        <f t="shared" si="110"/>
        <v>高级专属强化石</v>
      </c>
      <c r="U585" s="15">
        <f t="shared" si="111"/>
        <v>7</v>
      </c>
      <c r="V585" s="15" t="str">
        <f t="shared" si="112"/>
        <v>[x]</v>
      </c>
      <c r="W585" s="15" t="str">
        <f t="shared" si="113"/>
        <v>[x]</v>
      </c>
      <c r="X585" s="15">
        <f t="shared" si="114"/>
        <v>0.1</v>
      </c>
      <c r="Y585" s="15">
        <f t="shared" si="115"/>
        <v>1</v>
      </c>
      <c r="Z585" s="15">
        <f t="shared" si="116"/>
        <v>70</v>
      </c>
      <c r="AA585" s="15">
        <f t="shared" si="117"/>
        <v>0.86670000000000003</v>
      </c>
    </row>
    <row r="586" spans="13:27" ht="16.5" x14ac:dyDescent="0.2">
      <c r="M586" s="15">
        <v>507</v>
      </c>
      <c r="N586" s="15">
        <f t="shared" si="106"/>
        <v>10</v>
      </c>
      <c r="O586" s="15">
        <f>INDEX(卡牌消耗!$H$13:$H$33,世界BOSS专属武器!N586)</f>
        <v>1501010</v>
      </c>
      <c r="P586" s="49" t="s">
        <v>480</v>
      </c>
      <c r="Q586" s="15">
        <f t="shared" si="107"/>
        <v>47</v>
      </c>
      <c r="R586" s="49" t="str">
        <f t="shared" si="108"/>
        <v>金币</v>
      </c>
      <c r="S586" s="15">
        <f t="shared" si="109"/>
        <v>20000</v>
      </c>
      <c r="T586" s="15" t="str">
        <f t="shared" si="110"/>
        <v>高级专属强化石</v>
      </c>
      <c r="U586" s="15">
        <f t="shared" si="111"/>
        <v>8</v>
      </c>
      <c r="V586" s="15" t="str">
        <f t="shared" si="112"/>
        <v>[x]</v>
      </c>
      <c r="W586" s="15" t="str">
        <f t="shared" si="113"/>
        <v>[x]</v>
      </c>
      <c r="X586" s="15">
        <f t="shared" si="114"/>
        <v>0.1</v>
      </c>
      <c r="Y586" s="15">
        <f t="shared" si="115"/>
        <v>1</v>
      </c>
      <c r="Z586" s="15">
        <f t="shared" si="116"/>
        <v>80</v>
      </c>
      <c r="AA586" s="15">
        <f t="shared" si="117"/>
        <v>0.9</v>
      </c>
    </row>
    <row r="587" spans="13:27" ht="16.5" x14ac:dyDescent="0.2">
      <c r="M587" s="15">
        <v>508</v>
      </c>
      <c r="N587" s="15">
        <f t="shared" si="106"/>
        <v>10</v>
      </c>
      <c r="O587" s="15">
        <f>INDEX(卡牌消耗!$H$13:$H$33,世界BOSS专属武器!N587)</f>
        <v>1501010</v>
      </c>
      <c r="P587" s="49" t="s">
        <v>480</v>
      </c>
      <c r="Q587" s="15">
        <f t="shared" si="107"/>
        <v>48</v>
      </c>
      <c r="R587" s="49" t="str">
        <f t="shared" si="108"/>
        <v>金币</v>
      </c>
      <c r="S587" s="15">
        <f t="shared" si="109"/>
        <v>20000</v>
      </c>
      <c r="T587" s="15" t="str">
        <f t="shared" si="110"/>
        <v>高级专属强化石</v>
      </c>
      <c r="U587" s="15">
        <f t="shared" si="111"/>
        <v>9</v>
      </c>
      <c r="V587" s="15" t="str">
        <f t="shared" si="112"/>
        <v>[x]</v>
      </c>
      <c r="W587" s="15" t="str">
        <f t="shared" si="113"/>
        <v>[x]</v>
      </c>
      <c r="X587" s="15">
        <f t="shared" si="114"/>
        <v>0.1</v>
      </c>
      <c r="Y587" s="15">
        <f t="shared" si="115"/>
        <v>1</v>
      </c>
      <c r="Z587" s="15">
        <f t="shared" si="116"/>
        <v>100</v>
      </c>
      <c r="AA587" s="15">
        <f t="shared" si="117"/>
        <v>0.93330000000000002</v>
      </c>
    </row>
    <row r="588" spans="13:27" ht="16.5" x14ac:dyDescent="0.2">
      <c r="M588" s="15">
        <v>509</v>
      </c>
      <c r="N588" s="15">
        <f t="shared" si="106"/>
        <v>10</v>
      </c>
      <c r="O588" s="15">
        <f>INDEX(卡牌消耗!$H$13:$H$33,世界BOSS专属武器!N588)</f>
        <v>1501010</v>
      </c>
      <c r="P588" s="49" t="s">
        <v>480</v>
      </c>
      <c r="Q588" s="15">
        <f t="shared" si="107"/>
        <v>49</v>
      </c>
      <c r="R588" s="49" t="str">
        <f t="shared" si="108"/>
        <v>金币</v>
      </c>
      <c r="S588" s="15">
        <f t="shared" si="109"/>
        <v>20000</v>
      </c>
      <c r="T588" s="15" t="str">
        <f t="shared" si="110"/>
        <v>高级专属强化石</v>
      </c>
      <c r="U588" s="15">
        <f t="shared" si="111"/>
        <v>10</v>
      </c>
      <c r="V588" s="15" t="str">
        <f t="shared" si="112"/>
        <v>[x]</v>
      </c>
      <c r="W588" s="15" t="str">
        <f t="shared" si="113"/>
        <v>[x]</v>
      </c>
      <c r="X588" s="15">
        <f t="shared" si="114"/>
        <v>0.1</v>
      </c>
      <c r="Y588" s="15">
        <f t="shared" si="115"/>
        <v>1</v>
      </c>
      <c r="Z588" s="15">
        <f t="shared" si="116"/>
        <v>120</v>
      </c>
      <c r="AA588" s="15">
        <f t="shared" si="117"/>
        <v>0.9667</v>
      </c>
    </row>
    <row r="589" spans="13:27" ht="16.5" x14ac:dyDescent="0.2">
      <c r="M589" s="15">
        <v>510</v>
      </c>
      <c r="N589" s="15">
        <f t="shared" si="106"/>
        <v>10</v>
      </c>
      <c r="O589" s="15">
        <f>INDEX(卡牌消耗!$H$13:$H$33,世界BOSS专属武器!N589)</f>
        <v>1501010</v>
      </c>
      <c r="P589" s="49" t="s">
        <v>480</v>
      </c>
      <c r="Q589" s="15">
        <f t="shared" si="107"/>
        <v>50</v>
      </c>
      <c r="R589" s="49" t="str">
        <f t="shared" si="108"/>
        <v>金币</v>
      </c>
      <c r="S589" s="15">
        <f t="shared" si="109"/>
        <v>20000</v>
      </c>
      <c r="T589" s="15" t="str">
        <f t="shared" si="110"/>
        <v>高级专属强化石</v>
      </c>
      <c r="U589" s="15">
        <f t="shared" si="111"/>
        <v>15</v>
      </c>
      <c r="V589" s="15" t="str">
        <f t="shared" si="112"/>
        <v>[x]</v>
      </c>
      <c r="W589" s="15" t="str">
        <f t="shared" si="113"/>
        <v>[x]</v>
      </c>
      <c r="X589" s="15">
        <f t="shared" si="114"/>
        <v>0.1</v>
      </c>
      <c r="Y589" s="15">
        <f t="shared" si="115"/>
        <v>1</v>
      </c>
      <c r="Z589" s="15">
        <f t="shared" si="116"/>
        <v>150</v>
      </c>
      <c r="AA589" s="15">
        <f t="shared" si="117"/>
        <v>1</v>
      </c>
    </row>
    <row r="590" spans="13:27" ht="16.5" x14ac:dyDescent="0.2">
      <c r="M590" s="15">
        <v>511</v>
      </c>
      <c r="N590" s="15">
        <f t="shared" si="106"/>
        <v>11</v>
      </c>
      <c r="O590" s="15">
        <f>INDEX(卡牌消耗!$H$13:$H$33,世界BOSS专属武器!N590)</f>
        <v>1501011</v>
      </c>
      <c r="P590" s="49" t="s">
        <v>480</v>
      </c>
      <c r="Q590" s="15">
        <f t="shared" si="107"/>
        <v>0</v>
      </c>
      <c r="R590" s="49" t="str">
        <f t="shared" si="108"/>
        <v>[x]</v>
      </c>
      <c r="S590" s="15" t="str">
        <f t="shared" si="109"/>
        <v>[x]</v>
      </c>
      <c r="T590" s="15" t="str">
        <f t="shared" si="110"/>
        <v>[x]</v>
      </c>
      <c r="U590" s="15" t="str">
        <f t="shared" si="111"/>
        <v>[x]</v>
      </c>
      <c r="V590" s="15" t="str">
        <f t="shared" si="112"/>
        <v>[x]</v>
      </c>
      <c r="W590" s="15" t="str">
        <f t="shared" si="113"/>
        <v>[x]</v>
      </c>
      <c r="X590" s="15" t="str">
        <f t="shared" si="114"/>
        <v>[x]</v>
      </c>
      <c r="Y590" s="15" t="str">
        <f t="shared" si="115"/>
        <v>[x]</v>
      </c>
      <c r="Z590" s="15" t="str">
        <f t="shared" si="116"/>
        <v>[x]</v>
      </c>
      <c r="AA590" s="15" t="str">
        <f t="shared" si="117"/>
        <v>[x]</v>
      </c>
    </row>
    <row r="591" spans="13:27" ht="16.5" x14ac:dyDescent="0.2">
      <c r="M591" s="15">
        <v>512</v>
      </c>
      <c r="N591" s="15">
        <f t="shared" si="106"/>
        <v>11</v>
      </c>
      <c r="O591" s="15">
        <f>INDEX(卡牌消耗!$H$13:$H$33,世界BOSS专属武器!N591)</f>
        <v>1501011</v>
      </c>
      <c r="P591" s="49" t="s">
        <v>480</v>
      </c>
      <c r="Q591" s="15">
        <f t="shared" si="107"/>
        <v>1</v>
      </c>
      <c r="R591" s="49" t="str">
        <f t="shared" si="108"/>
        <v>金币</v>
      </c>
      <c r="S591" s="15">
        <f t="shared" si="109"/>
        <v>100</v>
      </c>
      <c r="T591" s="15" t="str">
        <f t="shared" si="110"/>
        <v>低级专属强化石</v>
      </c>
      <c r="U591" s="15">
        <f t="shared" si="111"/>
        <v>1</v>
      </c>
      <c r="V591" s="15" t="str">
        <f t="shared" si="112"/>
        <v>[x]</v>
      </c>
      <c r="W591" s="15" t="str">
        <f t="shared" si="113"/>
        <v>[x]</v>
      </c>
      <c r="X591" s="15">
        <f t="shared" si="114"/>
        <v>1</v>
      </c>
      <c r="Y591" s="15">
        <f t="shared" si="115"/>
        <v>1</v>
      </c>
      <c r="Z591" s="15">
        <f t="shared" si="116"/>
        <v>1</v>
      </c>
      <c r="AA591" s="15">
        <f t="shared" si="117"/>
        <v>6.7000000000000002E-3</v>
      </c>
    </row>
    <row r="592" spans="13:27" ht="16.5" x14ac:dyDescent="0.2">
      <c r="M592" s="15">
        <v>513</v>
      </c>
      <c r="N592" s="15">
        <f t="shared" si="106"/>
        <v>11</v>
      </c>
      <c r="O592" s="15">
        <f>INDEX(卡牌消耗!$H$13:$H$33,世界BOSS专属武器!N592)</f>
        <v>1501011</v>
      </c>
      <c r="P592" s="49" t="s">
        <v>480</v>
      </c>
      <c r="Q592" s="15">
        <f t="shared" si="107"/>
        <v>2</v>
      </c>
      <c r="R592" s="49" t="str">
        <f t="shared" si="108"/>
        <v>金币</v>
      </c>
      <c r="S592" s="15">
        <f t="shared" si="109"/>
        <v>200</v>
      </c>
      <c r="T592" s="15" t="str">
        <f t="shared" si="110"/>
        <v>低级专属强化石</v>
      </c>
      <c r="U592" s="15">
        <f t="shared" si="111"/>
        <v>1</v>
      </c>
      <c r="V592" s="15" t="str">
        <f t="shared" si="112"/>
        <v>[x]</v>
      </c>
      <c r="W592" s="15" t="str">
        <f t="shared" si="113"/>
        <v>[x]</v>
      </c>
      <c r="X592" s="15">
        <f t="shared" si="114"/>
        <v>0.5</v>
      </c>
      <c r="Y592" s="15">
        <f t="shared" si="115"/>
        <v>1</v>
      </c>
      <c r="Z592" s="15">
        <f t="shared" si="116"/>
        <v>2</v>
      </c>
      <c r="AA592" s="15">
        <f t="shared" si="117"/>
        <v>1.3299999999999999E-2</v>
      </c>
    </row>
    <row r="593" spans="13:27" ht="16.5" x14ac:dyDescent="0.2">
      <c r="M593" s="15">
        <v>514</v>
      </c>
      <c r="N593" s="15">
        <f t="shared" ref="N593:N656" si="118">INT((M593-1)/51)+1</f>
        <v>11</v>
      </c>
      <c r="O593" s="15">
        <f>INDEX(卡牌消耗!$H$13:$H$33,世界BOSS专属武器!N593)</f>
        <v>1501011</v>
      </c>
      <c r="P593" s="49" t="s">
        <v>480</v>
      </c>
      <c r="Q593" s="15">
        <f t="shared" ref="Q593:Q656" si="119">MOD(M593-1,51)</f>
        <v>3</v>
      </c>
      <c r="R593" s="49" t="str">
        <f t="shared" ref="R593:R656" si="120">IF(Q593&gt;0,"金币","[x]")</f>
        <v>金币</v>
      </c>
      <c r="S593" s="15">
        <f t="shared" ref="S593:S656" si="121">IF(Q593&gt;0,INDEX($V$27:$V$76,Q593),"[x]")</f>
        <v>300</v>
      </c>
      <c r="T593" s="15" t="str">
        <f t="shared" ref="T593:T656" si="122">IF(Q593&gt;0,INDEX($W$27:$W$76,Q593),"[x]")</f>
        <v>低级专属强化石</v>
      </c>
      <c r="U593" s="15">
        <f t="shared" ref="U593:U656" si="123">IF(Q593&gt;0,INDEX($AA$27:$AF$76,Q593,INDEX($Y$27:$Y$76,Q593)),"[x]")</f>
        <v>2</v>
      </c>
      <c r="V593" s="15" t="str">
        <f t="shared" ref="V593:V656" si="124">IF(AND(Q593&gt;=20,Q593&lt;40),INDEX($X$27:$X$76,Q593),"[x]")</f>
        <v>[x]</v>
      </c>
      <c r="W593" s="15" t="str">
        <f t="shared" ref="W593:W656" si="125">IF(AND(Q593&gt;=20,Q593&lt;40),INDEX($AA$27:$AF$76,Q593,INDEX($Z$27:$Z$76,Q593)),"[x]")</f>
        <v>[x]</v>
      </c>
      <c r="X593" s="15">
        <f t="shared" ref="X593:X656" si="126">IF(Q593&gt;0,INDEX($T$27:$T$76,Q593),"[x]")</f>
        <v>0.48</v>
      </c>
      <c r="Y593" s="15">
        <f t="shared" ref="Y593:Y656" si="127">IF(Q593&gt;0,1,"[x]")</f>
        <v>1</v>
      </c>
      <c r="Z593" s="15">
        <f t="shared" ref="Z593:Z656" si="128">IF(Q593&gt;0,INDEX($AG$27:$AG$76,Q593),"[x]")</f>
        <v>3</v>
      </c>
      <c r="AA593" s="15">
        <f t="shared" ref="AA593:AA656" si="129">IF(Q593&gt;0,INDEX($AL$27:$AL$76,Q593),"[x]")</f>
        <v>0.02</v>
      </c>
    </row>
    <row r="594" spans="13:27" ht="16.5" x14ac:dyDescent="0.2">
      <c r="M594" s="15">
        <v>515</v>
      </c>
      <c r="N594" s="15">
        <f t="shared" si="118"/>
        <v>11</v>
      </c>
      <c r="O594" s="15">
        <f>INDEX(卡牌消耗!$H$13:$H$33,世界BOSS专属武器!N594)</f>
        <v>1501011</v>
      </c>
      <c r="P594" s="49" t="s">
        <v>480</v>
      </c>
      <c r="Q594" s="15">
        <f t="shared" si="119"/>
        <v>4</v>
      </c>
      <c r="R594" s="49" t="str">
        <f t="shared" si="120"/>
        <v>金币</v>
      </c>
      <c r="S594" s="15">
        <f t="shared" si="121"/>
        <v>400</v>
      </c>
      <c r="T594" s="15" t="str">
        <f t="shared" si="122"/>
        <v>低级专属强化石</v>
      </c>
      <c r="U594" s="15">
        <f t="shared" si="123"/>
        <v>3</v>
      </c>
      <c r="V594" s="15" t="str">
        <f t="shared" si="124"/>
        <v>[x]</v>
      </c>
      <c r="W594" s="15" t="str">
        <f t="shared" si="125"/>
        <v>[x]</v>
      </c>
      <c r="X594" s="15">
        <f t="shared" si="126"/>
        <v>0.46</v>
      </c>
      <c r="Y594" s="15">
        <f t="shared" si="127"/>
        <v>1</v>
      </c>
      <c r="Z594" s="15">
        <f t="shared" si="128"/>
        <v>3</v>
      </c>
      <c r="AA594" s="15">
        <f t="shared" si="129"/>
        <v>2.6700000000000002E-2</v>
      </c>
    </row>
    <row r="595" spans="13:27" ht="16.5" x14ac:dyDescent="0.2">
      <c r="M595" s="15">
        <v>516</v>
      </c>
      <c r="N595" s="15">
        <f t="shared" si="118"/>
        <v>11</v>
      </c>
      <c r="O595" s="15">
        <f>INDEX(卡牌消耗!$H$13:$H$33,世界BOSS专属武器!N595)</f>
        <v>1501011</v>
      </c>
      <c r="P595" s="49" t="s">
        <v>480</v>
      </c>
      <c r="Q595" s="15">
        <f t="shared" si="119"/>
        <v>5</v>
      </c>
      <c r="R595" s="49" t="str">
        <f t="shared" si="120"/>
        <v>金币</v>
      </c>
      <c r="S595" s="15">
        <f t="shared" si="121"/>
        <v>500</v>
      </c>
      <c r="T595" s="15" t="str">
        <f t="shared" si="122"/>
        <v>低级专属强化石</v>
      </c>
      <c r="U595" s="15">
        <f t="shared" si="123"/>
        <v>4</v>
      </c>
      <c r="V595" s="15" t="str">
        <f t="shared" si="124"/>
        <v>[x]</v>
      </c>
      <c r="W595" s="15" t="str">
        <f t="shared" si="125"/>
        <v>[x]</v>
      </c>
      <c r="X595" s="15">
        <f t="shared" si="126"/>
        <v>0.44</v>
      </c>
      <c r="Y595" s="15">
        <f t="shared" si="127"/>
        <v>1</v>
      </c>
      <c r="Z595" s="15">
        <f t="shared" si="128"/>
        <v>3</v>
      </c>
      <c r="AA595" s="15">
        <f t="shared" si="129"/>
        <v>3.3300000000000003E-2</v>
      </c>
    </row>
    <row r="596" spans="13:27" ht="16.5" x14ac:dyDescent="0.2">
      <c r="M596" s="15">
        <v>517</v>
      </c>
      <c r="N596" s="15">
        <f t="shared" si="118"/>
        <v>11</v>
      </c>
      <c r="O596" s="15">
        <f>INDEX(卡牌消耗!$H$13:$H$33,世界BOSS专属武器!N596)</f>
        <v>1501011</v>
      </c>
      <c r="P596" s="49" t="s">
        <v>480</v>
      </c>
      <c r="Q596" s="15">
        <f t="shared" si="119"/>
        <v>6</v>
      </c>
      <c r="R596" s="49" t="str">
        <f t="shared" si="120"/>
        <v>金币</v>
      </c>
      <c r="S596" s="15">
        <f t="shared" si="121"/>
        <v>600</v>
      </c>
      <c r="T596" s="15" t="str">
        <f t="shared" si="122"/>
        <v>低级专属强化石</v>
      </c>
      <c r="U596" s="15">
        <f t="shared" si="123"/>
        <v>5</v>
      </c>
      <c r="V596" s="15" t="str">
        <f t="shared" si="124"/>
        <v>[x]</v>
      </c>
      <c r="W596" s="15" t="str">
        <f t="shared" si="125"/>
        <v>[x]</v>
      </c>
      <c r="X596" s="15">
        <f t="shared" si="126"/>
        <v>0.42</v>
      </c>
      <c r="Y596" s="15">
        <f t="shared" si="127"/>
        <v>1</v>
      </c>
      <c r="Z596" s="15">
        <f t="shared" si="128"/>
        <v>4</v>
      </c>
      <c r="AA596" s="15">
        <f t="shared" si="129"/>
        <v>0.04</v>
      </c>
    </row>
    <row r="597" spans="13:27" ht="16.5" x14ac:dyDescent="0.2">
      <c r="M597" s="15">
        <v>518</v>
      </c>
      <c r="N597" s="15">
        <f t="shared" si="118"/>
        <v>11</v>
      </c>
      <c r="O597" s="15">
        <f>INDEX(卡牌消耗!$H$13:$H$33,世界BOSS专属武器!N597)</f>
        <v>1501011</v>
      </c>
      <c r="P597" s="49" t="s">
        <v>480</v>
      </c>
      <c r="Q597" s="15">
        <f t="shared" si="119"/>
        <v>7</v>
      </c>
      <c r="R597" s="49" t="str">
        <f t="shared" si="120"/>
        <v>金币</v>
      </c>
      <c r="S597" s="15">
        <f t="shared" si="121"/>
        <v>700</v>
      </c>
      <c r="T597" s="15" t="str">
        <f t="shared" si="122"/>
        <v>低级专属强化石</v>
      </c>
      <c r="U597" s="15">
        <f t="shared" si="123"/>
        <v>5</v>
      </c>
      <c r="V597" s="15" t="str">
        <f t="shared" si="124"/>
        <v>[x]</v>
      </c>
      <c r="W597" s="15" t="str">
        <f t="shared" si="125"/>
        <v>[x]</v>
      </c>
      <c r="X597" s="15">
        <f t="shared" si="126"/>
        <v>0.4</v>
      </c>
      <c r="Y597" s="15">
        <f t="shared" si="127"/>
        <v>1</v>
      </c>
      <c r="Z597" s="15">
        <f t="shared" si="128"/>
        <v>4</v>
      </c>
      <c r="AA597" s="15">
        <f t="shared" si="129"/>
        <v>4.6699999999999998E-2</v>
      </c>
    </row>
    <row r="598" spans="13:27" ht="16.5" x14ac:dyDescent="0.2">
      <c r="M598" s="15">
        <v>519</v>
      </c>
      <c r="N598" s="15">
        <f t="shared" si="118"/>
        <v>11</v>
      </c>
      <c r="O598" s="15">
        <f>INDEX(卡牌消耗!$H$13:$H$33,世界BOSS专属武器!N598)</f>
        <v>1501011</v>
      </c>
      <c r="P598" s="49" t="s">
        <v>480</v>
      </c>
      <c r="Q598" s="15">
        <f t="shared" si="119"/>
        <v>8</v>
      </c>
      <c r="R598" s="49" t="str">
        <f t="shared" si="120"/>
        <v>金币</v>
      </c>
      <c r="S598" s="15">
        <f t="shared" si="121"/>
        <v>800</v>
      </c>
      <c r="T598" s="15" t="str">
        <f t="shared" si="122"/>
        <v>低级专属强化石</v>
      </c>
      <c r="U598" s="15">
        <f t="shared" si="123"/>
        <v>5</v>
      </c>
      <c r="V598" s="15" t="str">
        <f t="shared" si="124"/>
        <v>[x]</v>
      </c>
      <c r="W598" s="15" t="str">
        <f t="shared" si="125"/>
        <v>[x]</v>
      </c>
      <c r="X598" s="15">
        <f t="shared" si="126"/>
        <v>0.38</v>
      </c>
      <c r="Y598" s="15">
        <f t="shared" si="127"/>
        <v>1</v>
      </c>
      <c r="Z598" s="15">
        <f t="shared" si="128"/>
        <v>5</v>
      </c>
      <c r="AA598" s="15">
        <f t="shared" si="129"/>
        <v>5.33E-2</v>
      </c>
    </row>
    <row r="599" spans="13:27" ht="16.5" x14ac:dyDescent="0.2">
      <c r="M599" s="15">
        <v>520</v>
      </c>
      <c r="N599" s="15">
        <f t="shared" si="118"/>
        <v>11</v>
      </c>
      <c r="O599" s="15">
        <f>INDEX(卡牌消耗!$H$13:$H$33,世界BOSS专属武器!N599)</f>
        <v>1501011</v>
      </c>
      <c r="P599" s="49" t="s">
        <v>480</v>
      </c>
      <c r="Q599" s="15">
        <f t="shared" si="119"/>
        <v>9</v>
      </c>
      <c r="R599" s="49" t="str">
        <f t="shared" si="120"/>
        <v>金币</v>
      </c>
      <c r="S599" s="15">
        <f t="shared" si="121"/>
        <v>900</v>
      </c>
      <c r="T599" s="15" t="str">
        <f t="shared" si="122"/>
        <v>低级专属强化石</v>
      </c>
      <c r="U599" s="15">
        <f t="shared" si="123"/>
        <v>5</v>
      </c>
      <c r="V599" s="15" t="str">
        <f t="shared" si="124"/>
        <v>[x]</v>
      </c>
      <c r="W599" s="15" t="str">
        <f t="shared" si="125"/>
        <v>[x]</v>
      </c>
      <c r="X599" s="15">
        <f t="shared" si="126"/>
        <v>0.36</v>
      </c>
      <c r="Y599" s="15">
        <f t="shared" si="127"/>
        <v>1</v>
      </c>
      <c r="Z599" s="15">
        <f t="shared" si="128"/>
        <v>5</v>
      </c>
      <c r="AA599" s="15">
        <f t="shared" si="129"/>
        <v>0.06</v>
      </c>
    </row>
    <row r="600" spans="13:27" ht="16.5" x14ac:dyDescent="0.2">
      <c r="M600" s="15">
        <v>521</v>
      </c>
      <c r="N600" s="15">
        <f t="shared" si="118"/>
        <v>11</v>
      </c>
      <c r="O600" s="15">
        <f>INDEX(卡牌消耗!$H$13:$H$33,世界BOSS专属武器!N600)</f>
        <v>1501011</v>
      </c>
      <c r="P600" s="49" t="s">
        <v>480</v>
      </c>
      <c r="Q600" s="15">
        <f t="shared" si="119"/>
        <v>10</v>
      </c>
      <c r="R600" s="49" t="str">
        <f t="shared" si="120"/>
        <v>金币</v>
      </c>
      <c r="S600" s="15">
        <f t="shared" si="121"/>
        <v>1000</v>
      </c>
      <c r="T600" s="15" t="str">
        <f t="shared" si="122"/>
        <v>低级专属强化石</v>
      </c>
      <c r="U600" s="15">
        <f t="shared" si="123"/>
        <v>7</v>
      </c>
      <c r="V600" s="15" t="str">
        <f t="shared" si="124"/>
        <v>[x]</v>
      </c>
      <c r="W600" s="15" t="str">
        <f t="shared" si="125"/>
        <v>[x]</v>
      </c>
      <c r="X600" s="15">
        <f t="shared" si="126"/>
        <v>0.35</v>
      </c>
      <c r="Y600" s="15">
        <f t="shared" si="127"/>
        <v>1</v>
      </c>
      <c r="Z600" s="15">
        <f t="shared" si="128"/>
        <v>5</v>
      </c>
      <c r="AA600" s="15">
        <f t="shared" si="129"/>
        <v>6.6699999999999995E-2</v>
      </c>
    </row>
    <row r="601" spans="13:27" ht="16.5" x14ac:dyDescent="0.2">
      <c r="M601" s="15">
        <v>522</v>
      </c>
      <c r="N601" s="15">
        <f t="shared" si="118"/>
        <v>11</v>
      </c>
      <c r="O601" s="15">
        <f>INDEX(卡牌消耗!$H$13:$H$33,世界BOSS专属武器!N601)</f>
        <v>1501011</v>
      </c>
      <c r="P601" s="49" t="s">
        <v>480</v>
      </c>
      <c r="Q601" s="15">
        <f t="shared" si="119"/>
        <v>11</v>
      </c>
      <c r="R601" s="49" t="str">
        <f t="shared" si="120"/>
        <v>金币</v>
      </c>
      <c r="S601" s="15">
        <f t="shared" si="121"/>
        <v>1000</v>
      </c>
      <c r="T601" s="15" t="str">
        <f t="shared" si="122"/>
        <v>低级专属强化石</v>
      </c>
      <c r="U601" s="15">
        <f t="shared" si="123"/>
        <v>7</v>
      </c>
      <c r="V601" s="15" t="str">
        <f t="shared" si="124"/>
        <v>[x]</v>
      </c>
      <c r="W601" s="15" t="str">
        <f t="shared" si="125"/>
        <v>[x]</v>
      </c>
      <c r="X601" s="15">
        <f t="shared" si="126"/>
        <v>0.33</v>
      </c>
      <c r="Y601" s="15">
        <f t="shared" si="127"/>
        <v>1</v>
      </c>
      <c r="Z601" s="15">
        <f t="shared" si="128"/>
        <v>6</v>
      </c>
      <c r="AA601" s="15">
        <f t="shared" si="129"/>
        <v>0.08</v>
      </c>
    </row>
    <row r="602" spans="13:27" ht="16.5" x14ac:dyDescent="0.2">
      <c r="M602" s="15">
        <v>523</v>
      </c>
      <c r="N602" s="15">
        <f t="shared" si="118"/>
        <v>11</v>
      </c>
      <c r="O602" s="15">
        <f>INDEX(卡牌消耗!$H$13:$H$33,世界BOSS专属武器!N602)</f>
        <v>1501011</v>
      </c>
      <c r="P602" s="49" t="s">
        <v>480</v>
      </c>
      <c r="Q602" s="15">
        <f t="shared" si="119"/>
        <v>12</v>
      </c>
      <c r="R602" s="49" t="str">
        <f t="shared" si="120"/>
        <v>金币</v>
      </c>
      <c r="S602" s="15">
        <f t="shared" si="121"/>
        <v>1000</v>
      </c>
      <c r="T602" s="15" t="str">
        <f t="shared" si="122"/>
        <v>低级专属强化石</v>
      </c>
      <c r="U602" s="15">
        <f t="shared" si="123"/>
        <v>7</v>
      </c>
      <c r="V602" s="15" t="str">
        <f t="shared" si="124"/>
        <v>[x]</v>
      </c>
      <c r="W602" s="15" t="str">
        <f t="shared" si="125"/>
        <v>[x]</v>
      </c>
      <c r="X602" s="15">
        <f t="shared" si="126"/>
        <v>0.31</v>
      </c>
      <c r="Y602" s="15">
        <f t="shared" si="127"/>
        <v>1</v>
      </c>
      <c r="Z602" s="15">
        <f t="shared" si="128"/>
        <v>6</v>
      </c>
      <c r="AA602" s="15">
        <f t="shared" si="129"/>
        <v>9.3299999999999994E-2</v>
      </c>
    </row>
    <row r="603" spans="13:27" ht="16.5" x14ac:dyDescent="0.2">
      <c r="M603" s="15">
        <v>524</v>
      </c>
      <c r="N603" s="15">
        <f t="shared" si="118"/>
        <v>11</v>
      </c>
      <c r="O603" s="15">
        <f>INDEX(卡牌消耗!$H$13:$H$33,世界BOSS专属武器!N603)</f>
        <v>1501011</v>
      </c>
      <c r="P603" s="49" t="s">
        <v>480</v>
      </c>
      <c r="Q603" s="15">
        <f t="shared" si="119"/>
        <v>13</v>
      </c>
      <c r="R603" s="49" t="str">
        <f t="shared" si="120"/>
        <v>金币</v>
      </c>
      <c r="S603" s="15">
        <f t="shared" si="121"/>
        <v>1000</v>
      </c>
      <c r="T603" s="15" t="str">
        <f t="shared" si="122"/>
        <v>低级专属强化石</v>
      </c>
      <c r="U603" s="15">
        <f t="shared" si="123"/>
        <v>7</v>
      </c>
      <c r="V603" s="15" t="str">
        <f t="shared" si="124"/>
        <v>[x]</v>
      </c>
      <c r="W603" s="15" t="str">
        <f t="shared" si="125"/>
        <v>[x]</v>
      </c>
      <c r="X603" s="15">
        <f t="shared" si="126"/>
        <v>0.28999999999999998</v>
      </c>
      <c r="Y603" s="15">
        <f t="shared" si="127"/>
        <v>1</v>
      </c>
      <c r="Z603" s="15">
        <f t="shared" si="128"/>
        <v>7</v>
      </c>
      <c r="AA603" s="15">
        <f t="shared" si="129"/>
        <v>0.1067</v>
      </c>
    </row>
    <row r="604" spans="13:27" ht="16.5" x14ac:dyDescent="0.2">
      <c r="M604" s="15">
        <v>525</v>
      </c>
      <c r="N604" s="15">
        <f t="shared" si="118"/>
        <v>11</v>
      </c>
      <c r="O604" s="15">
        <f>INDEX(卡牌消耗!$H$13:$H$33,世界BOSS专属武器!N604)</f>
        <v>1501011</v>
      </c>
      <c r="P604" s="49" t="s">
        <v>480</v>
      </c>
      <c r="Q604" s="15">
        <f t="shared" si="119"/>
        <v>14</v>
      </c>
      <c r="R604" s="49" t="str">
        <f t="shared" si="120"/>
        <v>金币</v>
      </c>
      <c r="S604" s="15">
        <f t="shared" si="121"/>
        <v>1000</v>
      </c>
      <c r="T604" s="15" t="str">
        <f t="shared" si="122"/>
        <v>低级专属强化石</v>
      </c>
      <c r="U604" s="15">
        <f t="shared" si="123"/>
        <v>7</v>
      </c>
      <c r="V604" s="15" t="str">
        <f t="shared" si="124"/>
        <v>[x]</v>
      </c>
      <c r="W604" s="15" t="str">
        <f t="shared" si="125"/>
        <v>[x]</v>
      </c>
      <c r="X604" s="15">
        <f t="shared" si="126"/>
        <v>0.27</v>
      </c>
      <c r="Y604" s="15">
        <f t="shared" si="127"/>
        <v>1</v>
      </c>
      <c r="Z604" s="15">
        <f t="shared" si="128"/>
        <v>7</v>
      </c>
      <c r="AA604" s="15">
        <f t="shared" si="129"/>
        <v>0.12</v>
      </c>
    </row>
    <row r="605" spans="13:27" ht="16.5" x14ac:dyDescent="0.2">
      <c r="M605" s="15">
        <v>526</v>
      </c>
      <c r="N605" s="15">
        <f t="shared" si="118"/>
        <v>11</v>
      </c>
      <c r="O605" s="15">
        <f>INDEX(卡牌消耗!$H$13:$H$33,世界BOSS专属武器!N605)</f>
        <v>1501011</v>
      </c>
      <c r="P605" s="49" t="s">
        <v>480</v>
      </c>
      <c r="Q605" s="15">
        <f t="shared" si="119"/>
        <v>15</v>
      </c>
      <c r="R605" s="49" t="str">
        <f t="shared" si="120"/>
        <v>金币</v>
      </c>
      <c r="S605" s="15">
        <f t="shared" si="121"/>
        <v>1000</v>
      </c>
      <c r="T605" s="15" t="str">
        <f t="shared" si="122"/>
        <v>低级专属强化石</v>
      </c>
      <c r="U605" s="15">
        <f t="shared" si="123"/>
        <v>10</v>
      </c>
      <c r="V605" s="15" t="str">
        <f t="shared" si="124"/>
        <v>[x]</v>
      </c>
      <c r="W605" s="15" t="str">
        <f t="shared" si="125"/>
        <v>[x]</v>
      </c>
      <c r="X605" s="15">
        <f t="shared" si="126"/>
        <v>0.25</v>
      </c>
      <c r="Y605" s="15">
        <f t="shared" si="127"/>
        <v>1</v>
      </c>
      <c r="Z605" s="15">
        <f t="shared" si="128"/>
        <v>8</v>
      </c>
      <c r="AA605" s="15">
        <f t="shared" si="129"/>
        <v>0.1333</v>
      </c>
    </row>
    <row r="606" spans="13:27" ht="16.5" x14ac:dyDescent="0.2">
      <c r="M606" s="15">
        <v>527</v>
      </c>
      <c r="N606" s="15">
        <f t="shared" si="118"/>
        <v>11</v>
      </c>
      <c r="O606" s="15">
        <f>INDEX(卡牌消耗!$H$13:$H$33,世界BOSS专属武器!N606)</f>
        <v>1501011</v>
      </c>
      <c r="P606" s="49" t="s">
        <v>480</v>
      </c>
      <c r="Q606" s="15">
        <f t="shared" si="119"/>
        <v>16</v>
      </c>
      <c r="R606" s="49" t="str">
        <f t="shared" si="120"/>
        <v>金币</v>
      </c>
      <c r="S606" s="15">
        <f t="shared" si="121"/>
        <v>1000</v>
      </c>
      <c r="T606" s="15" t="str">
        <f t="shared" si="122"/>
        <v>低级专属强化石</v>
      </c>
      <c r="U606" s="15">
        <f t="shared" si="123"/>
        <v>10</v>
      </c>
      <c r="V606" s="15" t="str">
        <f t="shared" si="124"/>
        <v>[x]</v>
      </c>
      <c r="W606" s="15" t="str">
        <f t="shared" si="125"/>
        <v>[x]</v>
      </c>
      <c r="X606" s="15">
        <f t="shared" si="126"/>
        <v>0.23</v>
      </c>
      <c r="Y606" s="15">
        <f t="shared" si="127"/>
        <v>1</v>
      </c>
      <c r="Z606" s="15">
        <f t="shared" si="128"/>
        <v>9</v>
      </c>
      <c r="AA606" s="15">
        <f t="shared" si="129"/>
        <v>0.1467</v>
      </c>
    </row>
    <row r="607" spans="13:27" ht="16.5" x14ac:dyDescent="0.2">
      <c r="M607" s="15">
        <v>528</v>
      </c>
      <c r="N607" s="15">
        <f t="shared" si="118"/>
        <v>11</v>
      </c>
      <c r="O607" s="15">
        <f>INDEX(卡牌消耗!$H$13:$H$33,世界BOSS专属武器!N607)</f>
        <v>1501011</v>
      </c>
      <c r="P607" s="49" t="s">
        <v>480</v>
      </c>
      <c r="Q607" s="15">
        <f t="shared" si="119"/>
        <v>17</v>
      </c>
      <c r="R607" s="49" t="str">
        <f t="shared" si="120"/>
        <v>金币</v>
      </c>
      <c r="S607" s="15">
        <f t="shared" si="121"/>
        <v>1000</v>
      </c>
      <c r="T607" s="15" t="str">
        <f t="shared" si="122"/>
        <v>低级专属强化石</v>
      </c>
      <c r="U607" s="15">
        <f t="shared" si="123"/>
        <v>10</v>
      </c>
      <c r="V607" s="15" t="str">
        <f t="shared" si="124"/>
        <v>[x]</v>
      </c>
      <c r="W607" s="15" t="str">
        <f t="shared" si="125"/>
        <v>[x]</v>
      </c>
      <c r="X607" s="15">
        <f t="shared" si="126"/>
        <v>0.21</v>
      </c>
      <c r="Y607" s="15">
        <f t="shared" si="127"/>
        <v>1</v>
      </c>
      <c r="Z607" s="15">
        <f t="shared" si="128"/>
        <v>10</v>
      </c>
      <c r="AA607" s="15">
        <f t="shared" si="129"/>
        <v>0.16</v>
      </c>
    </row>
    <row r="608" spans="13:27" ht="16.5" x14ac:dyDescent="0.2">
      <c r="M608" s="15">
        <v>529</v>
      </c>
      <c r="N608" s="15">
        <f t="shared" si="118"/>
        <v>11</v>
      </c>
      <c r="O608" s="15">
        <f>INDEX(卡牌消耗!$H$13:$H$33,世界BOSS专属武器!N608)</f>
        <v>1501011</v>
      </c>
      <c r="P608" s="49" t="s">
        <v>480</v>
      </c>
      <c r="Q608" s="15">
        <f t="shared" si="119"/>
        <v>18</v>
      </c>
      <c r="R608" s="49" t="str">
        <f t="shared" si="120"/>
        <v>金币</v>
      </c>
      <c r="S608" s="15">
        <f t="shared" si="121"/>
        <v>1000</v>
      </c>
      <c r="T608" s="15" t="str">
        <f t="shared" si="122"/>
        <v>低级专属强化石</v>
      </c>
      <c r="U608" s="15">
        <f t="shared" si="123"/>
        <v>10</v>
      </c>
      <c r="V608" s="15" t="str">
        <f t="shared" si="124"/>
        <v>[x]</v>
      </c>
      <c r="W608" s="15" t="str">
        <f t="shared" si="125"/>
        <v>[x]</v>
      </c>
      <c r="X608" s="15">
        <f t="shared" si="126"/>
        <v>0.19</v>
      </c>
      <c r="Y608" s="15">
        <f t="shared" si="127"/>
        <v>1</v>
      </c>
      <c r="Z608" s="15">
        <f t="shared" si="128"/>
        <v>11</v>
      </c>
      <c r="AA608" s="15">
        <f t="shared" si="129"/>
        <v>0.17330000000000001</v>
      </c>
    </row>
    <row r="609" spans="13:27" ht="16.5" x14ac:dyDescent="0.2">
      <c r="M609" s="15">
        <v>530</v>
      </c>
      <c r="N609" s="15">
        <f t="shared" si="118"/>
        <v>11</v>
      </c>
      <c r="O609" s="15">
        <f>INDEX(卡牌消耗!$H$13:$H$33,世界BOSS专属武器!N609)</f>
        <v>1501011</v>
      </c>
      <c r="P609" s="49" t="s">
        <v>480</v>
      </c>
      <c r="Q609" s="15">
        <f t="shared" si="119"/>
        <v>19</v>
      </c>
      <c r="R609" s="49" t="str">
        <f t="shared" si="120"/>
        <v>金币</v>
      </c>
      <c r="S609" s="15">
        <f t="shared" si="121"/>
        <v>1000</v>
      </c>
      <c r="T609" s="15" t="str">
        <f t="shared" si="122"/>
        <v>低级专属强化石</v>
      </c>
      <c r="U609" s="15">
        <f t="shared" si="123"/>
        <v>10</v>
      </c>
      <c r="V609" s="15" t="str">
        <f t="shared" si="124"/>
        <v>[x]</v>
      </c>
      <c r="W609" s="15" t="str">
        <f t="shared" si="125"/>
        <v>[x]</v>
      </c>
      <c r="X609" s="15">
        <f t="shared" si="126"/>
        <v>0.17</v>
      </c>
      <c r="Y609" s="15">
        <f t="shared" si="127"/>
        <v>1</v>
      </c>
      <c r="Z609" s="15">
        <f t="shared" si="128"/>
        <v>12</v>
      </c>
      <c r="AA609" s="15">
        <f t="shared" si="129"/>
        <v>0.1867</v>
      </c>
    </row>
    <row r="610" spans="13:27" ht="16.5" x14ac:dyDescent="0.2">
      <c r="M610" s="15">
        <v>531</v>
      </c>
      <c r="N610" s="15">
        <f t="shared" si="118"/>
        <v>11</v>
      </c>
      <c r="O610" s="15">
        <f>INDEX(卡牌消耗!$H$13:$H$33,世界BOSS专属武器!N610)</f>
        <v>1501011</v>
      </c>
      <c r="P610" s="49" t="s">
        <v>480</v>
      </c>
      <c r="Q610" s="15">
        <f t="shared" si="119"/>
        <v>20</v>
      </c>
      <c r="R610" s="49" t="str">
        <f t="shared" si="120"/>
        <v>金币</v>
      </c>
      <c r="S610" s="15">
        <f t="shared" si="121"/>
        <v>5000</v>
      </c>
      <c r="T610" s="15" t="str">
        <f t="shared" si="122"/>
        <v>低级专属强化石</v>
      </c>
      <c r="U610" s="15">
        <f t="shared" si="123"/>
        <v>15</v>
      </c>
      <c r="V610" s="15" t="str">
        <f t="shared" si="124"/>
        <v>中级专属强化石</v>
      </c>
      <c r="W610" s="15">
        <f t="shared" si="125"/>
        <v>7</v>
      </c>
      <c r="X610" s="15">
        <f t="shared" si="126"/>
        <v>0.15</v>
      </c>
      <c r="Y610" s="15">
        <f t="shared" si="127"/>
        <v>1</v>
      </c>
      <c r="Z610" s="15">
        <f t="shared" si="128"/>
        <v>15</v>
      </c>
      <c r="AA610" s="15">
        <f t="shared" si="129"/>
        <v>0.2</v>
      </c>
    </row>
    <row r="611" spans="13:27" ht="16.5" x14ac:dyDescent="0.2">
      <c r="M611" s="15">
        <v>532</v>
      </c>
      <c r="N611" s="15">
        <f t="shared" si="118"/>
        <v>11</v>
      </c>
      <c r="O611" s="15">
        <f>INDEX(卡牌消耗!$H$13:$H$33,世界BOSS专属武器!N611)</f>
        <v>1501011</v>
      </c>
      <c r="P611" s="49" t="s">
        <v>480</v>
      </c>
      <c r="Q611" s="15">
        <f t="shared" si="119"/>
        <v>21</v>
      </c>
      <c r="R611" s="49" t="str">
        <f t="shared" si="120"/>
        <v>金币</v>
      </c>
      <c r="S611" s="15">
        <f t="shared" si="121"/>
        <v>5000</v>
      </c>
      <c r="T611" s="15" t="str">
        <f t="shared" si="122"/>
        <v>低级专属强化石</v>
      </c>
      <c r="U611" s="15">
        <f t="shared" si="123"/>
        <v>15</v>
      </c>
      <c r="V611" s="15" t="str">
        <f t="shared" si="124"/>
        <v>中级专属强化石</v>
      </c>
      <c r="W611" s="15">
        <f t="shared" si="125"/>
        <v>7</v>
      </c>
      <c r="X611" s="15">
        <f t="shared" si="126"/>
        <v>0.15</v>
      </c>
      <c r="Y611" s="15">
        <f t="shared" si="127"/>
        <v>1</v>
      </c>
      <c r="Z611" s="15">
        <f t="shared" si="128"/>
        <v>15</v>
      </c>
      <c r="AA611" s="15">
        <f t="shared" si="129"/>
        <v>0.22</v>
      </c>
    </row>
    <row r="612" spans="13:27" ht="16.5" x14ac:dyDescent="0.2">
      <c r="M612" s="15">
        <v>533</v>
      </c>
      <c r="N612" s="15">
        <f t="shared" si="118"/>
        <v>11</v>
      </c>
      <c r="O612" s="15">
        <f>INDEX(卡牌消耗!$H$13:$H$33,世界BOSS专属武器!N612)</f>
        <v>1501011</v>
      </c>
      <c r="P612" s="49" t="s">
        <v>480</v>
      </c>
      <c r="Q612" s="15">
        <f t="shared" si="119"/>
        <v>22</v>
      </c>
      <c r="R612" s="49" t="str">
        <f t="shared" si="120"/>
        <v>金币</v>
      </c>
      <c r="S612" s="15">
        <f t="shared" si="121"/>
        <v>5000</v>
      </c>
      <c r="T612" s="15" t="str">
        <f t="shared" si="122"/>
        <v>低级专属强化石</v>
      </c>
      <c r="U612" s="15">
        <f t="shared" si="123"/>
        <v>15</v>
      </c>
      <c r="V612" s="15" t="str">
        <f t="shared" si="124"/>
        <v>中级专属强化石</v>
      </c>
      <c r="W612" s="15">
        <f t="shared" si="125"/>
        <v>7</v>
      </c>
      <c r="X612" s="15">
        <f t="shared" si="126"/>
        <v>0.15</v>
      </c>
      <c r="Y612" s="15">
        <f t="shared" si="127"/>
        <v>1</v>
      </c>
      <c r="Z612" s="15">
        <f t="shared" si="128"/>
        <v>15</v>
      </c>
      <c r="AA612" s="15">
        <f t="shared" si="129"/>
        <v>0.24</v>
      </c>
    </row>
    <row r="613" spans="13:27" ht="16.5" x14ac:dyDescent="0.2">
      <c r="M613" s="15">
        <v>534</v>
      </c>
      <c r="N613" s="15">
        <f t="shared" si="118"/>
        <v>11</v>
      </c>
      <c r="O613" s="15">
        <f>INDEX(卡牌消耗!$H$13:$H$33,世界BOSS专属武器!N613)</f>
        <v>1501011</v>
      </c>
      <c r="P613" s="49" t="s">
        <v>480</v>
      </c>
      <c r="Q613" s="15">
        <f t="shared" si="119"/>
        <v>23</v>
      </c>
      <c r="R613" s="49" t="str">
        <f t="shared" si="120"/>
        <v>金币</v>
      </c>
      <c r="S613" s="15">
        <f t="shared" si="121"/>
        <v>5000</v>
      </c>
      <c r="T613" s="15" t="str">
        <f t="shared" si="122"/>
        <v>低级专属强化石</v>
      </c>
      <c r="U613" s="15">
        <f t="shared" si="123"/>
        <v>15</v>
      </c>
      <c r="V613" s="15" t="str">
        <f t="shared" si="124"/>
        <v>中级专属强化石</v>
      </c>
      <c r="W613" s="15">
        <f t="shared" si="125"/>
        <v>7</v>
      </c>
      <c r="X613" s="15">
        <f t="shared" si="126"/>
        <v>0.15</v>
      </c>
      <c r="Y613" s="15">
        <f t="shared" si="127"/>
        <v>1</v>
      </c>
      <c r="Z613" s="15">
        <f t="shared" si="128"/>
        <v>18</v>
      </c>
      <c r="AA613" s="15">
        <f t="shared" si="129"/>
        <v>0.26</v>
      </c>
    </row>
    <row r="614" spans="13:27" ht="16.5" x14ac:dyDescent="0.2">
      <c r="M614" s="15">
        <v>535</v>
      </c>
      <c r="N614" s="15">
        <f t="shared" si="118"/>
        <v>11</v>
      </c>
      <c r="O614" s="15">
        <f>INDEX(卡牌消耗!$H$13:$H$33,世界BOSS专属武器!N614)</f>
        <v>1501011</v>
      </c>
      <c r="P614" s="49" t="s">
        <v>480</v>
      </c>
      <c r="Q614" s="15">
        <f t="shared" si="119"/>
        <v>24</v>
      </c>
      <c r="R614" s="49" t="str">
        <f t="shared" si="120"/>
        <v>金币</v>
      </c>
      <c r="S614" s="15">
        <f t="shared" si="121"/>
        <v>5000</v>
      </c>
      <c r="T614" s="15" t="str">
        <f t="shared" si="122"/>
        <v>低级专属强化石</v>
      </c>
      <c r="U614" s="15">
        <f t="shared" si="123"/>
        <v>15</v>
      </c>
      <c r="V614" s="15" t="str">
        <f t="shared" si="124"/>
        <v>中级专属强化石</v>
      </c>
      <c r="W614" s="15">
        <f t="shared" si="125"/>
        <v>7</v>
      </c>
      <c r="X614" s="15">
        <f t="shared" si="126"/>
        <v>0.15</v>
      </c>
      <c r="Y614" s="15">
        <f t="shared" si="127"/>
        <v>1</v>
      </c>
      <c r="Z614" s="15">
        <f t="shared" si="128"/>
        <v>18</v>
      </c>
      <c r="AA614" s="15">
        <f t="shared" si="129"/>
        <v>0.28000000000000003</v>
      </c>
    </row>
    <row r="615" spans="13:27" ht="16.5" x14ac:dyDescent="0.2">
      <c r="M615" s="15">
        <v>536</v>
      </c>
      <c r="N615" s="15">
        <f t="shared" si="118"/>
        <v>11</v>
      </c>
      <c r="O615" s="15">
        <f>INDEX(卡牌消耗!$H$13:$H$33,世界BOSS专属武器!N615)</f>
        <v>1501011</v>
      </c>
      <c r="P615" s="49" t="s">
        <v>480</v>
      </c>
      <c r="Q615" s="15">
        <f t="shared" si="119"/>
        <v>25</v>
      </c>
      <c r="R615" s="49" t="str">
        <f t="shared" si="120"/>
        <v>金币</v>
      </c>
      <c r="S615" s="15">
        <f t="shared" si="121"/>
        <v>5000</v>
      </c>
      <c r="T615" s="15" t="str">
        <f t="shared" si="122"/>
        <v>低级专属强化石</v>
      </c>
      <c r="U615" s="15">
        <f t="shared" si="123"/>
        <v>15</v>
      </c>
      <c r="V615" s="15" t="str">
        <f t="shared" si="124"/>
        <v>中级专属强化石</v>
      </c>
      <c r="W615" s="15">
        <f t="shared" si="125"/>
        <v>7</v>
      </c>
      <c r="X615" s="15">
        <f t="shared" si="126"/>
        <v>0.15</v>
      </c>
      <c r="Y615" s="15">
        <f t="shared" si="127"/>
        <v>1</v>
      </c>
      <c r="Z615" s="15">
        <f t="shared" si="128"/>
        <v>18</v>
      </c>
      <c r="AA615" s="15">
        <f t="shared" si="129"/>
        <v>0.3</v>
      </c>
    </row>
    <row r="616" spans="13:27" ht="16.5" x14ac:dyDescent="0.2">
      <c r="M616" s="15">
        <v>537</v>
      </c>
      <c r="N616" s="15">
        <f t="shared" si="118"/>
        <v>11</v>
      </c>
      <c r="O616" s="15">
        <f>INDEX(卡牌消耗!$H$13:$H$33,世界BOSS专属武器!N616)</f>
        <v>1501011</v>
      </c>
      <c r="P616" s="49" t="s">
        <v>480</v>
      </c>
      <c r="Q616" s="15">
        <f t="shared" si="119"/>
        <v>26</v>
      </c>
      <c r="R616" s="49" t="str">
        <f t="shared" si="120"/>
        <v>金币</v>
      </c>
      <c r="S616" s="15">
        <f t="shared" si="121"/>
        <v>5000</v>
      </c>
      <c r="T616" s="15" t="str">
        <f t="shared" si="122"/>
        <v>低级专属强化石</v>
      </c>
      <c r="U616" s="15">
        <f t="shared" si="123"/>
        <v>15</v>
      </c>
      <c r="V616" s="15" t="str">
        <f t="shared" si="124"/>
        <v>中级专属强化石</v>
      </c>
      <c r="W616" s="15">
        <f t="shared" si="125"/>
        <v>7</v>
      </c>
      <c r="X616" s="15">
        <f t="shared" si="126"/>
        <v>0.15</v>
      </c>
      <c r="Y616" s="15">
        <f t="shared" si="127"/>
        <v>1</v>
      </c>
      <c r="Z616" s="15">
        <f t="shared" si="128"/>
        <v>21</v>
      </c>
      <c r="AA616" s="15">
        <f t="shared" si="129"/>
        <v>0.32</v>
      </c>
    </row>
    <row r="617" spans="13:27" ht="16.5" x14ac:dyDescent="0.2">
      <c r="M617" s="15">
        <v>538</v>
      </c>
      <c r="N617" s="15">
        <f t="shared" si="118"/>
        <v>11</v>
      </c>
      <c r="O617" s="15">
        <f>INDEX(卡牌消耗!$H$13:$H$33,世界BOSS专属武器!N617)</f>
        <v>1501011</v>
      </c>
      <c r="P617" s="49" t="s">
        <v>480</v>
      </c>
      <c r="Q617" s="15">
        <f t="shared" si="119"/>
        <v>27</v>
      </c>
      <c r="R617" s="49" t="str">
        <f t="shared" si="120"/>
        <v>金币</v>
      </c>
      <c r="S617" s="15">
        <f t="shared" si="121"/>
        <v>5000</v>
      </c>
      <c r="T617" s="15" t="str">
        <f t="shared" si="122"/>
        <v>低级专属强化石</v>
      </c>
      <c r="U617" s="15">
        <f t="shared" si="123"/>
        <v>15</v>
      </c>
      <c r="V617" s="15" t="str">
        <f t="shared" si="124"/>
        <v>中级专属强化石</v>
      </c>
      <c r="W617" s="15">
        <f t="shared" si="125"/>
        <v>7</v>
      </c>
      <c r="X617" s="15">
        <f t="shared" si="126"/>
        <v>0.15</v>
      </c>
      <c r="Y617" s="15">
        <f t="shared" si="127"/>
        <v>1</v>
      </c>
      <c r="Z617" s="15">
        <f t="shared" si="128"/>
        <v>22</v>
      </c>
      <c r="AA617" s="15">
        <f t="shared" si="129"/>
        <v>0.34</v>
      </c>
    </row>
    <row r="618" spans="13:27" ht="16.5" x14ac:dyDescent="0.2">
      <c r="M618" s="15">
        <v>539</v>
      </c>
      <c r="N618" s="15">
        <f t="shared" si="118"/>
        <v>11</v>
      </c>
      <c r="O618" s="15">
        <f>INDEX(卡牌消耗!$H$13:$H$33,世界BOSS专属武器!N618)</f>
        <v>1501011</v>
      </c>
      <c r="P618" s="49" t="s">
        <v>480</v>
      </c>
      <c r="Q618" s="15">
        <f t="shared" si="119"/>
        <v>28</v>
      </c>
      <c r="R618" s="49" t="str">
        <f t="shared" si="120"/>
        <v>金币</v>
      </c>
      <c r="S618" s="15">
        <f t="shared" si="121"/>
        <v>5000</v>
      </c>
      <c r="T618" s="15" t="str">
        <f t="shared" si="122"/>
        <v>低级专属强化石</v>
      </c>
      <c r="U618" s="15">
        <f t="shared" si="123"/>
        <v>15</v>
      </c>
      <c r="V618" s="15" t="str">
        <f t="shared" si="124"/>
        <v>中级专属强化石</v>
      </c>
      <c r="W618" s="15">
        <f t="shared" si="125"/>
        <v>7</v>
      </c>
      <c r="X618" s="15">
        <f t="shared" si="126"/>
        <v>0.15</v>
      </c>
      <c r="Y618" s="15">
        <f t="shared" si="127"/>
        <v>1</v>
      </c>
      <c r="Z618" s="15">
        <f t="shared" si="128"/>
        <v>23</v>
      </c>
      <c r="AA618" s="15">
        <f t="shared" si="129"/>
        <v>0.36</v>
      </c>
    </row>
    <row r="619" spans="13:27" ht="16.5" x14ac:dyDescent="0.2">
      <c r="M619" s="15">
        <v>540</v>
      </c>
      <c r="N619" s="15">
        <f t="shared" si="118"/>
        <v>11</v>
      </c>
      <c r="O619" s="15">
        <f>INDEX(卡牌消耗!$H$13:$H$33,世界BOSS专属武器!N619)</f>
        <v>1501011</v>
      </c>
      <c r="P619" s="49" t="s">
        <v>480</v>
      </c>
      <c r="Q619" s="15">
        <f t="shared" si="119"/>
        <v>29</v>
      </c>
      <c r="R619" s="49" t="str">
        <f t="shared" si="120"/>
        <v>金币</v>
      </c>
      <c r="S619" s="15">
        <f t="shared" si="121"/>
        <v>5000</v>
      </c>
      <c r="T619" s="15" t="str">
        <f t="shared" si="122"/>
        <v>低级专属强化石</v>
      </c>
      <c r="U619" s="15">
        <f t="shared" si="123"/>
        <v>15</v>
      </c>
      <c r="V619" s="15" t="str">
        <f t="shared" si="124"/>
        <v>中级专属强化石</v>
      </c>
      <c r="W619" s="15">
        <f t="shared" si="125"/>
        <v>7</v>
      </c>
      <c r="X619" s="15">
        <f t="shared" si="126"/>
        <v>0.15</v>
      </c>
      <c r="Y619" s="15">
        <f t="shared" si="127"/>
        <v>1</v>
      </c>
      <c r="Z619" s="15">
        <f t="shared" si="128"/>
        <v>25</v>
      </c>
      <c r="AA619" s="15">
        <f t="shared" si="129"/>
        <v>0.38</v>
      </c>
    </row>
    <row r="620" spans="13:27" ht="16.5" x14ac:dyDescent="0.2">
      <c r="M620" s="15">
        <v>541</v>
      </c>
      <c r="N620" s="15">
        <f t="shared" si="118"/>
        <v>11</v>
      </c>
      <c r="O620" s="15">
        <f>INDEX(卡牌消耗!$H$13:$H$33,世界BOSS专属武器!N620)</f>
        <v>1501011</v>
      </c>
      <c r="P620" s="49" t="s">
        <v>480</v>
      </c>
      <c r="Q620" s="15">
        <f t="shared" si="119"/>
        <v>30</v>
      </c>
      <c r="R620" s="49" t="str">
        <f t="shared" si="120"/>
        <v>金币</v>
      </c>
      <c r="S620" s="15">
        <f t="shared" si="121"/>
        <v>10000</v>
      </c>
      <c r="T620" s="15" t="str">
        <f t="shared" si="122"/>
        <v>中级专属强化石</v>
      </c>
      <c r="U620" s="15">
        <f t="shared" si="123"/>
        <v>8</v>
      </c>
      <c r="V620" s="15" t="str">
        <f t="shared" si="124"/>
        <v>高级专属强化石</v>
      </c>
      <c r="W620" s="15">
        <f t="shared" si="125"/>
        <v>3</v>
      </c>
      <c r="X620" s="15">
        <f t="shared" si="126"/>
        <v>0.1</v>
      </c>
      <c r="Y620" s="15">
        <f t="shared" si="127"/>
        <v>1</v>
      </c>
      <c r="Z620" s="15">
        <f t="shared" si="128"/>
        <v>30</v>
      </c>
      <c r="AA620" s="15">
        <f t="shared" si="129"/>
        <v>0.4</v>
      </c>
    </row>
    <row r="621" spans="13:27" ht="16.5" x14ac:dyDescent="0.2">
      <c r="M621" s="15">
        <v>542</v>
      </c>
      <c r="N621" s="15">
        <f t="shared" si="118"/>
        <v>11</v>
      </c>
      <c r="O621" s="15">
        <f>INDEX(卡牌消耗!$H$13:$H$33,世界BOSS专属武器!N621)</f>
        <v>1501011</v>
      </c>
      <c r="P621" s="49" t="s">
        <v>480</v>
      </c>
      <c r="Q621" s="15">
        <f t="shared" si="119"/>
        <v>31</v>
      </c>
      <c r="R621" s="49" t="str">
        <f t="shared" si="120"/>
        <v>金币</v>
      </c>
      <c r="S621" s="15">
        <f t="shared" si="121"/>
        <v>10000</v>
      </c>
      <c r="T621" s="15" t="str">
        <f t="shared" si="122"/>
        <v>中级专属强化石</v>
      </c>
      <c r="U621" s="15">
        <f t="shared" si="123"/>
        <v>8</v>
      </c>
      <c r="V621" s="15" t="str">
        <f t="shared" si="124"/>
        <v>高级专属强化石</v>
      </c>
      <c r="W621" s="15">
        <f t="shared" si="125"/>
        <v>3</v>
      </c>
      <c r="X621" s="15">
        <f t="shared" si="126"/>
        <v>0.1</v>
      </c>
      <c r="Y621" s="15">
        <f t="shared" si="127"/>
        <v>1</v>
      </c>
      <c r="Z621" s="15">
        <f t="shared" si="128"/>
        <v>30</v>
      </c>
      <c r="AA621" s="15">
        <f t="shared" si="129"/>
        <v>0.42670000000000002</v>
      </c>
    </row>
    <row r="622" spans="13:27" ht="16.5" x14ac:dyDescent="0.2">
      <c r="M622" s="15">
        <v>543</v>
      </c>
      <c r="N622" s="15">
        <f t="shared" si="118"/>
        <v>11</v>
      </c>
      <c r="O622" s="15">
        <f>INDEX(卡牌消耗!$H$13:$H$33,世界BOSS专属武器!N622)</f>
        <v>1501011</v>
      </c>
      <c r="P622" s="49" t="s">
        <v>480</v>
      </c>
      <c r="Q622" s="15">
        <f t="shared" si="119"/>
        <v>32</v>
      </c>
      <c r="R622" s="49" t="str">
        <f t="shared" si="120"/>
        <v>金币</v>
      </c>
      <c r="S622" s="15">
        <f t="shared" si="121"/>
        <v>10000</v>
      </c>
      <c r="T622" s="15" t="str">
        <f t="shared" si="122"/>
        <v>中级专属强化石</v>
      </c>
      <c r="U622" s="15">
        <f t="shared" si="123"/>
        <v>8</v>
      </c>
      <c r="V622" s="15" t="str">
        <f t="shared" si="124"/>
        <v>高级专属强化石</v>
      </c>
      <c r="W622" s="15">
        <f t="shared" si="125"/>
        <v>3</v>
      </c>
      <c r="X622" s="15">
        <f t="shared" si="126"/>
        <v>0.1</v>
      </c>
      <c r="Y622" s="15">
        <f t="shared" si="127"/>
        <v>1</v>
      </c>
      <c r="Z622" s="15">
        <f t="shared" si="128"/>
        <v>30</v>
      </c>
      <c r="AA622" s="15">
        <f t="shared" si="129"/>
        <v>0.45329999999999998</v>
      </c>
    </row>
    <row r="623" spans="13:27" ht="16.5" x14ac:dyDescent="0.2">
      <c r="M623" s="15">
        <v>544</v>
      </c>
      <c r="N623" s="15">
        <f t="shared" si="118"/>
        <v>11</v>
      </c>
      <c r="O623" s="15">
        <f>INDEX(卡牌消耗!$H$13:$H$33,世界BOSS专属武器!N623)</f>
        <v>1501011</v>
      </c>
      <c r="P623" s="49" t="s">
        <v>480</v>
      </c>
      <c r="Q623" s="15">
        <f t="shared" si="119"/>
        <v>33</v>
      </c>
      <c r="R623" s="49" t="str">
        <f t="shared" si="120"/>
        <v>金币</v>
      </c>
      <c r="S623" s="15">
        <f t="shared" si="121"/>
        <v>10000</v>
      </c>
      <c r="T623" s="15" t="str">
        <f t="shared" si="122"/>
        <v>中级专属强化石</v>
      </c>
      <c r="U623" s="15">
        <f t="shared" si="123"/>
        <v>8</v>
      </c>
      <c r="V623" s="15" t="str">
        <f t="shared" si="124"/>
        <v>高级专属强化石</v>
      </c>
      <c r="W623" s="15">
        <f t="shared" si="125"/>
        <v>3</v>
      </c>
      <c r="X623" s="15">
        <f t="shared" si="126"/>
        <v>0.1</v>
      </c>
      <c r="Y623" s="15">
        <f t="shared" si="127"/>
        <v>1</v>
      </c>
      <c r="Z623" s="15">
        <f t="shared" si="128"/>
        <v>30</v>
      </c>
      <c r="AA623" s="15">
        <f t="shared" si="129"/>
        <v>0.48</v>
      </c>
    </row>
    <row r="624" spans="13:27" ht="16.5" x14ac:dyDescent="0.2">
      <c r="M624" s="15">
        <v>545</v>
      </c>
      <c r="N624" s="15">
        <f t="shared" si="118"/>
        <v>11</v>
      </c>
      <c r="O624" s="15">
        <f>INDEX(卡牌消耗!$H$13:$H$33,世界BOSS专属武器!N624)</f>
        <v>1501011</v>
      </c>
      <c r="P624" s="49" t="s">
        <v>480</v>
      </c>
      <c r="Q624" s="15">
        <f t="shared" si="119"/>
        <v>34</v>
      </c>
      <c r="R624" s="49" t="str">
        <f t="shared" si="120"/>
        <v>金币</v>
      </c>
      <c r="S624" s="15">
        <f t="shared" si="121"/>
        <v>10000</v>
      </c>
      <c r="T624" s="15" t="str">
        <f t="shared" si="122"/>
        <v>中级专属强化石</v>
      </c>
      <c r="U624" s="15">
        <f t="shared" si="123"/>
        <v>8</v>
      </c>
      <c r="V624" s="15" t="str">
        <f t="shared" si="124"/>
        <v>高级专属强化石</v>
      </c>
      <c r="W624" s="15">
        <f t="shared" si="125"/>
        <v>3</v>
      </c>
      <c r="X624" s="15">
        <f t="shared" si="126"/>
        <v>0.1</v>
      </c>
      <c r="Y624" s="15">
        <f t="shared" si="127"/>
        <v>1</v>
      </c>
      <c r="Z624" s="15">
        <f t="shared" si="128"/>
        <v>30</v>
      </c>
      <c r="AA624" s="15">
        <f t="shared" si="129"/>
        <v>0.50670000000000004</v>
      </c>
    </row>
    <row r="625" spans="13:27" ht="16.5" x14ac:dyDescent="0.2">
      <c r="M625" s="15">
        <v>546</v>
      </c>
      <c r="N625" s="15">
        <f t="shared" si="118"/>
        <v>11</v>
      </c>
      <c r="O625" s="15">
        <f>INDEX(卡牌消耗!$H$13:$H$33,世界BOSS专属武器!N625)</f>
        <v>1501011</v>
      </c>
      <c r="P625" s="49" t="s">
        <v>480</v>
      </c>
      <c r="Q625" s="15">
        <f t="shared" si="119"/>
        <v>35</v>
      </c>
      <c r="R625" s="49" t="str">
        <f t="shared" si="120"/>
        <v>金币</v>
      </c>
      <c r="S625" s="15">
        <f t="shared" si="121"/>
        <v>10000</v>
      </c>
      <c r="T625" s="15" t="str">
        <f t="shared" si="122"/>
        <v>中级专属强化石</v>
      </c>
      <c r="U625" s="15">
        <f t="shared" si="123"/>
        <v>8</v>
      </c>
      <c r="V625" s="15" t="str">
        <f t="shared" si="124"/>
        <v>高级专属强化石</v>
      </c>
      <c r="W625" s="15">
        <f t="shared" si="125"/>
        <v>3</v>
      </c>
      <c r="X625" s="15">
        <f t="shared" si="126"/>
        <v>0.1</v>
      </c>
      <c r="Y625" s="15">
        <f t="shared" si="127"/>
        <v>1</v>
      </c>
      <c r="Z625" s="15">
        <f t="shared" si="128"/>
        <v>30</v>
      </c>
      <c r="AA625" s="15">
        <f t="shared" si="129"/>
        <v>0.5333</v>
      </c>
    </row>
    <row r="626" spans="13:27" ht="16.5" x14ac:dyDescent="0.2">
      <c r="M626" s="15">
        <v>547</v>
      </c>
      <c r="N626" s="15">
        <f t="shared" si="118"/>
        <v>11</v>
      </c>
      <c r="O626" s="15">
        <f>INDEX(卡牌消耗!$H$13:$H$33,世界BOSS专属武器!N626)</f>
        <v>1501011</v>
      </c>
      <c r="P626" s="49" t="s">
        <v>480</v>
      </c>
      <c r="Q626" s="15">
        <f t="shared" si="119"/>
        <v>36</v>
      </c>
      <c r="R626" s="49" t="str">
        <f t="shared" si="120"/>
        <v>金币</v>
      </c>
      <c r="S626" s="15">
        <f t="shared" si="121"/>
        <v>10000</v>
      </c>
      <c r="T626" s="15" t="str">
        <f t="shared" si="122"/>
        <v>中级专属强化石</v>
      </c>
      <c r="U626" s="15">
        <f t="shared" si="123"/>
        <v>8</v>
      </c>
      <c r="V626" s="15" t="str">
        <f t="shared" si="124"/>
        <v>高级专属强化石</v>
      </c>
      <c r="W626" s="15">
        <f t="shared" si="125"/>
        <v>3</v>
      </c>
      <c r="X626" s="15">
        <f t="shared" si="126"/>
        <v>0.1</v>
      </c>
      <c r="Y626" s="15">
        <f t="shared" si="127"/>
        <v>1</v>
      </c>
      <c r="Z626" s="15">
        <f t="shared" si="128"/>
        <v>30</v>
      </c>
      <c r="AA626" s="15">
        <f t="shared" si="129"/>
        <v>0.56000000000000005</v>
      </c>
    </row>
    <row r="627" spans="13:27" ht="16.5" x14ac:dyDescent="0.2">
      <c r="M627" s="15">
        <v>548</v>
      </c>
      <c r="N627" s="15">
        <f t="shared" si="118"/>
        <v>11</v>
      </c>
      <c r="O627" s="15">
        <f>INDEX(卡牌消耗!$H$13:$H$33,世界BOSS专属武器!N627)</f>
        <v>1501011</v>
      </c>
      <c r="P627" s="49" t="s">
        <v>480</v>
      </c>
      <c r="Q627" s="15">
        <f t="shared" si="119"/>
        <v>37</v>
      </c>
      <c r="R627" s="49" t="str">
        <f t="shared" si="120"/>
        <v>金币</v>
      </c>
      <c r="S627" s="15">
        <f t="shared" si="121"/>
        <v>10000</v>
      </c>
      <c r="T627" s="15" t="str">
        <f t="shared" si="122"/>
        <v>中级专属强化石</v>
      </c>
      <c r="U627" s="15">
        <f t="shared" si="123"/>
        <v>8</v>
      </c>
      <c r="V627" s="15" t="str">
        <f t="shared" si="124"/>
        <v>高级专属强化石</v>
      </c>
      <c r="W627" s="15">
        <f t="shared" si="125"/>
        <v>3</v>
      </c>
      <c r="X627" s="15">
        <f t="shared" si="126"/>
        <v>0.1</v>
      </c>
      <c r="Y627" s="15">
        <f t="shared" si="127"/>
        <v>1</v>
      </c>
      <c r="Z627" s="15">
        <f t="shared" si="128"/>
        <v>30</v>
      </c>
      <c r="AA627" s="15">
        <f t="shared" si="129"/>
        <v>0.5867</v>
      </c>
    </row>
    <row r="628" spans="13:27" ht="16.5" x14ac:dyDescent="0.2">
      <c r="M628" s="15">
        <v>549</v>
      </c>
      <c r="N628" s="15">
        <f t="shared" si="118"/>
        <v>11</v>
      </c>
      <c r="O628" s="15">
        <f>INDEX(卡牌消耗!$H$13:$H$33,世界BOSS专属武器!N628)</f>
        <v>1501011</v>
      </c>
      <c r="P628" s="49" t="s">
        <v>480</v>
      </c>
      <c r="Q628" s="15">
        <f t="shared" si="119"/>
        <v>38</v>
      </c>
      <c r="R628" s="49" t="str">
        <f t="shared" si="120"/>
        <v>金币</v>
      </c>
      <c r="S628" s="15">
        <f t="shared" si="121"/>
        <v>10000</v>
      </c>
      <c r="T628" s="15" t="str">
        <f t="shared" si="122"/>
        <v>中级专属强化石</v>
      </c>
      <c r="U628" s="15">
        <f t="shared" si="123"/>
        <v>8</v>
      </c>
      <c r="V628" s="15" t="str">
        <f t="shared" si="124"/>
        <v>高级专属强化石</v>
      </c>
      <c r="W628" s="15">
        <f t="shared" si="125"/>
        <v>3</v>
      </c>
      <c r="X628" s="15">
        <f t="shared" si="126"/>
        <v>0.1</v>
      </c>
      <c r="Y628" s="15">
        <f t="shared" si="127"/>
        <v>1</v>
      </c>
      <c r="Z628" s="15">
        <f t="shared" si="128"/>
        <v>30</v>
      </c>
      <c r="AA628" s="15">
        <f t="shared" si="129"/>
        <v>0.61329999999999996</v>
      </c>
    </row>
    <row r="629" spans="13:27" ht="16.5" x14ac:dyDescent="0.2">
      <c r="M629" s="15">
        <v>550</v>
      </c>
      <c r="N629" s="15">
        <f t="shared" si="118"/>
        <v>11</v>
      </c>
      <c r="O629" s="15">
        <f>INDEX(卡牌消耗!$H$13:$H$33,世界BOSS专属武器!N629)</f>
        <v>1501011</v>
      </c>
      <c r="P629" s="49" t="s">
        <v>480</v>
      </c>
      <c r="Q629" s="15">
        <f t="shared" si="119"/>
        <v>39</v>
      </c>
      <c r="R629" s="49" t="str">
        <f t="shared" si="120"/>
        <v>金币</v>
      </c>
      <c r="S629" s="15">
        <f t="shared" si="121"/>
        <v>10000</v>
      </c>
      <c r="T629" s="15" t="str">
        <f t="shared" si="122"/>
        <v>中级专属强化石</v>
      </c>
      <c r="U629" s="15">
        <f t="shared" si="123"/>
        <v>8</v>
      </c>
      <c r="V629" s="15" t="str">
        <f t="shared" si="124"/>
        <v>高级专属强化石</v>
      </c>
      <c r="W629" s="15">
        <f t="shared" si="125"/>
        <v>3</v>
      </c>
      <c r="X629" s="15">
        <f t="shared" si="126"/>
        <v>0.1</v>
      </c>
      <c r="Y629" s="15">
        <f t="shared" si="127"/>
        <v>1</v>
      </c>
      <c r="Z629" s="15">
        <f t="shared" si="128"/>
        <v>30</v>
      </c>
      <c r="AA629" s="15">
        <f t="shared" si="129"/>
        <v>0.64</v>
      </c>
    </row>
    <row r="630" spans="13:27" ht="16.5" x14ac:dyDescent="0.2">
      <c r="M630" s="15">
        <v>551</v>
      </c>
      <c r="N630" s="15">
        <f t="shared" si="118"/>
        <v>11</v>
      </c>
      <c r="O630" s="15">
        <f>INDEX(卡牌消耗!$H$13:$H$33,世界BOSS专属武器!N630)</f>
        <v>1501011</v>
      </c>
      <c r="P630" s="49" t="s">
        <v>480</v>
      </c>
      <c r="Q630" s="15">
        <f t="shared" si="119"/>
        <v>40</v>
      </c>
      <c r="R630" s="49" t="str">
        <f t="shared" si="120"/>
        <v>金币</v>
      </c>
      <c r="S630" s="15">
        <f t="shared" si="121"/>
        <v>20000</v>
      </c>
      <c r="T630" s="15" t="str">
        <f t="shared" si="122"/>
        <v>高级专属强化石</v>
      </c>
      <c r="U630" s="15">
        <f t="shared" si="123"/>
        <v>5</v>
      </c>
      <c r="V630" s="15" t="str">
        <f t="shared" si="124"/>
        <v>[x]</v>
      </c>
      <c r="W630" s="15" t="str">
        <f t="shared" si="125"/>
        <v>[x]</v>
      </c>
      <c r="X630" s="15">
        <f t="shared" si="126"/>
        <v>0.1</v>
      </c>
      <c r="Y630" s="15">
        <f t="shared" si="127"/>
        <v>1</v>
      </c>
      <c r="Z630" s="15">
        <f t="shared" si="128"/>
        <v>35</v>
      </c>
      <c r="AA630" s="15">
        <f t="shared" si="129"/>
        <v>0.66669999999999996</v>
      </c>
    </row>
    <row r="631" spans="13:27" ht="16.5" x14ac:dyDescent="0.2">
      <c r="M631" s="15">
        <v>552</v>
      </c>
      <c r="N631" s="15">
        <f t="shared" si="118"/>
        <v>11</v>
      </c>
      <c r="O631" s="15">
        <f>INDEX(卡牌消耗!$H$13:$H$33,世界BOSS专属武器!N631)</f>
        <v>1501011</v>
      </c>
      <c r="P631" s="49" t="s">
        <v>480</v>
      </c>
      <c r="Q631" s="15">
        <f t="shared" si="119"/>
        <v>41</v>
      </c>
      <c r="R631" s="49" t="str">
        <f t="shared" si="120"/>
        <v>金币</v>
      </c>
      <c r="S631" s="15">
        <f t="shared" si="121"/>
        <v>20000</v>
      </c>
      <c r="T631" s="15" t="str">
        <f t="shared" si="122"/>
        <v>高级专属强化石</v>
      </c>
      <c r="U631" s="15">
        <f t="shared" si="123"/>
        <v>5</v>
      </c>
      <c r="V631" s="15" t="str">
        <f t="shared" si="124"/>
        <v>[x]</v>
      </c>
      <c r="W631" s="15" t="str">
        <f t="shared" si="125"/>
        <v>[x]</v>
      </c>
      <c r="X631" s="15">
        <f t="shared" si="126"/>
        <v>0.1</v>
      </c>
      <c r="Y631" s="15">
        <f t="shared" si="127"/>
        <v>1</v>
      </c>
      <c r="Z631" s="15">
        <f t="shared" si="128"/>
        <v>40</v>
      </c>
      <c r="AA631" s="15">
        <f t="shared" si="129"/>
        <v>0.7</v>
      </c>
    </row>
    <row r="632" spans="13:27" ht="16.5" x14ac:dyDescent="0.2">
      <c r="M632" s="15">
        <v>553</v>
      </c>
      <c r="N632" s="15">
        <f t="shared" si="118"/>
        <v>11</v>
      </c>
      <c r="O632" s="15">
        <f>INDEX(卡牌消耗!$H$13:$H$33,世界BOSS专属武器!N632)</f>
        <v>1501011</v>
      </c>
      <c r="P632" s="49" t="s">
        <v>480</v>
      </c>
      <c r="Q632" s="15">
        <f t="shared" si="119"/>
        <v>42</v>
      </c>
      <c r="R632" s="49" t="str">
        <f t="shared" si="120"/>
        <v>金币</v>
      </c>
      <c r="S632" s="15">
        <f t="shared" si="121"/>
        <v>20000</v>
      </c>
      <c r="T632" s="15" t="str">
        <f t="shared" si="122"/>
        <v>高级专属强化石</v>
      </c>
      <c r="U632" s="15">
        <f t="shared" si="123"/>
        <v>5</v>
      </c>
      <c r="V632" s="15" t="str">
        <f t="shared" si="124"/>
        <v>[x]</v>
      </c>
      <c r="W632" s="15" t="str">
        <f t="shared" si="125"/>
        <v>[x]</v>
      </c>
      <c r="X632" s="15">
        <f t="shared" si="126"/>
        <v>0.1</v>
      </c>
      <c r="Y632" s="15">
        <f t="shared" si="127"/>
        <v>1</v>
      </c>
      <c r="Z632" s="15">
        <f t="shared" si="128"/>
        <v>45</v>
      </c>
      <c r="AA632" s="15">
        <f t="shared" si="129"/>
        <v>0.73329999999999995</v>
      </c>
    </row>
    <row r="633" spans="13:27" ht="16.5" x14ac:dyDescent="0.2">
      <c r="M633" s="15">
        <v>554</v>
      </c>
      <c r="N633" s="15">
        <f t="shared" si="118"/>
        <v>11</v>
      </c>
      <c r="O633" s="15">
        <f>INDEX(卡牌消耗!$H$13:$H$33,世界BOSS专属武器!N633)</f>
        <v>1501011</v>
      </c>
      <c r="P633" s="49" t="s">
        <v>480</v>
      </c>
      <c r="Q633" s="15">
        <f t="shared" si="119"/>
        <v>43</v>
      </c>
      <c r="R633" s="49" t="str">
        <f t="shared" si="120"/>
        <v>金币</v>
      </c>
      <c r="S633" s="15">
        <f t="shared" si="121"/>
        <v>20000</v>
      </c>
      <c r="T633" s="15" t="str">
        <f t="shared" si="122"/>
        <v>高级专属强化石</v>
      </c>
      <c r="U633" s="15">
        <f t="shared" si="123"/>
        <v>5</v>
      </c>
      <c r="V633" s="15" t="str">
        <f t="shared" si="124"/>
        <v>[x]</v>
      </c>
      <c r="W633" s="15" t="str">
        <f t="shared" si="125"/>
        <v>[x]</v>
      </c>
      <c r="X633" s="15">
        <f t="shared" si="126"/>
        <v>0.1</v>
      </c>
      <c r="Y633" s="15">
        <f t="shared" si="127"/>
        <v>1</v>
      </c>
      <c r="Z633" s="15">
        <f t="shared" si="128"/>
        <v>50</v>
      </c>
      <c r="AA633" s="15">
        <f t="shared" si="129"/>
        <v>0.76670000000000005</v>
      </c>
    </row>
    <row r="634" spans="13:27" ht="16.5" x14ac:dyDescent="0.2">
      <c r="M634" s="15">
        <v>555</v>
      </c>
      <c r="N634" s="15">
        <f t="shared" si="118"/>
        <v>11</v>
      </c>
      <c r="O634" s="15">
        <f>INDEX(卡牌消耗!$H$13:$H$33,世界BOSS专属武器!N634)</f>
        <v>1501011</v>
      </c>
      <c r="P634" s="49" t="s">
        <v>480</v>
      </c>
      <c r="Q634" s="15">
        <f t="shared" si="119"/>
        <v>44</v>
      </c>
      <c r="R634" s="49" t="str">
        <f t="shared" si="120"/>
        <v>金币</v>
      </c>
      <c r="S634" s="15">
        <f t="shared" si="121"/>
        <v>20000</v>
      </c>
      <c r="T634" s="15" t="str">
        <f t="shared" si="122"/>
        <v>高级专属强化石</v>
      </c>
      <c r="U634" s="15">
        <f t="shared" si="123"/>
        <v>5</v>
      </c>
      <c r="V634" s="15" t="str">
        <f t="shared" si="124"/>
        <v>[x]</v>
      </c>
      <c r="W634" s="15" t="str">
        <f t="shared" si="125"/>
        <v>[x]</v>
      </c>
      <c r="X634" s="15">
        <f t="shared" si="126"/>
        <v>0.1</v>
      </c>
      <c r="Y634" s="15">
        <f t="shared" si="127"/>
        <v>1</v>
      </c>
      <c r="Z634" s="15">
        <f t="shared" si="128"/>
        <v>55</v>
      </c>
      <c r="AA634" s="15">
        <f t="shared" si="129"/>
        <v>0.8</v>
      </c>
    </row>
    <row r="635" spans="13:27" ht="16.5" x14ac:dyDescent="0.2">
      <c r="M635" s="15">
        <v>556</v>
      </c>
      <c r="N635" s="15">
        <f t="shared" si="118"/>
        <v>11</v>
      </c>
      <c r="O635" s="15">
        <f>INDEX(卡牌消耗!$H$13:$H$33,世界BOSS专属武器!N635)</f>
        <v>1501011</v>
      </c>
      <c r="P635" s="49" t="s">
        <v>480</v>
      </c>
      <c r="Q635" s="15">
        <f t="shared" si="119"/>
        <v>45</v>
      </c>
      <c r="R635" s="49" t="str">
        <f t="shared" si="120"/>
        <v>金币</v>
      </c>
      <c r="S635" s="15">
        <f t="shared" si="121"/>
        <v>20000</v>
      </c>
      <c r="T635" s="15" t="str">
        <f t="shared" si="122"/>
        <v>高级专属强化石</v>
      </c>
      <c r="U635" s="15">
        <f t="shared" si="123"/>
        <v>6</v>
      </c>
      <c r="V635" s="15" t="str">
        <f t="shared" si="124"/>
        <v>[x]</v>
      </c>
      <c r="W635" s="15" t="str">
        <f t="shared" si="125"/>
        <v>[x]</v>
      </c>
      <c r="X635" s="15">
        <f t="shared" si="126"/>
        <v>0.1</v>
      </c>
      <c r="Y635" s="15">
        <f t="shared" si="127"/>
        <v>1</v>
      </c>
      <c r="Z635" s="15">
        <f t="shared" si="128"/>
        <v>60</v>
      </c>
      <c r="AA635" s="15">
        <f t="shared" si="129"/>
        <v>0.83330000000000004</v>
      </c>
    </row>
    <row r="636" spans="13:27" ht="16.5" x14ac:dyDescent="0.2">
      <c r="M636" s="15">
        <v>557</v>
      </c>
      <c r="N636" s="15">
        <f t="shared" si="118"/>
        <v>11</v>
      </c>
      <c r="O636" s="15">
        <f>INDEX(卡牌消耗!$H$13:$H$33,世界BOSS专属武器!N636)</f>
        <v>1501011</v>
      </c>
      <c r="P636" s="49" t="s">
        <v>480</v>
      </c>
      <c r="Q636" s="15">
        <f t="shared" si="119"/>
        <v>46</v>
      </c>
      <c r="R636" s="49" t="str">
        <f t="shared" si="120"/>
        <v>金币</v>
      </c>
      <c r="S636" s="15">
        <f t="shared" si="121"/>
        <v>20000</v>
      </c>
      <c r="T636" s="15" t="str">
        <f t="shared" si="122"/>
        <v>高级专属强化石</v>
      </c>
      <c r="U636" s="15">
        <f t="shared" si="123"/>
        <v>7</v>
      </c>
      <c r="V636" s="15" t="str">
        <f t="shared" si="124"/>
        <v>[x]</v>
      </c>
      <c r="W636" s="15" t="str">
        <f t="shared" si="125"/>
        <v>[x]</v>
      </c>
      <c r="X636" s="15">
        <f t="shared" si="126"/>
        <v>0.1</v>
      </c>
      <c r="Y636" s="15">
        <f t="shared" si="127"/>
        <v>1</v>
      </c>
      <c r="Z636" s="15">
        <f t="shared" si="128"/>
        <v>70</v>
      </c>
      <c r="AA636" s="15">
        <f t="shared" si="129"/>
        <v>0.86670000000000003</v>
      </c>
    </row>
    <row r="637" spans="13:27" ht="16.5" x14ac:dyDescent="0.2">
      <c r="M637" s="15">
        <v>558</v>
      </c>
      <c r="N637" s="15">
        <f t="shared" si="118"/>
        <v>11</v>
      </c>
      <c r="O637" s="15">
        <f>INDEX(卡牌消耗!$H$13:$H$33,世界BOSS专属武器!N637)</f>
        <v>1501011</v>
      </c>
      <c r="P637" s="49" t="s">
        <v>480</v>
      </c>
      <c r="Q637" s="15">
        <f t="shared" si="119"/>
        <v>47</v>
      </c>
      <c r="R637" s="49" t="str">
        <f t="shared" si="120"/>
        <v>金币</v>
      </c>
      <c r="S637" s="15">
        <f t="shared" si="121"/>
        <v>20000</v>
      </c>
      <c r="T637" s="15" t="str">
        <f t="shared" si="122"/>
        <v>高级专属强化石</v>
      </c>
      <c r="U637" s="15">
        <f t="shared" si="123"/>
        <v>8</v>
      </c>
      <c r="V637" s="15" t="str">
        <f t="shared" si="124"/>
        <v>[x]</v>
      </c>
      <c r="W637" s="15" t="str">
        <f t="shared" si="125"/>
        <v>[x]</v>
      </c>
      <c r="X637" s="15">
        <f t="shared" si="126"/>
        <v>0.1</v>
      </c>
      <c r="Y637" s="15">
        <f t="shared" si="127"/>
        <v>1</v>
      </c>
      <c r="Z637" s="15">
        <f t="shared" si="128"/>
        <v>80</v>
      </c>
      <c r="AA637" s="15">
        <f t="shared" si="129"/>
        <v>0.9</v>
      </c>
    </row>
    <row r="638" spans="13:27" ht="16.5" x14ac:dyDescent="0.2">
      <c r="M638" s="15">
        <v>559</v>
      </c>
      <c r="N638" s="15">
        <f t="shared" si="118"/>
        <v>11</v>
      </c>
      <c r="O638" s="15">
        <f>INDEX(卡牌消耗!$H$13:$H$33,世界BOSS专属武器!N638)</f>
        <v>1501011</v>
      </c>
      <c r="P638" s="49" t="s">
        <v>480</v>
      </c>
      <c r="Q638" s="15">
        <f t="shared" si="119"/>
        <v>48</v>
      </c>
      <c r="R638" s="49" t="str">
        <f t="shared" si="120"/>
        <v>金币</v>
      </c>
      <c r="S638" s="15">
        <f t="shared" si="121"/>
        <v>20000</v>
      </c>
      <c r="T638" s="15" t="str">
        <f t="shared" si="122"/>
        <v>高级专属强化石</v>
      </c>
      <c r="U638" s="15">
        <f t="shared" si="123"/>
        <v>9</v>
      </c>
      <c r="V638" s="15" t="str">
        <f t="shared" si="124"/>
        <v>[x]</v>
      </c>
      <c r="W638" s="15" t="str">
        <f t="shared" si="125"/>
        <v>[x]</v>
      </c>
      <c r="X638" s="15">
        <f t="shared" si="126"/>
        <v>0.1</v>
      </c>
      <c r="Y638" s="15">
        <f t="shared" si="127"/>
        <v>1</v>
      </c>
      <c r="Z638" s="15">
        <f t="shared" si="128"/>
        <v>100</v>
      </c>
      <c r="AA638" s="15">
        <f t="shared" si="129"/>
        <v>0.93330000000000002</v>
      </c>
    </row>
    <row r="639" spans="13:27" ht="16.5" x14ac:dyDescent="0.2">
      <c r="M639" s="15">
        <v>560</v>
      </c>
      <c r="N639" s="15">
        <f t="shared" si="118"/>
        <v>11</v>
      </c>
      <c r="O639" s="15">
        <f>INDEX(卡牌消耗!$H$13:$H$33,世界BOSS专属武器!N639)</f>
        <v>1501011</v>
      </c>
      <c r="P639" s="49" t="s">
        <v>480</v>
      </c>
      <c r="Q639" s="15">
        <f t="shared" si="119"/>
        <v>49</v>
      </c>
      <c r="R639" s="49" t="str">
        <f t="shared" si="120"/>
        <v>金币</v>
      </c>
      <c r="S639" s="15">
        <f t="shared" si="121"/>
        <v>20000</v>
      </c>
      <c r="T639" s="15" t="str">
        <f t="shared" si="122"/>
        <v>高级专属强化石</v>
      </c>
      <c r="U639" s="15">
        <f t="shared" si="123"/>
        <v>10</v>
      </c>
      <c r="V639" s="15" t="str">
        <f t="shared" si="124"/>
        <v>[x]</v>
      </c>
      <c r="W639" s="15" t="str">
        <f t="shared" si="125"/>
        <v>[x]</v>
      </c>
      <c r="X639" s="15">
        <f t="shared" si="126"/>
        <v>0.1</v>
      </c>
      <c r="Y639" s="15">
        <f t="shared" si="127"/>
        <v>1</v>
      </c>
      <c r="Z639" s="15">
        <f t="shared" si="128"/>
        <v>120</v>
      </c>
      <c r="AA639" s="15">
        <f t="shared" si="129"/>
        <v>0.9667</v>
      </c>
    </row>
    <row r="640" spans="13:27" ht="16.5" x14ac:dyDescent="0.2">
      <c r="M640" s="15">
        <v>561</v>
      </c>
      <c r="N640" s="15">
        <f t="shared" si="118"/>
        <v>11</v>
      </c>
      <c r="O640" s="15">
        <f>INDEX(卡牌消耗!$H$13:$H$33,世界BOSS专属武器!N640)</f>
        <v>1501011</v>
      </c>
      <c r="P640" s="49" t="s">
        <v>480</v>
      </c>
      <c r="Q640" s="15">
        <f t="shared" si="119"/>
        <v>50</v>
      </c>
      <c r="R640" s="49" t="str">
        <f t="shared" si="120"/>
        <v>金币</v>
      </c>
      <c r="S640" s="15">
        <f t="shared" si="121"/>
        <v>20000</v>
      </c>
      <c r="T640" s="15" t="str">
        <f t="shared" si="122"/>
        <v>高级专属强化石</v>
      </c>
      <c r="U640" s="15">
        <f t="shared" si="123"/>
        <v>15</v>
      </c>
      <c r="V640" s="15" t="str">
        <f t="shared" si="124"/>
        <v>[x]</v>
      </c>
      <c r="W640" s="15" t="str">
        <f t="shared" si="125"/>
        <v>[x]</v>
      </c>
      <c r="X640" s="15">
        <f t="shared" si="126"/>
        <v>0.1</v>
      </c>
      <c r="Y640" s="15">
        <f t="shared" si="127"/>
        <v>1</v>
      </c>
      <c r="Z640" s="15">
        <f t="shared" si="128"/>
        <v>150</v>
      </c>
      <c r="AA640" s="15">
        <f t="shared" si="129"/>
        <v>1</v>
      </c>
    </row>
    <row r="641" spans="13:27" ht="16.5" x14ac:dyDescent="0.2">
      <c r="M641" s="15">
        <v>562</v>
      </c>
      <c r="N641" s="15">
        <f t="shared" si="118"/>
        <v>12</v>
      </c>
      <c r="O641" s="15">
        <f>INDEX(卡牌消耗!$H$13:$H$33,世界BOSS专属武器!N641)</f>
        <v>1501012</v>
      </c>
      <c r="P641" s="49" t="s">
        <v>480</v>
      </c>
      <c r="Q641" s="15">
        <f t="shared" si="119"/>
        <v>0</v>
      </c>
      <c r="R641" s="49" t="str">
        <f t="shared" si="120"/>
        <v>[x]</v>
      </c>
      <c r="S641" s="15" t="str">
        <f t="shared" si="121"/>
        <v>[x]</v>
      </c>
      <c r="T641" s="15" t="str">
        <f t="shared" si="122"/>
        <v>[x]</v>
      </c>
      <c r="U641" s="15" t="str">
        <f t="shared" si="123"/>
        <v>[x]</v>
      </c>
      <c r="V641" s="15" t="str">
        <f t="shared" si="124"/>
        <v>[x]</v>
      </c>
      <c r="W641" s="15" t="str">
        <f t="shared" si="125"/>
        <v>[x]</v>
      </c>
      <c r="X641" s="15" t="str">
        <f t="shared" si="126"/>
        <v>[x]</v>
      </c>
      <c r="Y641" s="15" t="str">
        <f t="shared" si="127"/>
        <v>[x]</v>
      </c>
      <c r="Z641" s="15" t="str">
        <f t="shared" si="128"/>
        <v>[x]</v>
      </c>
      <c r="AA641" s="15" t="str">
        <f t="shared" si="129"/>
        <v>[x]</v>
      </c>
    </row>
    <row r="642" spans="13:27" ht="16.5" x14ac:dyDescent="0.2">
      <c r="M642" s="15">
        <v>563</v>
      </c>
      <c r="N642" s="15">
        <f t="shared" si="118"/>
        <v>12</v>
      </c>
      <c r="O642" s="15">
        <f>INDEX(卡牌消耗!$H$13:$H$33,世界BOSS专属武器!N642)</f>
        <v>1501012</v>
      </c>
      <c r="P642" s="49" t="s">
        <v>480</v>
      </c>
      <c r="Q642" s="15">
        <f t="shared" si="119"/>
        <v>1</v>
      </c>
      <c r="R642" s="49" t="str">
        <f t="shared" si="120"/>
        <v>金币</v>
      </c>
      <c r="S642" s="15">
        <f t="shared" si="121"/>
        <v>100</v>
      </c>
      <c r="T642" s="15" t="str">
        <f t="shared" si="122"/>
        <v>低级专属强化石</v>
      </c>
      <c r="U642" s="15">
        <f t="shared" si="123"/>
        <v>1</v>
      </c>
      <c r="V642" s="15" t="str">
        <f t="shared" si="124"/>
        <v>[x]</v>
      </c>
      <c r="W642" s="15" t="str">
        <f t="shared" si="125"/>
        <v>[x]</v>
      </c>
      <c r="X642" s="15">
        <f t="shared" si="126"/>
        <v>1</v>
      </c>
      <c r="Y642" s="15">
        <f t="shared" si="127"/>
        <v>1</v>
      </c>
      <c r="Z642" s="15">
        <f t="shared" si="128"/>
        <v>1</v>
      </c>
      <c r="AA642" s="15">
        <f t="shared" si="129"/>
        <v>6.7000000000000002E-3</v>
      </c>
    </row>
    <row r="643" spans="13:27" ht="16.5" x14ac:dyDescent="0.2">
      <c r="M643" s="15">
        <v>564</v>
      </c>
      <c r="N643" s="15">
        <f t="shared" si="118"/>
        <v>12</v>
      </c>
      <c r="O643" s="15">
        <f>INDEX(卡牌消耗!$H$13:$H$33,世界BOSS专属武器!N643)</f>
        <v>1501012</v>
      </c>
      <c r="P643" s="49" t="s">
        <v>480</v>
      </c>
      <c r="Q643" s="15">
        <f t="shared" si="119"/>
        <v>2</v>
      </c>
      <c r="R643" s="49" t="str">
        <f t="shared" si="120"/>
        <v>金币</v>
      </c>
      <c r="S643" s="15">
        <f t="shared" si="121"/>
        <v>200</v>
      </c>
      <c r="T643" s="15" t="str">
        <f t="shared" si="122"/>
        <v>低级专属强化石</v>
      </c>
      <c r="U643" s="15">
        <f t="shared" si="123"/>
        <v>1</v>
      </c>
      <c r="V643" s="15" t="str">
        <f t="shared" si="124"/>
        <v>[x]</v>
      </c>
      <c r="W643" s="15" t="str">
        <f t="shared" si="125"/>
        <v>[x]</v>
      </c>
      <c r="X643" s="15">
        <f t="shared" si="126"/>
        <v>0.5</v>
      </c>
      <c r="Y643" s="15">
        <f t="shared" si="127"/>
        <v>1</v>
      </c>
      <c r="Z643" s="15">
        <f t="shared" si="128"/>
        <v>2</v>
      </c>
      <c r="AA643" s="15">
        <f t="shared" si="129"/>
        <v>1.3299999999999999E-2</v>
      </c>
    </row>
    <row r="644" spans="13:27" ht="16.5" x14ac:dyDescent="0.2">
      <c r="M644" s="15">
        <v>565</v>
      </c>
      <c r="N644" s="15">
        <f t="shared" si="118"/>
        <v>12</v>
      </c>
      <c r="O644" s="15">
        <f>INDEX(卡牌消耗!$H$13:$H$33,世界BOSS专属武器!N644)</f>
        <v>1501012</v>
      </c>
      <c r="P644" s="49" t="s">
        <v>480</v>
      </c>
      <c r="Q644" s="15">
        <f t="shared" si="119"/>
        <v>3</v>
      </c>
      <c r="R644" s="49" t="str">
        <f t="shared" si="120"/>
        <v>金币</v>
      </c>
      <c r="S644" s="15">
        <f t="shared" si="121"/>
        <v>300</v>
      </c>
      <c r="T644" s="15" t="str">
        <f t="shared" si="122"/>
        <v>低级专属强化石</v>
      </c>
      <c r="U644" s="15">
        <f t="shared" si="123"/>
        <v>2</v>
      </c>
      <c r="V644" s="15" t="str">
        <f t="shared" si="124"/>
        <v>[x]</v>
      </c>
      <c r="W644" s="15" t="str">
        <f t="shared" si="125"/>
        <v>[x]</v>
      </c>
      <c r="X644" s="15">
        <f t="shared" si="126"/>
        <v>0.48</v>
      </c>
      <c r="Y644" s="15">
        <f t="shared" si="127"/>
        <v>1</v>
      </c>
      <c r="Z644" s="15">
        <f t="shared" si="128"/>
        <v>3</v>
      </c>
      <c r="AA644" s="15">
        <f t="shared" si="129"/>
        <v>0.02</v>
      </c>
    </row>
    <row r="645" spans="13:27" ht="16.5" x14ac:dyDescent="0.2">
      <c r="M645" s="15">
        <v>566</v>
      </c>
      <c r="N645" s="15">
        <f t="shared" si="118"/>
        <v>12</v>
      </c>
      <c r="O645" s="15">
        <f>INDEX(卡牌消耗!$H$13:$H$33,世界BOSS专属武器!N645)</f>
        <v>1501012</v>
      </c>
      <c r="P645" s="49" t="s">
        <v>480</v>
      </c>
      <c r="Q645" s="15">
        <f t="shared" si="119"/>
        <v>4</v>
      </c>
      <c r="R645" s="49" t="str">
        <f t="shared" si="120"/>
        <v>金币</v>
      </c>
      <c r="S645" s="15">
        <f t="shared" si="121"/>
        <v>400</v>
      </c>
      <c r="T645" s="15" t="str">
        <f t="shared" si="122"/>
        <v>低级专属强化石</v>
      </c>
      <c r="U645" s="15">
        <f t="shared" si="123"/>
        <v>3</v>
      </c>
      <c r="V645" s="15" t="str">
        <f t="shared" si="124"/>
        <v>[x]</v>
      </c>
      <c r="W645" s="15" t="str">
        <f t="shared" si="125"/>
        <v>[x]</v>
      </c>
      <c r="X645" s="15">
        <f t="shared" si="126"/>
        <v>0.46</v>
      </c>
      <c r="Y645" s="15">
        <f t="shared" si="127"/>
        <v>1</v>
      </c>
      <c r="Z645" s="15">
        <f t="shared" si="128"/>
        <v>3</v>
      </c>
      <c r="AA645" s="15">
        <f t="shared" si="129"/>
        <v>2.6700000000000002E-2</v>
      </c>
    </row>
    <row r="646" spans="13:27" ht="16.5" x14ac:dyDescent="0.2">
      <c r="M646" s="15">
        <v>567</v>
      </c>
      <c r="N646" s="15">
        <f t="shared" si="118"/>
        <v>12</v>
      </c>
      <c r="O646" s="15">
        <f>INDEX(卡牌消耗!$H$13:$H$33,世界BOSS专属武器!N646)</f>
        <v>1501012</v>
      </c>
      <c r="P646" s="49" t="s">
        <v>480</v>
      </c>
      <c r="Q646" s="15">
        <f t="shared" si="119"/>
        <v>5</v>
      </c>
      <c r="R646" s="49" t="str">
        <f t="shared" si="120"/>
        <v>金币</v>
      </c>
      <c r="S646" s="15">
        <f t="shared" si="121"/>
        <v>500</v>
      </c>
      <c r="T646" s="15" t="str">
        <f t="shared" si="122"/>
        <v>低级专属强化石</v>
      </c>
      <c r="U646" s="15">
        <f t="shared" si="123"/>
        <v>4</v>
      </c>
      <c r="V646" s="15" t="str">
        <f t="shared" si="124"/>
        <v>[x]</v>
      </c>
      <c r="W646" s="15" t="str">
        <f t="shared" si="125"/>
        <v>[x]</v>
      </c>
      <c r="X646" s="15">
        <f t="shared" si="126"/>
        <v>0.44</v>
      </c>
      <c r="Y646" s="15">
        <f t="shared" si="127"/>
        <v>1</v>
      </c>
      <c r="Z646" s="15">
        <f t="shared" si="128"/>
        <v>3</v>
      </c>
      <c r="AA646" s="15">
        <f t="shared" si="129"/>
        <v>3.3300000000000003E-2</v>
      </c>
    </row>
    <row r="647" spans="13:27" ht="16.5" x14ac:dyDescent="0.2">
      <c r="M647" s="15">
        <v>568</v>
      </c>
      <c r="N647" s="15">
        <f t="shared" si="118"/>
        <v>12</v>
      </c>
      <c r="O647" s="15">
        <f>INDEX(卡牌消耗!$H$13:$H$33,世界BOSS专属武器!N647)</f>
        <v>1501012</v>
      </c>
      <c r="P647" s="49" t="s">
        <v>480</v>
      </c>
      <c r="Q647" s="15">
        <f t="shared" si="119"/>
        <v>6</v>
      </c>
      <c r="R647" s="49" t="str">
        <f t="shared" si="120"/>
        <v>金币</v>
      </c>
      <c r="S647" s="15">
        <f t="shared" si="121"/>
        <v>600</v>
      </c>
      <c r="T647" s="15" t="str">
        <f t="shared" si="122"/>
        <v>低级专属强化石</v>
      </c>
      <c r="U647" s="15">
        <f t="shared" si="123"/>
        <v>5</v>
      </c>
      <c r="V647" s="15" t="str">
        <f t="shared" si="124"/>
        <v>[x]</v>
      </c>
      <c r="W647" s="15" t="str">
        <f t="shared" si="125"/>
        <v>[x]</v>
      </c>
      <c r="X647" s="15">
        <f t="shared" si="126"/>
        <v>0.42</v>
      </c>
      <c r="Y647" s="15">
        <f t="shared" si="127"/>
        <v>1</v>
      </c>
      <c r="Z647" s="15">
        <f t="shared" si="128"/>
        <v>4</v>
      </c>
      <c r="AA647" s="15">
        <f t="shared" si="129"/>
        <v>0.04</v>
      </c>
    </row>
    <row r="648" spans="13:27" ht="16.5" x14ac:dyDescent="0.2">
      <c r="M648" s="15">
        <v>569</v>
      </c>
      <c r="N648" s="15">
        <f t="shared" si="118"/>
        <v>12</v>
      </c>
      <c r="O648" s="15">
        <f>INDEX(卡牌消耗!$H$13:$H$33,世界BOSS专属武器!N648)</f>
        <v>1501012</v>
      </c>
      <c r="P648" s="49" t="s">
        <v>480</v>
      </c>
      <c r="Q648" s="15">
        <f t="shared" si="119"/>
        <v>7</v>
      </c>
      <c r="R648" s="49" t="str">
        <f t="shared" si="120"/>
        <v>金币</v>
      </c>
      <c r="S648" s="15">
        <f t="shared" si="121"/>
        <v>700</v>
      </c>
      <c r="T648" s="15" t="str">
        <f t="shared" si="122"/>
        <v>低级专属强化石</v>
      </c>
      <c r="U648" s="15">
        <f t="shared" si="123"/>
        <v>5</v>
      </c>
      <c r="V648" s="15" t="str">
        <f t="shared" si="124"/>
        <v>[x]</v>
      </c>
      <c r="W648" s="15" t="str">
        <f t="shared" si="125"/>
        <v>[x]</v>
      </c>
      <c r="X648" s="15">
        <f t="shared" si="126"/>
        <v>0.4</v>
      </c>
      <c r="Y648" s="15">
        <f t="shared" si="127"/>
        <v>1</v>
      </c>
      <c r="Z648" s="15">
        <f t="shared" si="128"/>
        <v>4</v>
      </c>
      <c r="AA648" s="15">
        <f t="shared" si="129"/>
        <v>4.6699999999999998E-2</v>
      </c>
    </row>
    <row r="649" spans="13:27" ht="16.5" x14ac:dyDescent="0.2">
      <c r="M649" s="15">
        <v>570</v>
      </c>
      <c r="N649" s="15">
        <f t="shared" si="118"/>
        <v>12</v>
      </c>
      <c r="O649" s="15">
        <f>INDEX(卡牌消耗!$H$13:$H$33,世界BOSS专属武器!N649)</f>
        <v>1501012</v>
      </c>
      <c r="P649" s="49" t="s">
        <v>480</v>
      </c>
      <c r="Q649" s="15">
        <f t="shared" si="119"/>
        <v>8</v>
      </c>
      <c r="R649" s="49" t="str">
        <f t="shared" si="120"/>
        <v>金币</v>
      </c>
      <c r="S649" s="15">
        <f t="shared" si="121"/>
        <v>800</v>
      </c>
      <c r="T649" s="15" t="str">
        <f t="shared" si="122"/>
        <v>低级专属强化石</v>
      </c>
      <c r="U649" s="15">
        <f t="shared" si="123"/>
        <v>5</v>
      </c>
      <c r="V649" s="15" t="str">
        <f t="shared" si="124"/>
        <v>[x]</v>
      </c>
      <c r="W649" s="15" t="str">
        <f t="shared" si="125"/>
        <v>[x]</v>
      </c>
      <c r="X649" s="15">
        <f t="shared" si="126"/>
        <v>0.38</v>
      </c>
      <c r="Y649" s="15">
        <f t="shared" si="127"/>
        <v>1</v>
      </c>
      <c r="Z649" s="15">
        <f t="shared" si="128"/>
        <v>5</v>
      </c>
      <c r="AA649" s="15">
        <f t="shared" si="129"/>
        <v>5.33E-2</v>
      </c>
    </row>
    <row r="650" spans="13:27" ht="16.5" x14ac:dyDescent="0.2">
      <c r="M650" s="15">
        <v>571</v>
      </c>
      <c r="N650" s="15">
        <f t="shared" si="118"/>
        <v>12</v>
      </c>
      <c r="O650" s="15">
        <f>INDEX(卡牌消耗!$H$13:$H$33,世界BOSS专属武器!N650)</f>
        <v>1501012</v>
      </c>
      <c r="P650" s="49" t="s">
        <v>480</v>
      </c>
      <c r="Q650" s="15">
        <f t="shared" si="119"/>
        <v>9</v>
      </c>
      <c r="R650" s="49" t="str">
        <f t="shared" si="120"/>
        <v>金币</v>
      </c>
      <c r="S650" s="15">
        <f t="shared" si="121"/>
        <v>900</v>
      </c>
      <c r="T650" s="15" t="str">
        <f t="shared" si="122"/>
        <v>低级专属强化石</v>
      </c>
      <c r="U650" s="15">
        <f t="shared" si="123"/>
        <v>5</v>
      </c>
      <c r="V650" s="15" t="str">
        <f t="shared" si="124"/>
        <v>[x]</v>
      </c>
      <c r="W650" s="15" t="str">
        <f t="shared" si="125"/>
        <v>[x]</v>
      </c>
      <c r="X650" s="15">
        <f t="shared" si="126"/>
        <v>0.36</v>
      </c>
      <c r="Y650" s="15">
        <f t="shared" si="127"/>
        <v>1</v>
      </c>
      <c r="Z650" s="15">
        <f t="shared" si="128"/>
        <v>5</v>
      </c>
      <c r="AA650" s="15">
        <f t="shared" si="129"/>
        <v>0.06</v>
      </c>
    </row>
    <row r="651" spans="13:27" ht="16.5" x14ac:dyDescent="0.2">
      <c r="M651" s="15">
        <v>572</v>
      </c>
      <c r="N651" s="15">
        <f t="shared" si="118"/>
        <v>12</v>
      </c>
      <c r="O651" s="15">
        <f>INDEX(卡牌消耗!$H$13:$H$33,世界BOSS专属武器!N651)</f>
        <v>1501012</v>
      </c>
      <c r="P651" s="49" t="s">
        <v>480</v>
      </c>
      <c r="Q651" s="15">
        <f t="shared" si="119"/>
        <v>10</v>
      </c>
      <c r="R651" s="49" t="str">
        <f t="shared" si="120"/>
        <v>金币</v>
      </c>
      <c r="S651" s="15">
        <f t="shared" si="121"/>
        <v>1000</v>
      </c>
      <c r="T651" s="15" t="str">
        <f t="shared" si="122"/>
        <v>低级专属强化石</v>
      </c>
      <c r="U651" s="15">
        <f t="shared" si="123"/>
        <v>7</v>
      </c>
      <c r="V651" s="15" t="str">
        <f t="shared" si="124"/>
        <v>[x]</v>
      </c>
      <c r="W651" s="15" t="str">
        <f t="shared" si="125"/>
        <v>[x]</v>
      </c>
      <c r="X651" s="15">
        <f t="shared" si="126"/>
        <v>0.35</v>
      </c>
      <c r="Y651" s="15">
        <f t="shared" si="127"/>
        <v>1</v>
      </c>
      <c r="Z651" s="15">
        <f t="shared" si="128"/>
        <v>5</v>
      </c>
      <c r="AA651" s="15">
        <f t="shared" si="129"/>
        <v>6.6699999999999995E-2</v>
      </c>
    </row>
    <row r="652" spans="13:27" ht="16.5" x14ac:dyDescent="0.2">
      <c r="M652" s="15">
        <v>573</v>
      </c>
      <c r="N652" s="15">
        <f t="shared" si="118"/>
        <v>12</v>
      </c>
      <c r="O652" s="15">
        <f>INDEX(卡牌消耗!$H$13:$H$33,世界BOSS专属武器!N652)</f>
        <v>1501012</v>
      </c>
      <c r="P652" s="49" t="s">
        <v>480</v>
      </c>
      <c r="Q652" s="15">
        <f t="shared" si="119"/>
        <v>11</v>
      </c>
      <c r="R652" s="49" t="str">
        <f t="shared" si="120"/>
        <v>金币</v>
      </c>
      <c r="S652" s="15">
        <f t="shared" si="121"/>
        <v>1000</v>
      </c>
      <c r="T652" s="15" t="str">
        <f t="shared" si="122"/>
        <v>低级专属强化石</v>
      </c>
      <c r="U652" s="15">
        <f t="shared" si="123"/>
        <v>7</v>
      </c>
      <c r="V652" s="15" t="str">
        <f t="shared" si="124"/>
        <v>[x]</v>
      </c>
      <c r="W652" s="15" t="str">
        <f t="shared" si="125"/>
        <v>[x]</v>
      </c>
      <c r="X652" s="15">
        <f t="shared" si="126"/>
        <v>0.33</v>
      </c>
      <c r="Y652" s="15">
        <f t="shared" si="127"/>
        <v>1</v>
      </c>
      <c r="Z652" s="15">
        <f t="shared" si="128"/>
        <v>6</v>
      </c>
      <c r="AA652" s="15">
        <f t="shared" si="129"/>
        <v>0.08</v>
      </c>
    </row>
    <row r="653" spans="13:27" ht="16.5" x14ac:dyDescent="0.2">
      <c r="M653" s="15">
        <v>574</v>
      </c>
      <c r="N653" s="15">
        <f t="shared" si="118"/>
        <v>12</v>
      </c>
      <c r="O653" s="15">
        <f>INDEX(卡牌消耗!$H$13:$H$33,世界BOSS专属武器!N653)</f>
        <v>1501012</v>
      </c>
      <c r="P653" s="49" t="s">
        <v>480</v>
      </c>
      <c r="Q653" s="15">
        <f t="shared" si="119"/>
        <v>12</v>
      </c>
      <c r="R653" s="49" t="str">
        <f t="shared" si="120"/>
        <v>金币</v>
      </c>
      <c r="S653" s="15">
        <f t="shared" si="121"/>
        <v>1000</v>
      </c>
      <c r="T653" s="15" t="str">
        <f t="shared" si="122"/>
        <v>低级专属强化石</v>
      </c>
      <c r="U653" s="15">
        <f t="shared" si="123"/>
        <v>7</v>
      </c>
      <c r="V653" s="15" t="str">
        <f t="shared" si="124"/>
        <v>[x]</v>
      </c>
      <c r="W653" s="15" t="str">
        <f t="shared" si="125"/>
        <v>[x]</v>
      </c>
      <c r="X653" s="15">
        <f t="shared" si="126"/>
        <v>0.31</v>
      </c>
      <c r="Y653" s="15">
        <f t="shared" si="127"/>
        <v>1</v>
      </c>
      <c r="Z653" s="15">
        <f t="shared" si="128"/>
        <v>6</v>
      </c>
      <c r="AA653" s="15">
        <f t="shared" si="129"/>
        <v>9.3299999999999994E-2</v>
      </c>
    </row>
    <row r="654" spans="13:27" ht="16.5" x14ac:dyDescent="0.2">
      <c r="M654" s="15">
        <v>575</v>
      </c>
      <c r="N654" s="15">
        <f t="shared" si="118"/>
        <v>12</v>
      </c>
      <c r="O654" s="15">
        <f>INDEX(卡牌消耗!$H$13:$H$33,世界BOSS专属武器!N654)</f>
        <v>1501012</v>
      </c>
      <c r="P654" s="49" t="s">
        <v>480</v>
      </c>
      <c r="Q654" s="15">
        <f t="shared" si="119"/>
        <v>13</v>
      </c>
      <c r="R654" s="49" t="str">
        <f t="shared" si="120"/>
        <v>金币</v>
      </c>
      <c r="S654" s="15">
        <f t="shared" si="121"/>
        <v>1000</v>
      </c>
      <c r="T654" s="15" t="str">
        <f t="shared" si="122"/>
        <v>低级专属强化石</v>
      </c>
      <c r="U654" s="15">
        <f t="shared" si="123"/>
        <v>7</v>
      </c>
      <c r="V654" s="15" t="str">
        <f t="shared" si="124"/>
        <v>[x]</v>
      </c>
      <c r="W654" s="15" t="str">
        <f t="shared" si="125"/>
        <v>[x]</v>
      </c>
      <c r="X654" s="15">
        <f t="shared" si="126"/>
        <v>0.28999999999999998</v>
      </c>
      <c r="Y654" s="15">
        <f t="shared" si="127"/>
        <v>1</v>
      </c>
      <c r="Z654" s="15">
        <f t="shared" si="128"/>
        <v>7</v>
      </c>
      <c r="AA654" s="15">
        <f t="shared" si="129"/>
        <v>0.1067</v>
      </c>
    </row>
    <row r="655" spans="13:27" ht="16.5" x14ac:dyDescent="0.2">
      <c r="M655" s="15">
        <v>576</v>
      </c>
      <c r="N655" s="15">
        <f t="shared" si="118"/>
        <v>12</v>
      </c>
      <c r="O655" s="15">
        <f>INDEX(卡牌消耗!$H$13:$H$33,世界BOSS专属武器!N655)</f>
        <v>1501012</v>
      </c>
      <c r="P655" s="49" t="s">
        <v>480</v>
      </c>
      <c r="Q655" s="15">
        <f t="shared" si="119"/>
        <v>14</v>
      </c>
      <c r="R655" s="49" t="str">
        <f t="shared" si="120"/>
        <v>金币</v>
      </c>
      <c r="S655" s="15">
        <f t="shared" si="121"/>
        <v>1000</v>
      </c>
      <c r="T655" s="15" t="str">
        <f t="shared" si="122"/>
        <v>低级专属强化石</v>
      </c>
      <c r="U655" s="15">
        <f t="shared" si="123"/>
        <v>7</v>
      </c>
      <c r="V655" s="15" t="str">
        <f t="shared" si="124"/>
        <v>[x]</v>
      </c>
      <c r="W655" s="15" t="str">
        <f t="shared" si="125"/>
        <v>[x]</v>
      </c>
      <c r="X655" s="15">
        <f t="shared" si="126"/>
        <v>0.27</v>
      </c>
      <c r="Y655" s="15">
        <f t="shared" si="127"/>
        <v>1</v>
      </c>
      <c r="Z655" s="15">
        <f t="shared" si="128"/>
        <v>7</v>
      </c>
      <c r="AA655" s="15">
        <f t="shared" si="129"/>
        <v>0.12</v>
      </c>
    </row>
    <row r="656" spans="13:27" ht="16.5" x14ac:dyDescent="0.2">
      <c r="M656" s="15">
        <v>577</v>
      </c>
      <c r="N656" s="15">
        <f t="shared" si="118"/>
        <v>12</v>
      </c>
      <c r="O656" s="15">
        <f>INDEX(卡牌消耗!$H$13:$H$33,世界BOSS专属武器!N656)</f>
        <v>1501012</v>
      </c>
      <c r="P656" s="49" t="s">
        <v>480</v>
      </c>
      <c r="Q656" s="15">
        <f t="shared" si="119"/>
        <v>15</v>
      </c>
      <c r="R656" s="49" t="str">
        <f t="shared" si="120"/>
        <v>金币</v>
      </c>
      <c r="S656" s="15">
        <f t="shared" si="121"/>
        <v>1000</v>
      </c>
      <c r="T656" s="15" t="str">
        <f t="shared" si="122"/>
        <v>低级专属强化石</v>
      </c>
      <c r="U656" s="15">
        <f t="shared" si="123"/>
        <v>10</v>
      </c>
      <c r="V656" s="15" t="str">
        <f t="shared" si="124"/>
        <v>[x]</v>
      </c>
      <c r="W656" s="15" t="str">
        <f t="shared" si="125"/>
        <v>[x]</v>
      </c>
      <c r="X656" s="15">
        <f t="shared" si="126"/>
        <v>0.25</v>
      </c>
      <c r="Y656" s="15">
        <f t="shared" si="127"/>
        <v>1</v>
      </c>
      <c r="Z656" s="15">
        <f t="shared" si="128"/>
        <v>8</v>
      </c>
      <c r="AA656" s="15">
        <f t="shared" si="129"/>
        <v>0.1333</v>
      </c>
    </row>
    <row r="657" spans="13:27" ht="16.5" x14ac:dyDescent="0.2">
      <c r="M657" s="15">
        <v>578</v>
      </c>
      <c r="N657" s="15">
        <f t="shared" ref="N657:N720" si="130">INT((M657-1)/51)+1</f>
        <v>12</v>
      </c>
      <c r="O657" s="15">
        <f>INDEX(卡牌消耗!$H$13:$H$33,世界BOSS专属武器!N657)</f>
        <v>1501012</v>
      </c>
      <c r="P657" s="49" t="s">
        <v>480</v>
      </c>
      <c r="Q657" s="15">
        <f t="shared" ref="Q657:Q720" si="131">MOD(M657-1,51)</f>
        <v>16</v>
      </c>
      <c r="R657" s="49" t="str">
        <f t="shared" ref="R657:R720" si="132">IF(Q657&gt;0,"金币","[x]")</f>
        <v>金币</v>
      </c>
      <c r="S657" s="15">
        <f t="shared" ref="S657:S720" si="133">IF(Q657&gt;0,INDEX($V$27:$V$76,Q657),"[x]")</f>
        <v>1000</v>
      </c>
      <c r="T657" s="15" t="str">
        <f t="shared" ref="T657:T720" si="134">IF(Q657&gt;0,INDEX($W$27:$W$76,Q657),"[x]")</f>
        <v>低级专属强化石</v>
      </c>
      <c r="U657" s="15">
        <f t="shared" ref="U657:U720" si="135">IF(Q657&gt;0,INDEX($AA$27:$AF$76,Q657,INDEX($Y$27:$Y$76,Q657)),"[x]")</f>
        <v>10</v>
      </c>
      <c r="V657" s="15" t="str">
        <f t="shared" ref="V657:V720" si="136">IF(AND(Q657&gt;=20,Q657&lt;40),INDEX($X$27:$X$76,Q657),"[x]")</f>
        <v>[x]</v>
      </c>
      <c r="W657" s="15" t="str">
        <f t="shared" ref="W657:W720" si="137">IF(AND(Q657&gt;=20,Q657&lt;40),INDEX($AA$27:$AF$76,Q657,INDEX($Z$27:$Z$76,Q657)),"[x]")</f>
        <v>[x]</v>
      </c>
      <c r="X657" s="15">
        <f t="shared" ref="X657:X720" si="138">IF(Q657&gt;0,INDEX($T$27:$T$76,Q657),"[x]")</f>
        <v>0.23</v>
      </c>
      <c r="Y657" s="15">
        <f t="shared" ref="Y657:Y720" si="139">IF(Q657&gt;0,1,"[x]")</f>
        <v>1</v>
      </c>
      <c r="Z657" s="15">
        <f t="shared" ref="Z657:Z720" si="140">IF(Q657&gt;0,INDEX($AG$27:$AG$76,Q657),"[x]")</f>
        <v>9</v>
      </c>
      <c r="AA657" s="15">
        <f t="shared" ref="AA657:AA720" si="141">IF(Q657&gt;0,INDEX($AL$27:$AL$76,Q657),"[x]")</f>
        <v>0.1467</v>
      </c>
    </row>
    <row r="658" spans="13:27" ht="16.5" x14ac:dyDescent="0.2">
      <c r="M658" s="15">
        <v>579</v>
      </c>
      <c r="N658" s="15">
        <f t="shared" si="130"/>
        <v>12</v>
      </c>
      <c r="O658" s="15">
        <f>INDEX(卡牌消耗!$H$13:$H$33,世界BOSS专属武器!N658)</f>
        <v>1501012</v>
      </c>
      <c r="P658" s="49" t="s">
        <v>480</v>
      </c>
      <c r="Q658" s="15">
        <f t="shared" si="131"/>
        <v>17</v>
      </c>
      <c r="R658" s="49" t="str">
        <f t="shared" si="132"/>
        <v>金币</v>
      </c>
      <c r="S658" s="15">
        <f t="shared" si="133"/>
        <v>1000</v>
      </c>
      <c r="T658" s="15" t="str">
        <f t="shared" si="134"/>
        <v>低级专属强化石</v>
      </c>
      <c r="U658" s="15">
        <f t="shared" si="135"/>
        <v>10</v>
      </c>
      <c r="V658" s="15" t="str">
        <f t="shared" si="136"/>
        <v>[x]</v>
      </c>
      <c r="W658" s="15" t="str">
        <f t="shared" si="137"/>
        <v>[x]</v>
      </c>
      <c r="X658" s="15">
        <f t="shared" si="138"/>
        <v>0.21</v>
      </c>
      <c r="Y658" s="15">
        <f t="shared" si="139"/>
        <v>1</v>
      </c>
      <c r="Z658" s="15">
        <f t="shared" si="140"/>
        <v>10</v>
      </c>
      <c r="AA658" s="15">
        <f t="shared" si="141"/>
        <v>0.16</v>
      </c>
    </row>
    <row r="659" spans="13:27" ht="16.5" x14ac:dyDescent="0.2">
      <c r="M659" s="15">
        <v>580</v>
      </c>
      <c r="N659" s="15">
        <f t="shared" si="130"/>
        <v>12</v>
      </c>
      <c r="O659" s="15">
        <f>INDEX(卡牌消耗!$H$13:$H$33,世界BOSS专属武器!N659)</f>
        <v>1501012</v>
      </c>
      <c r="P659" s="49" t="s">
        <v>480</v>
      </c>
      <c r="Q659" s="15">
        <f t="shared" si="131"/>
        <v>18</v>
      </c>
      <c r="R659" s="49" t="str">
        <f t="shared" si="132"/>
        <v>金币</v>
      </c>
      <c r="S659" s="15">
        <f t="shared" si="133"/>
        <v>1000</v>
      </c>
      <c r="T659" s="15" t="str">
        <f t="shared" si="134"/>
        <v>低级专属强化石</v>
      </c>
      <c r="U659" s="15">
        <f t="shared" si="135"/>
        <v>10</v>
      </c>
      <c r="V659" s="15" t="str">
        <f t="shared" si="136"/>
        <v>[x]</v>
      </c>
      <c r="W659" s="15" t="str">
        <f t="shared" si="137"/>
        <v>[x]</v>
      </c>
      <c r="X659" s="15">
        <f t="shared" si="138"/>
        <v>0.19</v>
      </c>
      <c r="Y659" s="15">
        <f t="shared" si="139"/>
        <v>1</v>
      </c>
      <c r="Z659" s="15">
        <f t="shared" si="140"/>
        <v>11</v>
      </c>
      <c r="AA659" s="15">
        <f t="shared" si="141"/>
        <v>0.17330000000000001</v>
      </c>
    </row>
    <row r="660" spans="13:27" ht="16.5" x14ac:dyDescent="0.2">
      <c r="M660" s="15">
        <v>581</v>
      </c>
      <c r="N660" s="15">
        <f t="shared" si="130"/>
        <v>12</v>
      </c>
      <c r="O660" s="15">
        <f>INDEX(卡牌消耗!$H$13:$H$33,世界BOSS专属武器!N660)</f>
        <v>1501012</v>
      </c>
      <c r="P660" s="49" t="s">
        <v>480</v>
      </c>
      <c r="Q660" s="15">
        <f t="shared" si="131"/>
        <v>19</v>
      </c>
      <c r="R660" s="49" t="str">
        <f t="shared" si="132"/>
        <v>金币</v>
      </c>
      <c r="S660" s="15">
        <f t="shared" si="133"/>
        <v>1000</v>
      </c>
      <c r="T660" s="15" t="str">
        <f t="shared" si="134"/>
        <v>低级专属强化石</v>
      </c>
      <c r="U660" s="15">
        <f t="shared" si="135"/>
        <v>10</v>
      </c>
      <c r="V660" s="15" t="str">
        <f t="shared" si="136"/>
        <v>[x]</v>
      </c>
      <c r="W660" s="15" t="str">
        <f t="shared" si="137"/>
        <v>[x]</v>
      </c>
      <c r="X660" s="15">
        <f t="shared" si="138"/>
        <v>0.17</v>
      </c>
      <c r="Y660" s="15">
        <f t="shared" si="139"/>
        <v>1</v>
      </c>
      <c r="Z660" s="15">
        <f t="shared" si="140"/>
        <v>12</v>
      </c>
      <c r="AA660" s="15">
        <f t="shared" si="141"/>
        <v>0.1867</v>
      </c>
    </row>
    <row r="661" spans="13:27" ht="16.5" x14ac:dyDescent="0.2">
      <c r="M661" s="15">
        <v>582</v>
      </c>
      <c r="N661" s="15">
        <f t="shared" si="130"/>
        <v>12</v>
      </c>
      <c r="O661" s="15">
        <f>INDEX(卡牌消耗!$H$13:$H$33,世界BOSS专属武器!N661)</f>
        <v>1501012</v>
      </c>
      <c r="P661" s="49" t="s">
        <v>480</v>
      </c>
      <c r="Q661" s="15">
        <f t="shared" si="131"/>
        <v>20</v>
      </c>
      <c r="R661" s="49" t="str">
        <f t="shared" si="132"/>
        <v>金币</v>
      </c>
      <c r="S661" s="15">
        <f t="shared" si="133"/>
        <v>5000</v>
      </c>
      <c r="T661" s="15" t="str">
        <f t="shared" si="134"/>
        <v>低级专属强化石</v>
      </c>
      <c r="U661" s="15">
        <f t="shared" si="135"/>
        <v>15</v>
      </c>
      <c r="V661" s="15" t="str">
        <f t="shared" si="136"/>
        <v>中级专属强化石</v>
      </c>
      <c r="W661" s="15">
        <f t="shared" si="137"/>
        <v>7</v>
      </c>
      <c r="X661" s="15">
        <f t="shared" si="138"/>
        <v>0.15</v>
      </c>
      <c r="Y661" s="15">
        <f t="shared" si="139"/>
        <v>1</v>
      </c>
      <c r="Z661" s="15">
        <f t="shared" si="140"/>
        <v>15</v>
      </c>
      <c r="AA661" s="15">
        <f t="shared" si="141"/>
        <v>0.2</v>
      </c>
    </row>
    <row r="662" spans="13:27" ht="16.5" x14ac:dyDescent="0.2">
      <c r="M662" s="15">
        <v>583</v>
      </c>
      <c r="N662" s="15">
        <f t="shared" si="130"/>
        <v>12</v>
      </c>
      <c r="O662" s="15">
        <f>INDEX(卡牌消耗!$H$13:$H$33,世界BOSS专属武器!N662)</f>
        <v>1501012</v>
      </c>
      <c r="P662" s="49" t="s">
        <v>480</v>
      </c>
      <c r="Q662" s="15">
        <f t="shared" si="131"/>
        <v>21</v>
      </c>
      <c r="R662" s="49" t="str">
        <f t="shared" si="132"/>
        <v>金币</v>
      </c>
      <c r="S662" s="15">
        <f t="shared" si="133"/>
        <v>5000</v>
      </c>
      <c r="T662" s="15" t="str">
        <f t="shared" si="134"/>
        <v>低级专属强化石</v>
      </c>
      <c r="U662" s="15">
        <f t="shared" si="135"/>
        <v>15</v>
      </c>
      <c r="V662" s="15" t="str">
        <f t="shared" si="136"/>
        <v>中级专属强化石</v>
      </c>
      <c r="W662" s="15">
        <f t="shared" si="137"/>
        <v>7</v>
      </c>
      <c r="X662" s="15">
        <f t="shared" si="138"/>
        <v>0.15</v>
      </c>
      <c r="Y662" s="15">
        <f t="shared" si="139"/>
        <v>1</v>
      </c>
      <c r="Z662" s="15">
        <f t="shared" si="140"/>
        <v>15</v>
      </c>
      <c r="AA662" s="15">
        <f t="shared" si="141"/>
        <v>0.22</v>
      </c>
    </row>
    <row r="663" spans="13:27" ht="16.5" x14ac:dyDescent="0.2">
      <c r="M663" s="15">
        <v>584</v>
      </c>
      <c r="N663" s="15">
        <f t="shared" si="130"/>
        <v>12</v>
      </c>
      <c r="O663" s="15">
        <f>INDEX(卡牌消耗!$H$13:$H$33,世界BOSS专属武器!N663)</f>
        <v>1501012</v>
      </c>
      <c r="P663" s="49" t="s">
        <v>480</v>
      </c>
      <c r="Q663" s="15">
        <f t="shared" si="131"/>
        <v>22</v>
      </c>
      <c r="R663" s="49" t="str">
        <f t="shared" si="132"/>
        <v>金币</v>
      </c>
      <c r="S663" s="15">
        <f t="shared" si="133"/>
        <v>5000</v>
      </c>
      <c r="T663" s="15" t="str">
        <f t="shared" si="134"/>
        <v>低级专属强化石</v>
      </c>
      <c r="U663" s="15">
        <f t="shared" si="135"/>
        <v>15</v>
      </c>
      <c r="V663" s="15" t="str">
        <f t="shared" si="136"/>
        <v>中级专属强化石</v>
      </c>
      <c r="W663" s="15">
        <f t="shared" si="137"/>
        <v>7</v>
      </c>
      <c r="X663" s="15">
        <f t="shared" si="138"/>
        <v>0.15</v>
      </c>
      <c r="Y663" s="15">
        <f t="shared" si="139"/>
        <v>1</v>
      </c>
      <c r="Z663" s="15">
        <f t="shared" si="140"/>
        <v>15</v>
      </c>
      <c r="AA663" s="15">
        <f t="shared" si="141"/>
        <v>0.24</v>
      </c>
    </row>
    <row r="664" spans="13:27" ht="16.5" x14ac:dyDescent="0.2">
      <c r="M664" s="15">
        <v>585</v>
      </c>
      <c r="N664" s="15">
        <f t="shared" si="130"/>
        <v>12</v>
      </c>
      <c r="O664" s="15">
        <f>INDEX(卡牌消耗!$H$13:$H$33,世界BOSS专属武器!N664)</f>
        <v>1501012</v>
      </c>
      <c r="P664" s="49" t="s">
        <v>480</v>
      </c>
      <c r="Q664" s="15">
        <f t="shared" si="131"/>
        <v>23</v>
      </c>
      <c r="R664" s="49" t="str">
        <f t="shared" si="132"/>
        <v>金币</v>
      </c>
      <c r="S664" s="15">
        <f t="shared" si="133"/>
        <v>5000</v>
      </c>
      <c r="T664" s="15" t="str">
        <f t="shared" si="134"/>
        <v>低级专属强化石</v>
      </c>
      <c r="U664" s="15">
        <f t="shared" si="135"/>
        <v>15</v>
      </c>
      <c r="V664" s="15" t="str">
        <f t="shared" si="136"/>
        <v>中级专属强化石</v>
      </c>
      <c r="W664" s="15">
        <f t="shared" si="137"/>
        <v>7</v>
      </c>
      <c r="X664" s="15">
        <f t="shared" si="138"/>
        <v>0.15</v>
      </c>
      <c r="Y664" s="15">
        <f t="shared" si="139"/>
        <v>1</v>
      </c>
      <c r="Z664" s="15">
        <f t="shared" si="140"/>
        <v>18</v>
      </c>
      <c r="AA664" s="15">
        <f t="shared" si="141"/>
        <v>0.26</v>
      </c>
    </row>
    <row r="665" spans="13:27" ht="16.5" x14ac:dyDescent="0.2">
      <c r="M665" s="15">
        <v>586</v>
      </c>
      <c r="N665" s="15">
        <f t="shared" si="130"/>
        <v>12</v>
      </c>
      <c r="O665" s="15">
        <f>INDEX(卡牌消耗!$H$13:$H$33,世界BOSS专属武器!N665)</f>
        <v>1501012</v>
      </c>
      <c r="P665" s="49" t="s">
        <v>480</v>
      </c>
      <c r="Q665" s="15">
        <f t="shared" si="131"/>
        <v>24</v>
      </c>
      <c r="R665" s="49" t="str">
        <f t="shared" si="132"/>
        <v>金币</v>
      </c>
      <c r="S665" s="15">
        <f t="shared" si="133"/>
        <v>5000</v>
      </c>
      <c r="T665" s="15" t="str">
        <f t="shared" si="134"/>
        <v>低级专属强化石</v>
      </c>
      <c r="U665" s="15">
        <f t="shared" si="135"/>
        <v>15</v>
      </c>
      <c r="V665" s="15" t="str">
        <f t="shared" si="136"/>
        <v>中级专属强化石</v>
      </c>
      <c r="W665" s="15">
        <f t="shared" si="137"/>
        <v>7</v>
      </c>
      <c r="X665" s="15">
        <f t="shared" si="138"/>
        <v>0.15</v>
      </c>
      <c r="Y665" s="15">
        <f t="shared" si="139"/>
        <v>1</v>
      </c>
      <c r="Z665" s="15">
        <f t="shared" si="140"/>
        <v>18</v>
      </c>
      <c r="AA665" s="15">
        <f t="shared" si="141"/>
        <v>0.28000000000000003</v>
      </c>
    </row>
    <row r="666" spans="13:27" ht="16.5" x14ac:dyDescent="0.2">
      <c r="M666" s="15">
        <v>587</v>
      </c>
      <c r="N666" s="15">
        <f t="shared" si="130"/>
        <v>12</v>
      </c>
      <c r="O666" s="15">
        <f>INDEX(卡牌消耗!$H$13:$H$33,世界BOSS专属武器!N666)</f>
        <v>1501012</v>
      </c>
      <c r="P666" s="49" t="s">
        <v>480</v>
      </c>
      <c r="Q666" s="15">
        <f t="shared" si="131"/>
        <v>25</v>
      </c>
      <c r="R666" s="49" t="str">
        <f t="shared" si="132"/>
        <v>金币</v>
      </c>
      <c r="S666" s="15">
        <f t="shared" si="133"/>
        <v>5000</v>
      </c>
      <c r="T666" s="15" t="str">
        <f t="shared" si="134"/>
        <v>低级专属强化石</v>
      </c>
      <c r="U666" s="15">
        <f t="shared" si="135"/>
        <v>15</v>
      </c>
      <c r="V666" s="15" t="str">
        <f t="shared" si="136"/>
        <v>中级专属强化石</v>
      </c>
      <c r="W666" s="15">
        <f t="shared" si="137"/>
        <v>7</v>
      </c>
      <c r="X666" s="15">
        <f t="shared" si="138"/>
        <v>0.15</v>
      </c>
      <c r="Y666" s="15">
        <f t="shared" si="139"/>
        <v>1</v>
      </c>
      <c r="Z666" s="15">
        <f t="shared" si="140"/>
        <v>18</v>
      </c>
      <c r="AA666" s="15">
        <f t="shared" si="141"/>
        <v>0.3</v>
      </c>
    </row>
    <row r="667" spans="13:27" ht="16.5" x14ac:dyDescent="0.2">
      <c r="M667" s="15">
        <v>588</v>
      </c>
      <c r="N667" s="15">
        <f t="shared" si="130"/>
        <v>12</v>
      </c>
      <c r="O667" s="15">
        <f>INDEX(卡牌消耗!$H$13:$H$33,世界BOSS专属武器!N667)</f>
        <v>1501012</v>
      </c>
      <c r="P667" s="49" t="s">
        <v>480</v>
      </c>
      <c r="Q667" s="15">
        <f t="shared" si="131"/>
        <v>26</v>
      </c>
      <c r="R667" s="49" t="str">
        <f t="shared" si="132"/>
        <v>金币</v>
      </c>
      <c r="S667" s="15">
        <f t="shared" si="133"/>
        <v>5000</v>
      </c>
      <c r="T667" s="15" t="str">
        <f t="shared" si="134"/>
        <v>低级专属强化石</v>
      </c>
      <c r="U667" s="15">
        <f t="shared" si="135"/>
        <v>15</v>
      </c>
      <c r="V667" s="15" t="str">
        <f t="shared" si="136"/>
        <v>中级专属强化石</v>
      </c>
      <c r="W667" s="15">
        <f t="shared" si="137"/>
        <v>7</v>
      </c>
      <c r="X667" s="15">
        <f t="shared" si="138"/>
        <v>0.15</v>
      </c>
      <c r="Y667" s="15">
        <f t="shared" si="139"/>
        <v>1</v>
      </c>
      <c r="Z667" s="15">
        <f t="shared" si="140"/>
        <v>21</v>
      </c>
      <c r="AA667" s="15">
        <f t="shared" si="141"/>
        <v>0.32</v>
      </c>
    </row>
    <row r="668" spans="13:27" ht="16.5" x14ac:dyDescent="0.2">
      <c r="M668" s="15">
        <v>589</v>
      </c>
      <c r="N668" s="15">
        <f t="shared" si="130"/>
        <v>12</v>
      </c>
      <c r="O668" s="15">
        <f>INDEX(卡牌消耗!$H$13:$H$33,世界BOSS专属武器!N668)</f>
        <v>1501012</v>
      </c>
      <c r="P668" s="49" t="s">
        <v>480</v>
      </c>
      <c r="Q668" s="15">
        <f t="shared" si="131"/>
        <v>27</v>
      </c>
      <c r="R668" s="49" t="str">
        <f t="shared" si="132"/>
        <v>金币</v>
      </c>
      <c r="S668" s="15">
        <f t="shared" si="133"/>
        <v>5000</v>
      </c>
      <c r="T668" s="15" t="str">
        <f t="shared" si="134"/>
        <v>低级专属强化石</v>
      </c>
      <c r="U668" s="15">
        <f t="shared" si="135"/>
        <v>15</v>
      </c>
      <c r="V668" s="15" t="str">
        <f t="shared" si="136"/>
        <v>中级专属强化石</v>
      </c>
      <c r="W668" s="15">
        <f t="shared" si="137"/>
        <v>7</v>
      </c>
      <c r="X668" s="15">
        <f t="shared" si="138"/>
        <v>0.15</v>
      </c>
      <c r="Y668" s="15">
        <f t="shared" si="139"/>
        <v>1</v>
      </c>
      <c r="Z668" s="15">
        <f t="shared" si="140"/>
        <v>22</v>
      </c>
      <c r="AA668" s="15">
        <f t="shared" si="141"/>
        <v>0.34</v>
      </c>
    </row>
    <row r="669" spans="13:27" ht="16.5" x14ac:dyDescent="0.2">
      <c r="M669" s="15">
        <v>590</v>
      </c>
      <c r="N669" s="15">
        <f t="shared" si="130"/>
        <v>12</v>
      </c>
      <c r="O669" s="15">
        <f>INDEX(卡牌消耗!$H$13:$H$33,世界BOSS专属武器!N669)</f>
        <v>1501012</v>
      </c>
      <c r="P669" s="49" t="s">
        <v>480</v>
      </c>
      <c r="Q669" s="15">
        <f t="shared" si="131"/>
        <v>28</v>
      </c>
      <c r="R669" s="49" t="str">
        <f t="shared" si="132"/>
        <v>金币</v>
      </c>
      <c r="S669" s="15">
        <f t="shared" si="133"/>
        <v>5000</v>
      </c>
      <c r="T669" s="15" t="str">
        <f t="shared" si="134"/>
        <v>低级专属强化石</v>
      </c>
      <c r="U669" s="15">
        <f t="shared" si="135"/>
        <v>15</v>
      </c>
      <c r="V669" s="15" t="str">
        <f t="shared" si="136"/>
        <v>中级专属强化石</v>
      </c>
      <c r="W669" s="15">
        <f t="shared" si="137"/>
        <v>7</v>
      </c>
      <c r="X669" s="15">
        <f t="shared" si="138"/>
        <v>0.15</v>
      </c>
      <c r="Y669" s="15">
        <f t="shared" si="139"/>
        <v>1</v>
      </c>
      <c r="Z669" s="15">
        <f t="shared" si="140"/>
        <v>23</v>
      </c>
      <c r="AA669" s="15">
        <f t="shared" si="141"/>
        <v>0.36</v>
      </c>
    </row>
    <row r="670" spans="13:27" ht="16.5" x14ac:dyDescent="0.2">
      <c r="M670" s="15">
        <v>591</v>
      </c>
      <c r="N670" s="15">
        <f t="shared" si="130"/>
        <v>12</v>
      </c>
      <c r="O670" s="15">
        <f>INDEX(卡牌消耗!$H$13:$H$33,世界BOSS专属武器!N670)</f>
        <v>1501012</v>
      </c>
      <c r="P670" s="49" t="s">
        <v>480</v>
      </c>
      <c r="Q670" s="15">
        <f t="shared" si="131"/>
        <v>29</v>
      </c>
      <c r="R670" s="49" t="str">
        <f t="shared" si="132"/>
        <v>金币</v>
      </c>
      <c r="S670" s="15">
        <f t="shared" si="133"/>
        <v>5000</v>
      </c>
      <c r="T670" s="15" t="str">
        <f t="shared" si="134"/>
        <v>低级专属强化石</v>
      </c>
      <c r="U670" s="15">
        <f t="shared" si="135"/>
        <v>15</v>
      </c>
      <c r="V670" s="15" t="str">
        <f t="shared" si="136"/>
        <v>中级专属强化石</v>
      </c>
      <c r="W670" s="15">
        <f t="shared" si="137"/>
        <v>7</v>
      </c>
      <c r="X670" s="15">
        <f t="shared" si="138"/>
        <v>0.15</v>
      </c>
      <c r="Y670" s="15">
        <f t="shared" si="139"/>
        <v>1</v>
      </c>
      <c r="Z670" s="15">
        <f t="shared" si="140"/>
        <v>25</v>
      </c>
      <c r="AA670" s="15">
        <f t="shared" si="141"/>
        <v>0.38</v>
      </c>
    </row>
    <row r="671" spans="13:27" ht="16.5" x14ac:dyDescent="0.2">
      <c r="M671" s="15">
        <v>592</v>
      </c>
      <c r="N671" s="15">
        <f t="shared" si="130"/>
        <v>12</v>
      </c>
      <c r="O671" s="15">
        <f>INDEX(卡牌消耗!$H$13:$H$33,世界BOSS专属武器!N671)</f>
        <v>1501012</v>
      </c>
      <c r="P671" s="49" t="s">
        <v>480</v>
      </c>
      <c r="Q671" s="15">
        <f t="shared" si="131"/>
        <v>30</v>
      </c>
      <c r="R671" s="49" t="str">
        <f t="shared" si="132"/>
        <v>金币</v>
      </c>
      <c r="S671" s="15">
        <f t="shared" si="133"/>
        <v>10000</v>
      </c>
      <c r="T671" s="15" t="str">
        <f t="shared" si="134"/>
        <v>中级专属强化石</v>
      </c>
      <c r="U671" s="15">
        <f t="shared" si="135"/>
        <v>8</v>
      </c>
      <c r="V671" s="15" t="str">
        <f t="shared" si="136"/>
        <v>高级专属强化石</v>
      </c>
      <c r="W671" s="15">
        <f t="shared" si="137"/>
        <v>3</v>
      </c>
      <c r="X671" s="15">
        <f t="shared" si="138"/>
        <v>0.1</v>
      </c>
      <c r="Y671" s="15">
        <f t="shared" si="139"/>
        <v>1</v>
      </c>
      <c r="Z671" s="15">
        <f t="shared" si="140"/>
        <v>30</v>
      </c>
      <c r="AA671" s="15">
        <f t="shared" si="141"/>
        <v>0.4</v>
      </c>
    </row>
    <row r="672" spans="13:27" ht="16.5" x14ac:dyDescent="0.2">
      <c r="M672" s="15">
        <v>593</v>
      </c>
      <c r="N672" s="15">
        <f t="shared" si="130"/>
        <v>12</v>
      </c>
      <c r="O672" s="15">
        <f>INDEX(卡牌消耗!$H$13:$H$33,世界BOSS专属武器!N672)</f>
        <v>1501012</v>
      </c>
      <c r="P672" s="49" t="s">
        <v>480</v>
      </c>
      <c r="Q672" s="15">
        <f t="shared" si="131"/>
        <v>31</v>
      </c>
      <c r="R672" s="49" t="str">
        <f t="shared" si="132"/>
        <v>金币</v>
      </c>
      <c r="S672" s="15">
        <f t="shared" si="133"/>
        <v>10000</v>
      </c>
      <c r="T672" s="15" t="str">
        <f t="shared" si="134"/>
        <v>中级专属强化石</v>
      </c>
      <c r="U672" s="15">
        <f t="shared" si="135"/>
        <v>8</v>
      </c>
      <c r="V672" s="15" t="str">
        <f t="shared" si="136"/>
        <v>高级专属强化石</v>
      </c>
      <c r="W672" s="15">
        <f t="shared" si="137"/>
        <v>3</v>
      </c>
      <c r="X672" s="15">
        <f t="shared" si="138"/>
        <v>0.1</v>
      </c>
      <c r="Y672" s="15">
        <f t="shared" si="139"/>
        <v>1</v>
      </c>
      <c r="Z672" s="15">
        <f t="shared" si="140"/>
        <v>30</v>
      </c>
      <c r="AA672" s="15">
        <f t="shared" si="141"/>
        <v>0.42670000000000002</v>
      </c>
    </row>
    <row r="673" spans="13:27" ht="16.5" x14ac:dyDescent="0.2">
      <c r="M673" s="15">
        <v>594</v>
      </c>
      <c r="N673" s="15">
        <f t="shared" si="130"/>
        <v>12</v>
      </c>
      <c r="O673" s="15">
        <f>INDEX(卡牌消耗!$H$13:$H$33,世界BOSS专属武器!N673)</f>
        <v>1501012</v>
      </c>
      <c r="P673" s="49" t="s">
        <v>480</v>
      </c>
      <c r="Q673" s="15">
        <f t="shared" si="131"/>
        <v>32</v>
      </c>
      <c r="R673" s="49" t="str">
        <f t="shared" si="132"/>
        <v>金币</v>
      </c>
      <c r="S673" s="15">
        <f t="shared" si="133"/>
        <v>10000</v>
      </c>
      <c r="T673" s="15" t="str">
        <f t="shared" si="134"/>
        <v>中级专属强化石</v>
      </c>
      <c r="U673" s="15">
        <f t="shared" si="135"/>
        <v>8</v>
      </c>
      <c r="V673" s="15" t="str">
        <f t="shared" si="136"/>
        <v>高级专属强化石</v>
      </c>
      <c r="W673" s="15">
        <f t="shared" si="137"/>
        <v>3</v>
      </c>
      <c r="X673" s="15">
        <f t="shared" si="138"/>
        <v>0.1</v>
      </c>
      <c r="Y673" s="15">
        <f t="shared" si="139"/>
        <v>1</v>
      </c>
      <c r="Z673" s="15">
        <f t="shared" si="140"/>
        <v>30</v>
      </c>
      <c r="AA673" s="15">
        <f t="shared" si="141"/>
        <v>0.45329999999999998</v>
      </c>
    </row>
    <row r="674" spans="13:27" ht="16.5" x14ac:dyDescent="0.2">
      <c r="M674" s="15">
        <v>595</v>
      </c>
      <c r="N674" s="15">
        <f t="shared" si="130"/>
        <v>12</v>
      </c>
      <c r="O674" s="15">
        <f>INDEX(卡牌消耗!$H$13:$H$33,世界BOSS专属武器!N674)</f>
        <v>1501012</v>
      </c>
      <c r="P674" s="49" t="s">
        <v>480</v>
      </c>
      <c r="Q674" s="15">
        <f t="shared" si="131"/>
        <v>33</v>
      </c>
      <c r="R674" s="49" t="str">
        <f t="shared" si="132"/>
        <v>金币</v>
      </c>
      <c r="S674" s="15">
        <f t="shared" si="133"/>
        <v>10000</v>
      </c>
      <c r="T674" s="15" t="str">
        <f t="shared" si="134"/>
        <v>中级专属强化石</v>
      </c>
      <c r="U674" s="15">
        <f t="shared" si="135"/>
        <v>8</v>
      </c>
      <c r="V674" s="15" t="str">
        <f t="shared" si="136"/>
        <v>高级专属强化石</v>
      </c>
      <c r="W674" s="15">
        <f t="shared" si="137"/>
        <v>3</v>
      </c>
      <c r="X674" s="15">
        <f t="shared" si="138"/>
        <v>0.1</v>
      </c>
      <c r="Y674" s="15">
        <f t="shared" si="139"/>
        <v>1</v>
      </c>
      <c r="Z674" s="15">
        <f t="shared" si="140"/>
        <v>30</v>
      </c>
      <c r="AA674" s="15">
        <f t="shared" si="141"/>
        <v>0.48</v>
      </c>
    </row>
    <row r="675" spans="13:27" ht="16.5" x14ac:dyDescent="0.2">
      <c r="M675" s="15">
        <v>596</v>
      </c>
      <c r="N675" s="15">
        <f t="shared" si="130"/>
        <v>12</v>
      </c>
      <c r="O675" s="15">
        <f>INDEX(卡牌消耗!$H$13:$H$33,世界BOSS专属武器!N675)</f>
        <v>1501012</v>
      </c>
      <c r="P675" s="49" t="s">
        <v>480</v>
      </c>
      <c r="Q675" s="15">
        <f t="shared" si="131"/>
        <v>34</v>
      </c>
      <c r="R675" s="49" t="str">
        <f t="shared" si="132"/>
        <v>金币</v>
      </c>
      <c r="S675" s="15">
        <f t="shared" si="133"/>
        <v>10000</v>
      </c>
      <c r="T675" s="15" t="str">
        <f t="shared" si="134"/>
        <v>中级专属强化石</v>
      </c>
      <c r="U675" s="15">
        <f t="shared" si="135"/>
        <v>8</v>
      </c>
      <c r="V675" s="15" t="str">
        <f t="shared" si="136"/>
        <v>高级专属强化石</v>
      </c>
      <c r="W675" s="15">
        <f t="shared" si="137"/>
        <v>3</v>
      </c>
      <c r="X675" s="15">
        <f t="shared" si="138"/>
        <v>0.1</v>
      </c>
      <c r="Y675" s="15">
        <f t="shared" si="139"/>
        <v>1</v>
      </c>
      <c r="Z675" s="15">
        <f t="shared" si="140"/>
        <v>30</v>
      </c>
      <c r="AA675" s="15">
        <f t="shared" si="141"/>
        <v>0.50670000000000004</v>
      </c>
    </row>
    <row r="676" spans="13:27" ht="16.5" x14ac:dyDescent="0.2">
      <c r="M676" s="15">
        <v>597</v>
      </c>
      <c r="N676" s="15">
        <f t="shared" si="130"/>
        <v>12</v>
      </c>
      <c r="O676" s="15">
        <f>INDEX(卡牌消耗!$H$13:$H$33,世界BOSS专属武器!N676)</f>
        <v>1501012</v>
      </c>
      <c r="P676" s="49" t="s">
        <v>480</v>
      </c>
      <c r="Q676" s="15">
        <f t="shared" si="131"/>
        <v>35</v>
      </c>
      <c r="R676" s="49" t="str">
        <f t="shared" si="132"/>
        <v>金币</v>
      </c>
      <c r="S676" s="15">
        <f t="shared" si="133"/>
        <v>10000</v>
      </c>
      <c r="T676" s="15" t="str">
        <f t="shared" si="134"/>
        <v>中级专属强化石</v>
      </c>
      <c r="U676" s="15">
        <f t="shared" si="135"/>
        <v>8</v>
      </c>
      <c r="V676" s="15" t="str">
        <f t="shared" si="136"/>
        <v>高级专属强化石</v>
      </c>
      <c r="W676" s="15">
        <f t="shared" si="137"/>
        <v>3</v>
      </c>
      <c r="X676" s="15">
        <f t="shared" si="138"/>
        <v>0.1</v>
      </c>
      <c r="Y676" s="15">
        <f t="shared" si="139"/>
        <v>1</v>
      </c>
      <c r="Z676" s="15">
        <f t="shared" si="140"/>
        <v>30</v>
      </c>
      <c r="AA676" s="15">
        <f t="shared" si="141"/>
        <v>0.5333</v>
      </c>
    </row>
    <row r="677" spans="13:27" ht="16.5" x14ac:dyDescent="0.2">
      <c r="M677" s="15">
        <v>598</v>
      </c>
      <c r="N677" s="15">
        <f t="shared" si="130"/>
        <v>12</v>
      </c>
      <c r="O677" s="15">
        <f>INDEX(卡牌消耗!$H$13:$H$33,世界BOSS专属武器!N677)</f>
        <v>1501012</v>
      </c>
      <c r="P677" s="49" t="s">
        <v>480</v>
      </c>
      <c r="Q677" s="15">
        <f t="shared" si="131"/>
        <v>36</v>
      </c>
      <c r="R677" s="49" t="str">
        <f t="shared" si="132"/>
        <v>金币</v>
      </c>
      <c r="S677" s="15">
        <f t="shared" si="133"/>
        <v>10000</v>
      </c>
      <c r="T677" s="15" t="str">
        <f t="shared" si="134"/>
        <v>中级专属强化石</v>
      </c>
      <c r="U677" s="15">
        <f t="shared" si="135"/>
        <v>8</v>
      </c>
      <c r="V677" s="15" t="str">
        <f t="shared" si="136"/>
        <v>高级专属强化石</v>
      </c>
      <c r="W677" s="15">
        <f t="shared" si="137"/>
        <v>3</v>
      </c>
      <c r="X677" s="15">
        <f t="shared" si="138"/>
        <v>0.1</v>
      </c>
      <c r="Y677" s="15">
        <f t="shared" si="139"/>
        <v>1</v>
      </c>
      <c r="Z677" s="15">
        <f t="shared" si="140"/>
        <v>30</v>
      </c>
      <c r="AA677" s="15">
        <f t="shared" si="141"/>
        <v>0.56000000000000005</v>
      </c>
    </row>
    <row r="678" spans="13:27" ht="16.5" x14ac:dyDescent="0.2">
      <c r="M678" s="15">
        <v>599</v>
      </c>
      <c r="N678" s="15">
        <f t="shared" si="130"/>
        <v>12</v>
      </c>
      <c r="O678" s="15">
        <f>INDEX(卡牌消耗!$H$13:$H$33,世界BOSS专属武器!N678)</f>
        <v>1501012</v>
      </c>
      <c r="P678" s="49" t="s">
        <v>480</v>
      </c>
      <c r="Q678" s="15">
        <f t="shared" si="131"/>
        <v>37</v>
      </c>
      <c r="R678" s="49" t="str">
        <f t="shared" si="132"/>
        <v>金币</v>
      </c>
      <c r="S678" s="15">
        <f t="shared" si="133"/>
        <v>10000</v>
      </c>
      <c r="T678" s="15" t="str">
        <f t="shared" si="134"/>
        <v>中级专属强化石</v>
      </c>
      <c r="U678" s="15">
        <f t="shared" si="135"/>
        <v>8</v>
      </c>
      <c r="V678" s="15" t="str">
        <f t="shared" si="136"/>
        <v>高级专属强化石</v>
      </c>
      <c r="W678" s="15">
        <f t="shared" si="137"/>
        <v>3</v>
      </c>
      <c r="X678" s="15">
        <f t="shared" si="138"/>
        <v>0.1</v>
      </c>
      <c r="Y678" s="15">
        <f t="shared" si="139"/>
        <v>1</v>
      </c>
      <c r="Z678" s="15">
        <f t="shared" si="140"/>
        <v>30</v>
      </c>
      <c r="AA678" s="15">
        <f t="shared" si="141"/>
        <v>0.5867</v>
      </c>
    </row>
    <row r="679" spans="13:27" ht="16.5" x14ac:dyDescent="0.2">
      <c r="M679" s="15">
        <v>600</v>
      </c>
      <c r="N679" s="15">
        <f t="shared" si="130"/>
        <v>12</v>
      </c>
      <c r="O679" s="15">
        <f>INDEX(卡牌消耗!$H$13:$H$33,世界BOSS专属武器!N679)</f>
        <v>1501012</v>
      </c>
      <c r="P679" s="49" t="s">
        <v>480</v>
      </c>
      <c r="Q679" s="15">
        <f t="shared" si="131"/>
        <v>38</v>
      </c>
      <c r="R679" s="49" t="str">
        <f t="shared" si="132"/>
        <v>金币</v>
      </c>
      <c r="S679" s="15">
        <f t="shared" si="133"/>
        <v>10000</v>
      </c>
      <c r="T679" s="15" t="str">
        <f t="shared" si="134"/>
        <v>中级专属强化石</v>
      </c>
      <c r="U679" s="15">
        <f t="shared" si="135"/>
        <v>8</v>
      </c>
      <c r="V679" s="15" t="str">
        <f t="shared" si="136"/>
        <v>高级专属强化石</v>
      </c>
      <c r="W679" s="15">
        <f t="shared" si="137"/>
        <v>3</v>
      </c>
      <c r="X679" s="15">
        <f t="shared" si="138"/>
        <v>0.1</v>
      </c>
      <c r="Y679" s="15">
        <f t="shared" si="139"/>
        <v>1</v>
      </c>
      <c r="Z679" s="15">
        <f t="shared" si="140"/>
        <v>30</v>
      </c>
      <c r="AA679" s="15">
        <f t="shared" si="141"/>
        <v>0.61329999999999996</v>
      </c>
    </row>
    <row r="680" spans="13:27" ht="16.5" x14ac:dyDescent="0.2">
      <c r="M680" s="15">
        <v>601</v>
      </c>
      <c r="N680" s="15">
        <f t="shared" si="130"/>
        <v>12</v>
      </c>
      <c r="O680" s="15">
        <f>INDEX(卡牌消耗!$H$13:$H$33,世界BOSS专属武器!N680)</f>
        <v>1501012</v>
      </c>
      <c r="P680" s="49" t="s">
        <v>480</v>
      </c>
      <c r="Q680" s="15">
        <f t="shared" si="131"/>
        <v>39</v>
      </c>
      <c r="R680" s="49" t="str">
        <f t="shared" si="132"/>
        <v>金币</v>
      </c>
      <c r="S680" s="15">
        <f t="shared" si="133"/>
        <v>10000</v>
      </c>
      <c r="T680" s="15" t="str">
        <f t="shared" si="134"/>
        <v>中级专属强化石</v>
      </c>
      <c r="U680" s="15">
        <f t="shared" si="135"/>
        <v>8</v>
      </c>
      <c r="V680" s="15" t="str">
        <f t="shared" si="136"/>
        <v>高级专属强化石</v>
      </c>
      <c r="W680" s="15">
        <f t="shared" si="137"/>
        <v>3</v>
      </c>
      <c r="X680" s="15">
        <f t="shared" si="138"/>
        <v>0.1</v>
      </c>
      <c r="Y680" s="15">
        <f t="shared" si="139"/>
        <v>1</v>
      </c>
      <c r="Z680" s="15">
        <f t="shared" si="140"/>
        <v>30</v>
      </c>
      <c r="AA680" s="15">
        <f t="shared" si="141"/>
        <v>0.64</v>
      </c>
    </row>
    <row r="681" spans="13:27" ht="16.5" x14ac:dyDescent="0.2">
      <c r="M681" s="15">
        <v>602</v>
      </c>
      <c r="N681" s="15">
        <f t="shared" si="130"/>
        <v>12</v>
      </c>
      <c r="O681" s="15">
        <f>INDEX(卡牌消耗!$H$13:$H$33,世界BOSS专属武器!N681)</f>
        <v>1501012</v>
      </c>
      <c r="P681" s="49" t="s">
        <v>480</v>
      </c>
      <c r="Q681" s="15">
        <f t="shared" si="131"/>
        <v>40</v>
      </c>
      <c r="R681" s="49" t="str">
        <f t="shared" si="132"/>
        <v>金币</v>
      </c>
      <c r="S681" s="15">
        <f t="shared" si="133"/>
        <v>20000</v>
      </c>
      <c r="T681" s="15" t="str">
        <f t="shared" si="134"/>
        <v>高级专属强化石</v>
      </c>
      <c r="U681" s="15">
        <f t="shared" si="135"/>
        <v>5</v>
      </c>
      <c r="V681" s="15" t="str">
        <f t="shared" si="136"/>
        <v>[x]</v>
      </c>
      <c r="W681" s="15" t="str">
        <f t="shared" si="137"/>
        <v>[x]</v>
      </c>
      <c r="X681" s="15">
        <f t="shared" si="138"/>
        <v>0.1</v>
      </c>
      <c r="Y681" s="15">
        <f t="shared" si="139"/>
        <v>1</v>
      </c>
      <c r="Z681" s="15">
        <f t="shared" si="140"/>
        <v>35</v>
      </c>
      <c r="AA681" s="15">
        <f t="shared" si="141"/>
        <v>0.66669999999999996</v>
      </c>
    </row>
    <row r="682" spans="13:27" ht="16.5" x14ac:dyDescent="0.2">
      <c r="M682" s="15">
        <v>603</v>
      </c>
      <c r="N682" s="15">
        <f t="shared" si="130"/>
        <v>12</v>
      </c>
      <c r="O682" s="15">
        <f>INDEX(卡牌消耗!$H$13:$H$33,世界BOSS专属武器!N682)</f>
        <v>1501012</v>
      </c>
      <c r="P682" s="49" t="s">
        <v>480</v>
      </c>
      <c r="Q682" s="15">
        <f t="shared" si="131"/>
        <v>41</v>
      </c>
      <c r="R682" s="49" t="str">
        <f t="shared" si="132"/>
        <v>金币</v>
      </c>
      <c r="S682" s="15">
        <f t="shared" si="133"/>
        <v>20000</v>
      </c>
      <c r="T682" s="15" t="str">
        <f t="shared" si="134"/>
        <v>高级专属强化石</v>
      </c>
      <c r="U682" s="15">
        <f t="shared" si="135"/>
        <v>5</v>
      </c>
      <c r="V682" s="15" t="str">
        <f t="shared" si="136"/>
        <v>[x]</v>
      </c>
      <c r="W682" s="15" t="str">
        <f t="shared" si="137"/>
        <v>[x]</v>
      </c>
      <c r="X682" s="15">
        <f t="shared" si="138"/>
        <v>0.1</v>
      </c>
      <c r="Y682" s="15">
        <f t="shared" si="139"/>
        <v>1</v>
      </c>
      <c r="Z682" s="15">
        <f t="shared" si="140"/>
        <v>40</v>
      </c>
      <c r="AA682" s="15">
        <f t="shared" si="141"/>
        <v>0.7</v>
      </c>
    </row>
    <row r="683" spans="13:27" ht="16.5" x14ac:dyDescent="0.2">
      <c r="M683" s="15">
        <v>604</v>
      </c>
      <c r="N683" s="15">
        <f t="shared" si="130"/>
        <v>12</v>
      </c>
      <c r="O683" s="15">
        <f>INDEX(卡牌消耗!$H$13:$H$33,世界BOSS专属武器!N683)</f>
        <v>1501012</v>
      </c>
      <c r="P683" s="49" t="s">
        <v>480</v>
      </c>
      <c r="Q683" s="15">
        <f t="shared" si="131"/>
        <v>42</v>
      </c>
      <c r="R683" s="49" t="str">
        <f t="shared" si="132"/>
        <v>金币</v>
      </c>
      <c r="S683" s="15">
        <f t="shared" si="133"/>
        <v>20000</v>
      </c>
      <c r="T683" s="15" t="str">
        <f t="shared" si="134"/>
        <v>高级专属强化石</v>
      </c>
      <c r="U683" s="15">
        <f t="shared" si="135"/>
        <v>5</v>
      </c>
      <c r="V683" s="15" t="str">
        <f t="shared" si="136"/>
        <v>[x]</v>
      </c>
      <c r="W683" s="15" t="str">
        <f t="shared" si="137"/>
        <v>[x]</v>
      </c>
      <c r="X683" s="15">
        <f t="shared" si="138"/>
        <v>0.1</v>
      </c>
      <c r="Y683" s="15">
        <f t="shared" si="139"/>
        <v>1</v>
      </c>
      <c r="Z683" s="15">
        <f t="shared" si="140"/>
        <v>45</v>
      </c>
      <c r="AA683" s="15">
        <f t="shared" si="141"/>
        <v>0.73329999999999995</v>
      </c>
    </row>
    <row r="684" spans="13:27" ht="16.5" x14ac:dyDescent="0.2">
      <c r="M684" s="15">
        <v>605</v>
      </c>
      <c r="N684" s="15">
        <f t="shared" si="130"/>
        <v>12</v>
      </c>
      <c r="O684" s="15">
        <f>INDEX(卡牌消耗!$H$13:$H$33,世界BOSS专属武器!N684)</f>
        <v>1501012</v>
      </c>
      <c r="P684" s="49" t="s">
        <v>480</v>
      </c>
      <c r="Q684" s="15">
        <f t="shared" si="131"/>
        <v>43</v>
      </c>
      <c r="R684" s="49" t="str">
        <f t="shared" si="132"/>
        <v>金币</v>
      </c>
      <c r="S684" s="15">
        <f t="shared" si="133"/>
        <v>20000</v>
      </c>
      <c r="T684" s="15" t="str">
        <f t="shared" si="134"/>
        <v>高级专属强化石</v>
      </c>
      <c r="U684" s="15">
        <f t="shared" si="135"/>
        <v>5</v>
      </c>
      <c r="V684" s="15" t="str">
        <f t="shared" si="136"/>
        <v>[x]</v>
      </c>
      <c r="W684" s="15" t="str">
        <f t="shared" si="137"/>
        <v>[x]</v>
      </c>
      <c r="X684" s="15">
        <f t="shared" si="138"/>
        <v>0.1</v>
      </c>
      <c r="Y684" s="15">
        <f t="shared" si="139"/>
        <v>1</v>
      </c>
      <c r="Z684" s="15">
        <f t="shared" si="140"/>
        <v>50</v>
      </c>
      <c r="AA684" s="15">
        <f t="shared" si="141"/>
        <v>0.76670000000000005</v>
      </c>
    </row>
    <row r="685" spans="13:27" ht="16.5" x14ac:dyDescent="0.2">
      <c r="M685" s="15">
        <v>606</v>
      </c>
      <c r="N685" s="15">
        <f t="shared" si="130"/>
        <v>12</v>
      </c>
      <c r="O685" s="15">
        <f>INDEX(卡牌消耗!$H$13:$H$33,世界BOSS专属武器!N685)</f>
        <v>1501012</v>
      </c>
      <c r="P685" s="49" t="s">
        <v>480</v>
      </c>
      <c r="Q685" s="15">
        <f t="shared" si="131"/>
        <v>44</v>
      </c>
      <c r="R685" s="49" t="str">
        <f t="shared" si="132"/>
        <v>金币</v>
      </c>
      <c r="S685" s="15">
        <f t="shared" si="133"/>
        <v>20000</v>
      </c>
      <c r="T685" s="15" t="str">
        <f t="shared" si="134"/>
        <v>高级专属强化石</v>
      </c>
      <c r="U685" s="15">
        <f t="shared" si="135"/>
        <v>5</v>
      </c>
      <c r="V685" s="15" t="str">
        <f t="shared" si="136"/>
        <v>[x]</v>
      </c>
      <c r="W685" s="15" t="str">
        <f t="shared" si="137"/>
        <v>[x]</v>
      </c>
      <c r="X685" s="15">
        <f t="shared" si="138"/>
        <v>0.1</v>
      </c>
      <c r="Y685" s="15">
        <f t="shared" si="139"/>
        <v>1</v>
      </c>
      <c r="Z685" s="15">
        <f t="shared" si="140"/>
        <v>55</v>
      </c>
      <c r="AA685" s="15">
        <f t="shared" si="141"/>
        <v>0.8</v>
      </c>
    </row>
    <row r="686" spans="13:27" ht="16.5" x14ac:dyDescent="0.2">
      <c r="M686" s="15">
        <v>607</v>
      </c>
      <c r="N686" s="15">
        <f t="shared" si="130"/>
        <v>12</v>
      </c>
      <c r="O686" s="15">
        <f>INDEX(卡牌消耗!$H$13:$H$33,世界BOSS专属武器!N686)</f>
        <v>1501012</v>
      </c>
      <c r="P686" s="49" t="s">
        <v>480</v>
      </c>
      <c r="Q686" s="15">
        <f t="shared" si="131"/>
        <v>45</v>
      </c>
      <c r="R686" s="49" t="str">
        <f t="shared" si="132"/>
        <v>金币</v>
      </c>
      <c r="S686" s="15">
        <f t="shared" si="133"/>
        <v>20000</v>
      </c>
      <c r="T686" s="15" t="str">
        <f t="shared" si="134"/>
        <v>高级专属强化石</v>
      </c>
      <c r="U686" s="15">
        <f t="shared" si="135"/>
        <v>6</v>
      </c>
      <c r="V686" s="15" t="str">
        <f t="shared" si="136"/>
        <v>[x]</v>
      </c>
      <c r="W686" s="15" t="str">
        <f t="shared" si="137"/>
        <v>[x]</v>
      </c>
      <c r="X686" s="15">
        <f t="shared" si="138"/>
        <v>0.1</v>
      </c>
      <c r="Y686" s="15">
        <f t="shared" si="139"/>
        <v>1</v>
      </c>
      <c r="Z686" s="15">
        <f t="shared" si="140"/>
        <v>60</v>
      </c>
      <c r="AA686" s="15">
        <f t="shared" si="141"/>
        <v>0.83330000000000004</v>
      </c>
    </row>
    <row r="687" spans="13:27" ht="16.5" x14ac:dyDescent="0.2">
      <c r="M687" s="15">
        <v>608</v>
      </c>
      <c r="N687" s="15">
        <f t="shared" si="130"/>
        <v>12</v>
      </c>
      <c r="O687" s="15">
        <f>INDEX(卡牌消耗!$H$13:$H$33,世界BOSS专属武器!N687)</f>
        <v>1501012</v>
      </c>
      <c r="P687" s="49" t="s">
        <v>480</v>
      </c>
      <c r="Q687" s="15">
        <f t="shared" si="131"/>
        <v>46</v>
      </c>
      <c r="R687" s="49" t="str">
        <f t="shared" si="132"/>
        <v>金币</v>
      </c>
      <c r="S687" s="15">
        <f t="shared" si="133"/>
        <v>20000</v>
      </c>
      <c r="T687" s="15" t="str">
        <f t="shared" si="134"/>
        <v>高级专属强化石</v>
      </c>
      <c r="U687" s="15">
        <f t="shared" si="135"/>
        <v>7</v>
      </c>
      <c r="V687" s="15" t="str">
        <f t="shared" si="136"/>
        <v>[x]</v>
      </c>
      <c r="W687" s="15" t="str">
        <f t="shared" si="137"/>
        <v>[x]</v>
      </c>
      <c r="X687" s="15">
        <f t="shared" si="138"/>
        <v>0.1</v>
      </c>
      <c r="Y687" s="15">
        <f t="shared" si="139"/>
        <v>1</v>
      </c>
      <c r="Z687" s="15">
        <f t="shared" si="140"/>
        <v>70</v>
      </c>
      <c r="AA687" s="15">
        <f t="shared" si="141"/>
        <v>0.86670000000000003</v>
      </c>
    </row>
    <row r="688" spans="13:27" ht="16.5" x14ac:dyDescent="0.2">
      <c r="M688" s="15">
        <v>609</v>
      </c>
      <c r="N688" s="15">
        <f t="shared" si="130"/>
        <v>12</v>
      </c>
      <c r="O688" s="15">
        <f>INDEX(卡牌消耗!$H$13:$H$33,世界BOSS专属武器!N688)</f>
        <v>1501012</v>
      </c>
      <c r="P688" s="49" t="s">
        <v>480</v>
      </c>
      <c r="Q688" s="15">
        <f t="shared" si="131"/>
        <v>47</v>
      </c>
      <c r="R688" s="49" t="str">
        <f t="shared" si="132"/>
        <v>金币</v>
      </c>
      <c r="S688" s="15">
        <f t="shared" si="133"/>
        <v>20000</v>
      </c>
      <c r="T688" s="15" t="str">
        <f t="shared" si="134"/>
        <v>高级专属强化石</v>
      </c>
      <c r="U688" s="15">
        <f t="shared" si="135"/>
        <v>8</v>
      </c>
      <c r="V688" s="15" t="str">
        <f t="shared" si="136"/>
        <v>[x]</v>
      </c>
      <c r="W688" s="15" t="str">
        <f t="shared" si="137"/>
        <v>[x]</v>
      </c>
      <c r="X688" s="15">
        <f t="shared" si="138"/>
        <v>0.1</v>
      </c>
      <c r="Y688" s="15">
        <f t="shared" si="139"/>
        <v>1</v>
      </c>
      <c r="Z688" s="15">
        <f t="shared" si="140"/>
        <v>80</v>
      </c>
      <c r="AA688" s="15">
        <f t="shared" si="141"/>
        <v>0.9</v>
      </c>
    </row>
    <row r="689" spans="13:27" ht="16.5" x14ac:dyDescent="0.2">
      <c r="M689" s="15">
        <v>610</v>
      </c>
      <c r="N689" s="15">
        <f t="shared" si="130"/>
        <v>12</v>
      </c>
      <c r="O689" s="15">
        <f>INDEX(卡牌消耗!$H$13:$H$33,世界BOSS专属武器!N689)</f>
        <v>1501012</v>
      </c>
      <c r="P689" s="49" t="s">
        <v>480</v>
      </c>
      <c r="Q689" s="15">
        <f t="shared" si="131"/>
        <v>48</v>
      </c>
      <c r="R689" s="49" t="str">
        <f t="shared" si="132"/>
        <v>金币</v>
      </c>
      <c r="S689" s="15">
        <f t="shared" si="133"/>
        <v>20000</v>
      </c>
      <c r="T689" s="15" t="str">
        <f t="shared" si="134"/>
        <v>高级专属强化石</v>
      </c>
      <c r="U689" s="15">
        <f t="shared" si="135"/>
        <v>9</v>
      </c>
      <c r="V689" s="15" t="str">
        <f t="shared" si="136"/>
        <v>[x]</v>
      </c>
      <c r="W689" s="15" t="str">
        <f t="shared" si="137"/>
        <v>[x]</v>
      </c>
      <c r="X689" s="15">
        <f t="shared" si="138"/>
        <v>0.1</v>
      </c>
      <c r="Y689" s="15">
        <f t="shared" si="139"/>
        <v>1</v>
      </c>
      <c r="Z689" s="15">
        <f t="shared" si="140"/>
        <v>100</v>
      </c>
      <c r="AA689" s="15">
        <f t="shared" si="141"/>
        <v>0.93330000000000002</v>
      </c>
    </row>
    <row r="690" spans="13:27" ht="16.5" x14ac:dyDescent="0.2">
      <c r="M690" s="15">
        <v>611</v>
      </c>
      <c r="N690" s="15">
        <f t="shared" si="130"/>
        <v>12</v>
      </c>
      <c r="O690" s="15">
        <f>INDEX(卡牌消耗!$H$13:$H$33,世界BOSS专属武器!N690)</f>
        <v>1501012</v>
      </c>
      <c r="P690" s="49" t="s">
        <v>480</v>
      </c>
      <c r="Q690" s="15">
        <f t="shared" si="131"/>
        <v>49</v>
      </c>
      <c r="R690" s="49" t="str">
        <f t="shared" si="132"/>
        <v>金币</v>
      </c>
      <c r="S690" s="15">
        <f t="shared" si="133"/>
        <v>20000</v>
      </c>
      <c r="T690" s="15" t="str">
        <f t="shared" si="134"/>
        <v>高级专属强化石</v>
      </c>
      <c r="U690" s="15">
        <f t="shared" si="135"/>
        <v>10</v>
      </c>
      <c r="V690" s="15" t="str">
        <f t="shared" si="136"/>
        <v>[x]</v>
      </c>
      <c r="W690" s="15" t="str">
        <f t="shared" si="137"/>
        <v>[x]</v>
      </c>
      <c r="X690" s="15">
        <f t="shared" si="138"/>
        <v>0.1</v>
      </c>
      <c r="Y690" s="15">
        <f t="shared" si="139"/>
        <v>1</v>
      </c>
      <c r="Z690" s="15">
        <f t="shared" si="140"/>
        <v>120</v>
      </c>
      <c r="AA690" s="15">
        <f t="shared" si="141"/>
        <v>0.9667</v>
      </c>
    </row>
    <row r="691" spans="13:27" ht="16.5" x14ac:dyDescent="0.2">
      <c r="M691" s="15">
        <v>612</v>
      </c>
      <c r="N691" s="15">
        <f t="shared" si="130"/>
        <v>12</v>
      </c>
      <c r="O691" s="15">
        <f>INDEX(卡牌消耗!$H$13:$H$33,世界BOSS专属武器!N691)</f>
        <v>1501012</v>
      </c>
      <c r="P691" s="49" t="s">
        <v>480</v>
      </c>
      <c r="Q691" s="15">
        <f t="shared" si="131"/>
        <v>50</v>
      </c>
      <c r="R691" s="49" t="str">
        <f t="shared" si="132"/>
        <v>金币</v>
      </c>
      <c r="S691" s="15">
        <f t="shared" si="133"/>
        <v>20000</v>
      </c>
      <c r="T691" s="15" t="str">
        <f t="shared" si="134"/>
        <v>高级专属强化石</v>
      </c>
      <c r="U691" s="15">
        <f t="shared" si="135"/>
        <v>15</v>
      </c>
      <c r="V691" s="15" t="str">
        <f t="shared" si="136"/>
        <v>[x]</v>
      </c>
      <c r="W691" s="15" t="str">
        <f t="shared" si="137"/>
        <v>[x]</v>
      </c>
      <c r="X691" s="15">
        <f t="shared" si="138"/>
        <v>0.1</v>
      </c>
      <c r="Y691" s="15">
        <f t="shared" si="139"/>
        <v>1</v>
      </c>
      <c r="Z691" s="15">
        <f t="shared" si="140"/>
        <v>150</v>
      </c>
      <c r="AA691" s="15">
        <f t="shared" si="141"/>
        <v>1</v>
      </c>
    </row>
    <row r="692" spans="13:27" ht="16.5" x14ac:dyDescent="0.2">
      <c r="M692" s="15">
        <v>613</v>
      </c>
      <c r="N692" s="15">
        <f t="shared" si="130"/>
        <v>13</v>
      </c>
      <c r="O692" s="15">
        <f>INDEX(卡牌消耗!$H$13:$H$33,世界BOSS专属武器!N692)</f>
        <v>1501013</v>
      </c>
      <c r="P692" s="49" t="s">
        <v>480</v>
      </c>
      <c r="Q692" s="15">
        <f t="shared" si="131"/>
        <v>0</v>
      </c>
      <c r="R692" s="49" t="str">
        <f t="shared" si="132"/>
        <v>[x]</v>
      </c>
      <c r="S692" s="15" t="str">
        <f t="shared" si="133"/>
        <v>[x]</v>
      </c>
      <c r="T692" s="15" t="str">
        <f t="shared" si="134"/>
        <v>[x]</v>
      </c>
      <c r="U692" s="15" t="str">
        <f t="shared" si="135"/>
        <v>[x]</v>
      </c>
      <c r="V692" s="15" t="str">
        <f t="shared" si="136"/>
        <v>[x]</v>
      </c>
      <c r="W692" s="15" t="str">
        <f t="shared" si="137"/>
        <v>[x]</v>
      </c>
      <c r="X692" s="15" t="str">
        <f t="shared" si="138"/>
        <v>[x]</v>
      </c>
      <c r="Y692" s="15" t="str">
        <f t="shared" si="139"/>
        <v>[x]</v>
      </c>
      <c r="Z692" s="15" t="str">
        <f t="shared" si="140"/>
        <v>[x]</v>
      </c>
      <c r="AA692" s="15" t="str">
        <f t="shared" si="141"/>
        <v>[x]</v>
      </c>
    </row>
    <row r="693" spans="13:27" ht="16.5" x14ac:dyDescent="0.2">
      <c r="M693" s="15">
        <v>614</v>
      </c>
      <c r="N693" s="15">
        <f t="shared" si="130"/>
        <v>13</v>
      </c>
      <c r="O693" s="15">
        <f>INDEX(卡牌消耗!$H$13:$H$33,世界BOSS专属武器!N693)</f>
        <v>1501013</v>
      </c>
      <c r="P693" s="49" t="s">
        <v>480</v>
      </c>
      <c r="Q693" s="15">
        <f t="shared" si="131"/>
        <v>1</v>
      </c>
      <c r="R693" s="49" t="str">
        <f t="shared" si="132"/>
        <v>金币</v>
      </c>
      <c r="S693" s="15">
        <f t="shared" si="133"/>
        <v>100</v>
      </c>
      <c r="T693" s="15" t="str">
        <f t="shared" si="134"/>
        <v>低级专属强化石</v>
      </c>
      <c r="U693" s="15">
        <f t="shared" si="135"/>
        <v>1</v>
      </c>
      <c r="V693" s="15" t="str">
        <f t="shared" si="136"/>
        <v>[x]</v>
      </c>
      <c r="W693" s="15" t="str">
        <f t="shared" si="137"/>
        <v>[x]</v>
      </c>
      <c r="X693" s="15">
        <f t="shared" si="138"/>
        <v>1</v>
      </c>
      <c r="Y693" s="15">
        <f t="shared" si="139"/>
        <v>1</v>
      </c>
      <c r="Z693" s="15">
        <f t="shared" si="140"/>
        <v>1</v>
      </c>
      <c r="AA693" s="15">
        <f t="shared" si="141"/>
        <v>6.7000000000000002E-3</v>
      </c>
    </row>
    <row r="694" spans="13:27" ht="16.5" x14ac:dyDescent="0.2">
      <c r="M694" s="15">
        <v>615</v>
      </c>
      <c r="N694" s="15">
        <f t="shared" si="130"/>
        <v>13</v>
      </c>
      <c r="O694" s="15">
        <f>INDEX(卡牌消耗!$H$13:$H$33,世界BOSS专属武器!N694)</f>
        <v>1501013</v>
      </c>
      <c r="P694" s="49" t="s">
        <v>480</v>
      </c>
      <c r="Q694" s="15">
        <f t="shared" si="131"/>
        <v>2</v>
      </c>
      <c r="R694" s="49" t="str">
        <f t="shared" si="132"/>
        <v>金币</v>
      </c>
      <c r="S694" s="15">
        <f t="shared" si="133"/>
        <v>200</v>
      </c>
      <c r="T694" s="15" t="str">
        <f t="shared" si="134"/>
        <v>低级专属强化石</v>
      </c>
      <c r="U694" s="15">
        <f t="shared" si="135"/>
        <v>1</v>
      </c>
      <c r="V694" s="15" t="str">
        <f t="shared" si="136"/>
        <v>[x]</v>
      </c>
      <c r="W694" s="15" t="str">
        <f t="shared" si="137"/>
        <v>[x]</v>
      </c>
      <c r="X694" s="15">
        <f t="shared" si="138"/>
        <v>0.5</v>
      </c>
      <c r="Y694" s="15">
        <f t="shared" si="139"/>
        <v>1</v>
      </c>
      <c r="Z694" s="15">
        <f t="shared" si="140"/>
        <v>2</v>
      </c>
      <c r="AA694" s="15">
        <f t="shared" si="141"/>
        <v>1.3299999999999999E-2</v>
      </c>
    </row>
    <row r="695" spans="13:27" ht="16.5" x14ac:dyDescent="0.2">
      <c r="M695" s="15">
        <v>616</v>
      </c>
      <c r="N695" s="15">
        <f t="shared" si="130"/>
        <v>13</v>
      </c>
      <c r="O695" s="15">
        <f>INDEX(卡牌消耗!$H$13:$H$33,世界BOSS专属武器!N695)</f>
        <v>1501013</v>
      </c>
      <c r="P695" s="49" t="s">
        <v>480</v>
      </c>
      <c r="Q695" s="15">
        <f t="shared" si="131"/>
        <v>3</v>
      </c>
      <c r="R695" s="49" t="str">
        <f t="shared" si="132"/>
        <v>金币</v>
      </c>
      <c r="S695" s="15">
        <f t="shared" si="133"/>
        <v>300</v>
      </c>
      <c r="T695" s="15" t="str">
        <f t="shared" si="134"/>
        <v>低级专属强化石</v>
      </c>
      <c r="U695" s="15">
        <f t="shared" si="135"/>
        <v>2</v>
      </c>
      <c r="V695" s="15" t="str">
        <f t="shared" si="136"/>
        <v>[x]</v>
      </c>
      <c r="W695" s="15" t="str">
        <f t="shared" si="137"/>
        <v>[x]</v>
      </c>
      <c r="X695" s="15">
        <f t="shared" si="138"/>
        <v>0.48</v>
      </c>
      <c r="Y695" s="15">
        <f t="shared" si="139"/>
        <v>1</v>
      </c>
      <c r="Z695" s="15">
        <f t="shared" si="140"/>
        <v>3</v>
      </c>
      <c r="AA695" s="15">
        <f t="shared" si="141"/>
        <v>0.02</v>
      </c>
    </row>
    <row r="696" spans="13:27" ht="16.5" x14ac:dyDescent="0.2">
      <c r="M696" s="15">
        <v>617</v>
      </c>
      <c r="N696" s="15">
        <f t="shared" si="130"/>
        <v>13</v>
      </c>
      <c r="O696" s="15">
        <f>INDEX(卡牌消耗!$H$13:$H$33,世界BOSS专属武器!N696)</f>
        <v>1501013</v>
      </c>
      <c r="P696" s="49" t="s">
        <v>480</v>
      </c>
      <c r="Q696" s="15">
        <f t="shared" si="131"/>
        <v>4</v>
      </c>
      <c r="R696" s="49" t="str">
        <f t="shared" si="132"/>
        <v>金币</v>
      </c>
      <c r="S696" s="15">
        <f t="shared" si="133"/>
        <v>400</v>
      </c>
      <c r="T696" s="15" t="str">
        <f t="shared" si="134"/>
        <v>低级专属强化石</v>
      </c>
      <c r="U696" s="15">
        <f t="shared" si="135"/>
        <v>3</v>
      </c>
      <c r="V696" s="15" t="str">
        <f t="shared" si="136"/>
        <v>[x]</v>
      </c>
      <c r="W696" s="15" t="str">
        <f t="shared" si="137"/>
        <v>[x]</v>
      </c>
      <c r="X696" s="15">
        <f t="shared" si="138"/>
        <v>0.46</v>
      </c>
      <c r="Y696" s="15">
        <f t="shared" si="139"/>
        <v>1</v>
      </c>
      <c r="Z696" s="15">
        <f t="shared" si="140"/>
        <v>3</v>
      </c>
      <c r="AA696" s="15">
        <f t="shared" si="141"/>
        <v>2.6700000000000002E-2</v>
      </c>
    </row>
    <row r="697" spans="13:27" ht="16.5" x14ac:dyDescent="0.2">
      <c r="M697" s="15">
        <v>618</v>
      </c>
      <c r="N697" s="15">
        <f t="shared" si="130"/>
        <v>13</v>
      </c>
      <c r="O697" s="15">
        <f>INDEX(卡牌消耗!$H$13:$H$33,世界BOSS专属武器!N697)</f>
        <v>1501013</v>
      </c>
      <c r="P697" s="49" t="s">
        <v>480</v>
      </c>
      <c r="Q697" s="15">
        <f t="shared" si="131"/>
        <v>5</v>
      </c>
      <c r="R697" s="49" t="str">
        <f t="shared" si="132"/>
        <v>金币</v>
      </c>
      <c r="S697" s="15">
        <f t="shared" si="133"/>
        <v>500</v>
      </c>
      <c r="T697" s="15" t="str">
        <f t="shared" si="134"/>
        <v>低级专属强化石</v>
      </c>
      <c r="U697" s="15">
        <f t="shared" si="135"/>
        <v>4</v>
      </c>
      <c r="V697" s="15" t="str">
        <f t="shared" si="136"/>
        <v>[x]</v>
      </c>
      <c r="W697" s="15" t="str">
        <f t="shared" si="137"/>
        <v>[x]</v>
      </c>
      <c r="X697" s="15">
        <f t="shared" si="138"/>
        <v>0.44</v>
      </c>
      <c r="Y697" s="15">
        <f t="shared" si="139"/>
        <v>1</v>
      </c>
      <c r="Z697" s="15">
        <f t="shared" si="140"/>
        <v>3</v>
      </c>
      <c r="AA697" s="15">
        <f t="shared" si="141"/>
        <v>3.3300000000000003E-2</v>
      </c>
    </row>
    <row r="698" spans="13:27" ht="16.5" x14ac:dyDescent="0.2">
      <c r="M698" s="15">
        <v>619</v>
      </c>
      <c r="N698" s="15">
        <f t="shared" si="130"/>
        <v>13</v>
      </c>
      <c r="O698" s="15">
        <f>INDEX(卡牌消耗!$H$13:$H$33,世界BOSS专属武器!N698)</f>
        <v>1501013</v>
      </c>
      <c r="P698" s="49" t="s">
        <v>480</v>
      </c>
      <c r="Q698" s="15">
        <f t="shared" si="131"/>
        <v>6</v>
      </c>
      <c r="R698" s="49" t="str">
        <f t="shared" si="132"/>
        <v>金币</v>
      </c>
      <c r="S698" s="15">
        <f t="shared" si="133"/>
        <v>600</v>
      </c>
      <c r="T698" s="15" t="str">
        <f t="shared" si="134"/>
        <v>低级专属强化石</v>
      </c>
      <c r="U698" s="15">
        <f t="shared" si="135"/>
        <v>5</v>
      </c>
      <c r="V698" s="15" t="str">
        <f t="shared" si="136"/>
        <v>[x]</v>
      </c>
      <c r="W698" s="15" t="str">
        <f t="shared" si="137"/>
        <v>[x]</v>
      </c>
      <c r="X698" s="15">
        <f t="shared" si="138"/>
        <v>0.42</v>
      </c>
      <c r="Y698" s="15">
        <f t="shared" si="139"/>
        <v>1</v>
      </c>
      <c r="Z698" s="15">
        <f t="shared" si="140"/>
        <v>4</v>
      </c>
      <c r="AA698" s="15">
        <f t="shared" si="141"/>
        <v>0.04</v>
      </c>
    </row>
    <row r="699" spans="13:27" ht="16.5" x14ac:dyDescent="0.2">
      <c r="M699" s="15">
        <v>620</v>
      </c>
      <c r="N699" s="15">
        <f t="shared" si="130"/>
        <v>13</v>
      </c>
      <c r="O699" s="15">
        <f>INDEX(卡牌消耗!$H$13:$H$33,世界BOSS专属武器!N699)</f>
        <v>1501013</v>
      </c>
      <c r="P699" s="49" t="s">
        <v>480</v>
      </c>
      <c r="Q699" s="15">
        <f t="shared" si="131"/>
        <v>7</v>
      </c>
      <c r="R699" s="49" t="str">
        <f t="shared" si="132"/>
        <v>金币</v>
      </c>
      <c r="S699" s="15">
        <f t="shared" si="133"/>
        <v>700</v>
      </c>
      <c r="T699" s="15" t="str">
        <f t="shared" si="134"/>
        <v>低级专属强化石</v>
      </c>
      <c r="U699" s="15">
        <f t="shared" si="135"/>
        <v>5</v>
      </c>
      <c r="V699" s="15" t="str">
        <f t="shared" si="136"/>
        <v>[x]</v>
      </c>
      <c r="W699" s="15" t="str">
        <f t="shared" si="137"/>
        <v>[x]</v>
      </c>
      <c r="X699" s="15">
        <f t="shared" si="138"/>
        <v>0.4</v>
      </c>
      <c r="Y699" s="15">
        <f t="shared" si="139"/>
        <v>1</v>
      </c>
      <c r="Z699" s="15">
        <f t="shared" si="140"/>
        <v>4</v>
      </c>
      <c r="AA699" s="15">
        <f t="shared" si="141"/>
        <v>4.6699999999999998E-2</v>
      </c>
    </row>
    <row r="700" spans="13:27" ht="16.5" x14ac:dyDescent="0.2">
      <c r="M700" s="15">
        <v>621</v>
      </c>
      <c r="N700" s="15">
        <f t="shared" si="130"/>
        <v>13</v>
      </c>
      <c r="O700" s="15">
        <f>INDEX(卡牌消耗!$H$13:$H$33,世界BOSS专属武器!N700)</f>
        <v>1501013</v>
      </c>
      <c r="P700" s="49" t="s">
        <v>480</v>
      </c>
      <c r="Q700" s="15">
        <f t="shared" si="131"/>
        <v>8</v>
      </c>
      <c r="R700" s="49" t="str">
        <f t="shared" si="132"/>
        <v>金币</v>
      </c>
      <c r="S700" s="15">
        <f t="shared" si="133"/>
        <v>800</v>
      </c>
      <c r="T700" s="15" t="str">
        <f t="shared" si="134"/>
        <v>低级专属强化石</v>
      </c>
      <c r="U700" s="15">
        <f t="shared" si="135"/>
        <v>5</v>
      </c>
      <c r="V700" s="15" t="str">
        <f t="shared" si="136"/>
        <v>[x]</v>
      </c>
      <c r="W700" s="15" t="str">
        <f t="shared" si="137"/>
        <v>[x]</v>
      </c>
      <c r="X700" s="15">
        <f t="shared" si="138"/>
        <v>0.38</v>
      </c>
      <c r="Y700" s="15">
        <f t="shared" si="139"/>
        <v>1</v>
      </c>
      <c r="Z700" s="15">
        <f t="shared" si="140"/>
        <v>5</v>
      </c>
      <c r="AA700" s="15">
        <f t="shared" si="141"/>
        <v>5.33E-2</v>
      </c>
    </row>
    <row r="701" spans="13:27" ht="16.5" x14ac:dyDescent="0.2">
      <c r="M701" s="15">
        <v>622</v>
      </c>
      <c r="N701" s="15">
        <f t="shared" si="130"/>
        <v>13</v>
      </c>
      <c r="O701" s="15">
        <f>INDEX(卡牌消耗!$H$13:$H$33,世界BOSS专属武器!N701)</f>
        <v>1501013</v>
      </c>
      <c r="P701" s="49" t="s">
        <v>480</v>
      </c>
      <c r="Q701" s="15">
        <f t="shared" si="131"/>
        <v>9</v>
      </c>
      <c r="R701" s="49" t="str">
        <f t="shared" si="132"/>
        <v>金币</v>
      </c>
      <c r="S701" s="15">
        <f t="shared" si="133"/>
        <v>900</v>
      </c>
      <c r="T701" s="15" t="str">
        <f t="shared" si="134"/>
        <v>低级专属强化石</v>
      </c>
      <c r="U701" s="15">
        <f t="shared" si="135"/>
        <v>5</v>
      </c>
      <c r="V701" s="15" t="str">
        <f t="shared" si="136"/>
        <v>[x]</v>
      </c>
      <c r="W701" s="15" t="str">
        <f t="shared" si="137"/>
        <v>[x]</v>
      </c>
      <c r="X701" s="15">
        <f t="shared" si="138"/>
        <v>0.36</v>
      </c>
      <c r="Y701" s="15">
        <f t="shared" si="139"/>
        <v>1</v>
      </c>
      <c r="Z701" s="15">
        <f t="shared" si="140"/>
        <v>5</v>
      </c>
      <c r="AA701" s="15">
        <f t="shared" si="141"/>
        <v>0.06</v>
      </c>
    </row>
    <row r="702" spans="13:27" ht="16.5" x14ac:dyDescent="0.2">
      <c r="M702" s="15">
        <v>623</v>
      </c>
      <c r="N702" s="15">
        <f t="shared" si="130"/>
        <v>13</v>
      </c>
      <c r="O702" s="15">
        <f>INDEX(卡牌消耗!$H$13:$H$33,世界BOSS专属武器!N702)</f>
        <v>1501013</v>
      </c>
      <c r="P702" s="49" t="s">
        <v>480</v>
      </c>
      <c r="Q702" s="15">
        <f t="shared" si="131"/>
        <v>10</v>
      </c>
      <c r="R702" s="49" t="str">
        <f t="shared" si="132"/>
        <v>金币</v>
      </c>
      <c r="S702" s="15">
        <f t="shared" si="133"/>
        <v>1000</v>
      </c>
      <c r="T702" s="15" t="str">
        <f t="shared" si="134"/>
        <v>低级专属强化石</v>
      </c>
      <c r="U702" s="15">
        <f t="shared" si="135"/>
        <v>7</v>
      </c>
      <c r="V702" s="15" t="str">
        <f t="shared" si="136"/>
        <v>[x]</v>
      </c>
      <c r="W702" s="15" t="str">
        <f t="shared" si="137"/>
        <v>[x]</v>
      </c>
      <c r="X702" s="15">
        <f t="shared" si="138"/>
        <v>0.35</v>
      </c>
      <c r="Y702" s="15">
        <f t="shared" si="139"/>
        <v>1</v>
      </c>
      <c r="Z702" s="15">
        <f t="shared" si="140"/>
        <v>5</v>
      </c>
      <c r="AA702" s="15">
        <f t="shared" si="141"/>
        <v>6.6699999999999995E-2</v>
      </c>
    </row>
    <row r="703" spans="13:27" ht="16.5" x14ac:dyDescent="0.2">
      <c r="M703" s="15">
        <v>624</v>
      </c>
      <c r="N703" s="15">
        <f t="shared" si="130"/>
        <v>13</v>
      </c>
      <c r="O703" s="15">
        <f>INDEX(卡牌消耗!$H$13:$H$33,世界BOSS专属武器!N703)</f>
        <v>1501013</v>
      </c>
      <c r="P703" s="49" t="s">
        <v>480</v>
      </c>
      <c r="Q703" s="15">
        <f t="shared" si="131"/>
        <v>11</v>
      </c>
      <c r="R703" s="49" t="str">
        <f t="shared" si="132"/>
        <v>金币</v>
      </c>
      <c r="S703" s="15">
        <f t="shared" si="133"/>
        <v>1000</v>
      </c>
      <c r="T703" s="15" t="str">
        <f t="shared" si="134"/>
        <v>低级专属强化石</v>
      </c>
      <c r="U703" s="15">
        <f t="shared" si="135"/>
        <v>7</v>
      </c>
      <c r="V703" s="15" t="str">
        <f t="shared" si="136"/>
        <v>[x]</v>
      </c>
      <c r="W703" s="15" t="str">
        <f t="shared" si="137"/>
        <v>[x]</v>
      </c>
      <c r="X703" s="15">
        <f t="shared" si="138"/>
        <v>0.33</v>
      </c>
      <c r="Y703" s="15">
        <f t="shared" si="139"/>
        <v>1</v>
      </c>
      <c r="Z703" s="15">
        <f t="shared" si="140"/>
        <v>6</v>
      </c>
      <c r="AA703" s="15">
        <f t="shared" si="141"/>
        <v>0.08</v>
      </c>
    </row>
    <row r="704" spans="13:27" ht="16.5" x14ac:dyDescent="0.2">
      <c r="M704" s="15">
        <v>625</v>
      </c>
      <c r="N704" s="15">
        <f t="shared" si="130"/>
        <v>13</v>
      </c>
      <c r="O704" s="15">
        <f>INDEX(卡牌消耗!$H$13:$H$33,世界BOSS专属武器!N704)</f>
        <v>1501013</v>
      </c>
      <c r="P704" s="49" t="s">
        <v>480</v>
      </c>
      <c r="Q704" s="15">
        <f t="shared" si="131"/>
        <v>12</v>
      </c>
      <c r="R704" s="49" t="str">
        <f t="shared" si="132"/>
        <v>金币</v>
      </c>
      <c r="S704" s="15">
        <f t="shared" si="133"/>
        <v>1000</v>
      </c>
      <c r="T704" s="15" t="str">
        <f t="shared" si="134"/>
        <v>低级专属强化石</v>
      </c>
      <c r="U704" s="15">
        <f t="shared" si="135"/>
        <v>7</v>
      </c>
      <c r="V704" s="15" t="str">
        <f t="shared" si="136"/>
        <v>[x]</v>
      </c>
      <c r="W704" s="15" t="str">
        <f t="shared" si="137"/>
        <v>[x]</v>
      </c>
      <c r="X704" s="15">
        <f t="shared" si="138"/>
        <v>0.31</v>
      </c>
      <c r="Y704" s="15">
        <f t="shared" si="139"/>
        <v>1</v>
      </c>
      <c r="Z704" s="15">
        <f t="shared" si="140"/>
        <v>6</v>
      </c>
      <c r="AA704" s="15">
        <f t="shared" si="141"/>
        <v>9.3299999999999994E-2</v>
      </c>
    </row>
    <row r="705" spans="13:27" ht="16.5" x14ac:dyDescent="0.2">
      <c r="M705" s="15">
        <v>626</v>
      </c>
      <c r="N705" s="15">
        <f t="shared" si="130"/>
        <v>13</v>
      </c>
      <c r="O705" s="15">
        <f>INDEX(卡牌消耗!$H$13:$H$33,世界BOSS专属武器!N705)</f>
        <v>1501013</v>
      </c>
      <c r="P705" s="49" t="s">
        <v>480</v>
      </c>
      <c r="Q705" s="15">
        <f t="shared" si="131"/>
        <v>13</v>
      </c>
      <c r="R705" s="49" t="str">
        <f t="shared" si="132"/>
        <v>金币</v>
      </c>
      <c r="S705" s="15">
        <f t="shared" si="133"/>
        <v>1000</v>
      </c>
      <c r="T705" s="15" t="str">
        <f t="shared" si="134"/>
        <v>低级专属强化石</v>
      </c>
      <c r="U705" s="15">
        <f t="shared" si="135"/>
        <v>7</v>
      </c>
      <c r="V705" s="15" t="str">
        <f t="shared" si="136"/>
        <v>[x]</v>
      </c>
      <c r="W705" s="15" t="str">
        <f t="shared" si="137"/>
        <v>[x]</v>
      </c>
      <c r="X705" s="15">
        <f t="shared" si="138"/>
        <v>0.28999999999999998</v>
      </c>
      <c r="Y705" s="15">
        <f t="shared" si="139"/>
        <v>1</v>
      </c>
      <c r="Z705" s="15">
        <f t="shared" si="140"/>
        <v>7</v>
      </c>
      <c r="AA705" s="15">
        <f t="shared" si="141"/>
        <v>0.1067</v>
      </c>
    </row>
    <row r="706" spans="13:27" ht="16.5" x14ac:dyDescent="0.2">
      <c r="M706" s="15">
        <v>627</v>
      </c>
      <c r="N706" s="15">
        <f t="shared" si="130"/>
        <v>13</v>
      </c>
      <c r="O706" s="15">
        <f>INDEX(卡牌消耗!$H$13:$H$33,世界BOSS专属武器!N706)</f>
        <v>1501013</v>
      </c>
      <c r="P706" s="49" t="s">
        <v>480</v>
      </c>
      <c r="Q706" s="15">
        <f t="shared" si="131"/>
        <v>14</v>
      </c>
      <c r="R706" s="49" t="str">
        <f t="shared" si="132"/>
        <v>金币</v>
      </c>
      <c r="S706" s="15">
        <f t="shared" si="133"/>
        <v>1000</v>
      </c>
      <c r="T706" s="15" t="str">
        <f t="shared" si="134"/>
        <v>低级专属强化石</v>
      </c>
      <c r="U706" s="15">
        <f t="shared" si="135"/>
        <v>7</v>
      </c>
      <c r="V706" s="15" t="str">
        <f t="shared" si="136"/>
        <v>[x]</v>
      </c>
      <c r="W706" s="15" t="str">
        <f t="shared" si="137"/>
        <v>[x]</v>
      </c>
      <c r="X706" s="15">
        <f t="shared" si="138"/>
        <v>0.27</v>
      </c>
      <c r="Y706" s="15">
        <f t="shared" si="139"/>
        <v>1</v>
      </c>
      <c r="Z706" s="15">
        <f t="shared" si="140"/>
        <v>7</v>
      </c>
      <c r="AA706" s="15">
        <f t="shared" si="141"/>
        <v>0.12</v>
      </c>
    </row>
    <row r="707" spans="13:27" ht="16.5" x14ac:dyDescent="0.2">
      <c r="M707" s="15">
        <v>628</v>
      </c>
      <c r="N707" s="15">
        <f t="shared" si="130"/>
        <v>13</v>
      </c>
      <c r="O707" s="15">
        <f>INDEX(卡牌消耗!$H$13:$H$33,世界BOSS专属武器!N707)</f>
        <v>1501013</v>
      </c>
      <c r="P707" s="49" t="s">
        <v>480</v>
      </c>
      <c r="Q707" s="15">
        <f t="shared" si="131"/>
        <v>15</v>
      </c>
      <c r="R707" s="49" t="str">
        <f t="shared" si="132"/>
        <v>金币</v>
      </c>
      <c r="S707" s="15">
        <f t="shared" si="133"/>
        <v>1000</v>
      </c>
      <c r="T707" s="15" t="str">
        <f t="shared" si="134"/>
        <v>低级专属强化石</v>
      </c>
      <c r="U707" s="15">
        <f t="shared" si="135"/>
        <v>10</v>
      </c>
      <c r="V707" s="15" t="str">
        <f t="shared" si="136"/>
        <v>[x]</v>
      </c>
      <c r="W707" s="15" t="str">
        <f t="shared" si="137"/>
        <v>[x]</v>
      </c>
      <c r="X707" s="15">
        <f t="shared" si="138"/>
        <v>0.25</v>
      </c>
      <c r="Y707" s="15">
        <f t="shared" si="139"/>
        <v>1</v>
      </c>
      <c r="Z707" s="15">
        <f t="shared" si="140"/>
        <v>8</v>
      </c>
      <c r="AA707" s="15">
        <f t="shared" si="141"/>
        <v>0.1333</v>
      </c>
    </row>
    <row r="708" spans="13:27" ht="16.5" x14ac:dyDescent="0.2">
      <c r="M708" s="15">
        <v>629</v>
      </c>
      <c r="N708" s="15">
        <f t="shared" si="130"/>
        <v>13</v>
      </c>
      <c r="O708" s="15">
        <f>INDEX(卡牌消耗!$H$13:$H$33,世界BOSS专属武器!N708)</f>
        <v>1501013</v>
      </c>
      <c r="P708" s="49" t="s">
        <v>480</v>
      </c>
      <c r="Q708" s="15">
        <f t="shared" si="131"/>
        <v>16</v>
      </c>
      <c r="R708" s="49" t="str">
        <f t="shared" si="132"/>
        <v>金币</v>
      </c>
      <c r="S708" s="15">
        <f t="shared" si="133"/>
        <v>1000</v>
      </c>
      <c r="T708" s="15" t="str">
        <f t="shared" si="134"/>
        <v>低级专属强化石</v>
      </c>
      <c r="U708" s="15">
        <f t="shared" si="135"/>
        <v>10</v>
      </c>
      <c r="V708" s="15" t="str">
        <f t="shared" si="136"/>
        <v>[x]</v>
      </c>
      <c r="W708" s="15" t="str">
        <f t="shared" si="137"/>
        <v>[x]</v>
      </c>
      <c r="X708" s="15">
        <f t="shared" si="138"/>
        <v>0.23</v>
      </c>
      <c r="Y708" s="15">
        <f t="shared" si="139"/>
        <v>1</v>
      </c>
      <c r="Z708" s="15">
        <f t="shared" si="140"/>
        <v>9</v>
      </c>
      <c r="AA708" s="15">
        <f t="shared" si="141"/>
        <v>0.1467</v>
      </c>
    </row>
    <row r="709" spans="13:27" ht="16.5" x14ac:dyDescent="0.2">
      <c r="M709" s="15">
        <v>630</v>
      </c>
      <c r="N709" s="15">
        <f t="shared" si="130"/>
        <v>13</v>
      </c>
      <c r="O709" s="15">
        <f>INDEX(卡牌消耗!$H$13:$H$33,世界BOSS专属武器!N709)</f>
        <v>1501013</v>
      </c>
      <c r="P709" s="49" t="s">
        <v>480</v>
      </c>
      <c r="Q709" s="15">
        <f t="shared" si="131"/>
        <v>17</v>
      </c>
      <c r="R709" s="49" t="str">
        <f t="shared" si="132"/>
        <v>金币</v>
      </c>
      <c r="S709" s="15">
        <f t="shared" si="133"/>
        <v>1000</v>
      </c>
      <c r="T709" s="15" t="str">
        <f t="shared" si="134"/>
        <v>低级专属强化石</v>
      </c>
      <c r="U709" s="15">
        <f t="shared" si="135"/>
        <v>10</v>
      </c>
      <c r="V709" s="15" t="str">
        <f t="shared" si="136"/>
        <v>[x]</v>
      </c>
      <c r="W709" s="15" t="str">
        <f t="shared" si="137"/>
        <v>[x]</v>
      </c>
      <c r="X709" s="15">
        <f t="shared" si="138"/>
        <v>0.21</v>
      </c>
      <c r="Y709" s="15">
        <f t="shared" si="139"/>
        <v>1</v>
      </c>
      <c r="Z709" s="15">
        <f t="shared" si="140"/>
        <v>10</v>
      </c>
      <c r="AA709" s="15">
        <f t="shared" si="141"/>
        <v>0.16</v>
      </c>
    </row>
    <row r="710" spans="13:27" ht="16.5" x14ac:dyDescent="0.2">
      <c r="M710" s="15">
        <v>631</v>
      </c>
      <c r="N710" s="15">
        <f t="shared" si="130"/>
        <v>13</v>
      </c>
      <c r="O710" s="15">
        <f>INDEX(卡牌消耗!$H$13:$H$33,世界BOSS专属武器!N710)</f>
        <v>1501013</v>
      </c>
      <c r="P710" s="49" t="s">
        <v>480</v>
      </c>
      <c r="Q710" s="15">
        <f t="shared" si="131"/>
        <v>18</v>
      </c>
      <c r="R710" s="49" t="str">
        <f t="shared" si="132"/>
        <v>金币</v>
      </c>
      <c r="S710" s="15">
        <f t="shared" si="133"/>
        <v>1000</v>
      </c>
      <c r="T710" s="15" t="str">
        <f t="shared" si="134"/>
        <v>低级专属强化石</v>
      </c>
      <c r="U710" s="15">
        <f t="shared" si="135"/>
        <v>10</v>
      </c>
      <c r="V710" s="15" t="str">
        <f t="shared" si="136"/>
        <v>[x]</v>
      </c>
      <c r="W710" s="15" t="str">
        <f t="shared" si="137"/>
        <v>[x]</v>
      </c>
      <c r="X710" s="15">
        <f t="shared" si="138"/>
        <v>0.19</v>
      </c>
      <c r="Y710" s="15">
        <f t="shared" si="139"/>
        <v>1</v>
      </c>
      <c r="Z710" s="15">
        <f t="shared" si="140"/>
        <v>11</v>
      </c>
      <c r="AA710" s="15">
        <f t="shared" si="141"/>
        <v>0.17330000000000001</v>
      </c>
    </row>
    <row r="711" spans="13:27" ht="16.5" x14ac:dyDescent="0.2">
      <c r="M711" s="15">
        <v>632</v>
      </c>
      <c r="N711" s="15">
        <f t="shared" si="130"/>
        <v>13</v>
      </c>
      <c r="O711" s="15">
        <f>INDEX(卡牌消耗!$H$13:$H$33,世界BOSS专属武器!N711)</f>
        <v>1501013</v>
      </c>
      <c r="P711" s="49" t="s">
        <v>480</v>
      </c>
      <c r="Q711" s="15">
        <f t="shared" si="131"/>
        <v>19</v>
      </c>
      <c r="R711" s="49" t="str">
        <f t="shared" si="132"/>
        <v>金币</v>
      </c>
      <c r="S711" s="15">
        <f t="shared" si="133"/>
        <v>1000</v>
      </c>
      <c r="T711" s="15" t="str">
        <f t="shared" si="134"/>
        <v>低级专属强化石</v>
      </c>
      <c r="U711" s="15">
        <f t="shared" si="135"/>
        <v>10</v>
      </c>
      <c r="V711" s="15" t="str">
        <f t="shared" si="136"/>
        <v>[x]</v>
      </c>
      <c r="W711" s="15" t="str">
        <f t="shared" si="137"/>
        <v>[x]</v>
      </c>
      <c r="X711" s="15">
        <f t="shared" si="138"/>
        <v>0.17</v>
      </c>
      <c r="Y711" s="15">
        <f t="shared" si="139"/>
        <v>1</v>
      </c>
      <c r="Z711" s="15">
        <f t="shared" si="140"/>
        <v>12</v>
      </c>
      <c r="AA711" s="15">
        <f t="shared" si="141"/>
        <v>0.1867</v>
      </c>
    </row>
    <row r="712" spans="13:27" ht="16.5" x14ac:dyDescent="0.2">
      <c r="M712" s="15">
        <v>633</v>
      </c>
      <c r="N712" s="15">
        <f t="shared" si="130"/>
        <v>13</v>
      </c>
      <c r="O712" s="15">
        <f>INDEX(卡牌消耗!$H$13:$H$33,世界BOSS专属武器!N712)</f>
        <v>1501013</v>
      </c>
      <c r="P712" s="49" t="s">
        <v>480</v>
      </c>
      <c r="Q712" s="15">
        <f t="shared" si="131"/>
        <v>20</v>
      </c>
      <c r="R712" s="49" t="str">
        <f t="shared" si="132"/>
        <v>金币</v>
      </c>
      <c r="S712" s="15">
        <f t="shared" si="133"/>
        <v>5000</v>
      </c>
      <c r="T712" s="15" t="str">
        <f t="shared" si="134"/>
        <v>低级专属强化石</v>
      </c>
      <c r="U712" s="15">
        <f t="shared" si="135"/>
        <v>15</v>
      </c>
      <c r="V712" s="15" t="str">
        <f t="shared" si="136"/>
        <v>中级专属强化石</v>
      </c>
      <c r="W712" s="15">
        <f t="shared" si="137"/>
        <v>7</v>
      </c>
      <c r="X712" s="15">
        <f t="shared" si="138"/>
        <v>0.15</v>
      </c>
      <c r="Y712" s="15">
        <f t="shared" si="139"/>
        <v>1</v>
      </c>
      <c r="Z712" s="15">
        <f t="shared" si="140"/>
        <v>15</v>
      </c>
      <c r="AA712" s="15">
        <f t="shared" si="141"/>
        <v>0.2</v>
      </c>
    </row>
    <row r="713" spans="13:27" ht="16.5" x14ac:dyDescent="0.2">
      <c r="M713" s="15">
        <v>634</v>
      </c>
      <c r="N713" s="15">
        <f t="shared" si="130"/>
        <v>13</v>
      </c>
      <c r="O713" s="15">
        <f>INDEX(卡牌消耗!$H$13:$H$33,世界BOSS专属武器!N713)</f>
        <v>1501013</v>
      </c>
      <c r="P713" s="49" t="s">
        <v>480</v>
      </c>
      <c r="Q713" s="15">
        <f t="shared" si="131"/>
        <v>21</v>
      </c>
      <c r="R713" s="49" t="str">
        <f t="shared" si="132"/>
        <v>金币</v>
      </c>
      <c r="S713" s="15">
        <f t="shared" si="133"/>
        <v>5000</v>
      </c>
      <c r="T713" s="15" t="str">
        <f t="shared" si="134"/>
        <v>低级专属强化石</v>
      </c>
      <c r="U713" s="15">
        <f t="shared" si="135"/>
        <v>15</v>
      </c>
      <c r="V713" s="15" t="str">
        <f t="shared" si="136"/>
        <v>中级专属强化石</v>
      </c>
      <c r="W713" s="15">
        <f t="shared" si="137"/>
        <v>7</v>
      </c>
      <c r="X713" s="15">
        <f t="shared" si="138"/>
        <v>0.15</v>
      </c>
      <c r="Y713" s="15">
        <f t="shared" si="139"/>
        <v>1</v>
      </c>
      <c r="Z713" s="15">
        <f t="shared" si="140"/>
        <v>15</v>
      </c>
      <c r="AA713" s="15">
        <f t="shared" si="141"/>
        <v>0.22</v>
      </c>
    </row>
    <row r="714" spans="13:27" ht="16.5" x14ac:dyDescent="0.2">
      <c r="M714" s="15">
        <v>635</v>
      </c>
      <c r="N714" s="15">
        <f t="shared" si="130"/>
        <v>13</v>
      </c>
      <c r="O714" s="15">
        <f>INDEX(卡牌消耗!$H$13:$H$33,世界BOSS专属武器!N714)</f>
        <v>1501013</v>
      </c>
      <c r="P714" s="49" t="s">
        <v>480</v>
      </c>
      <c r="Q714" s="15">
        <f t="shared" si="131"/>
        <v>22</v>
      </c>
      <c r="R714" s="49" t="str">
        <f t="shared" si="132"/>
        <v>金币</v>
      </c>
      <c r="S714" s="15">
        <f t="shared" si="133"/>
        <v>5000</v>
      </c>
      <c r="T714" s="15" t="str">
        <f t="shared" si="134"/>
        <v>低级专属强化石</v>
      </c>
      <c r="U714" s="15">
        <f t="shared" si="135"/>
        <v>15</v>
      </c>
      <c r="V714" s="15" t="str">
        <f t="shared" si="136"/>
        <v>中级专属强化石</v>
      </c>
      <c r="W714" s="15">
        <f t="shared" si="137"/>
        <v>7</v>
      </c>
      <c r="X714" s="15">
        <f t="shared" si="138"/>
        <v>0.15</v>
      </c>
      <c r="Y714" s="15">
        <f t="shared" si="139"/>
        <v>1</v>
      </c>
      <c r="Z714" s="15">
        <f t="shared" si="140"/>
        <v>15</v>
      </c>
      <c r="AA714" s="15">
        <f t="shared" si="141"/>
        <v>0.24</v>
      </c>
    </row>
    <row r="715" spans="13:27" ht="16.5" x14ac:dyDescent="0.2">
      <c r="M715" s="15">
        <v>636</v>
      </c>
      <c r="N715" s="15">
        <f t="shared" si="130"/>
        <v>13</v>
      </c>
      <c r="O715" s="15">
        <f>INDEX(卡牌消耗!$H$13:$H$33,世界BOSS专属武器!N715)</f>
        <v>1501013</v>
      </c>
      <c r="P715" s="49" t="s">
        <v>480</v>
      </c>
      <c r="Q715" s="15">
        <f t="shared" si="131"/>
        <v>23</v>
      </c>
      <c r="R715" s="49" t="str">
        <f t="shared" si="132"/>
        <v>金币</v>
      </c>
      <c r="S715" s="15">
        <f t="shared" si="133"/>
        <v>5000</v>
      </c>
      <c r="T715" s="15" t="str">
        <f t="shared" si="134"/>
        <v>低级专属强化石</v>
      </c>
      <c r="U715" s="15">
        <f t="shared" si="135"/>
        <v>15</v>
      </c>
      <c r="V715" s="15" t="str">
        <f t="shared" si="136"/>
        <v>中级专属强化石</v>
      </c>
      <c r="W715" s="15">
        <f t="shared" si="137"/>
        <v>7</v>
      </c>
      <c r="X715" s="15">
        <f t="shared" si="138"/>
        <v>0.15</v>
      </c>
      <c r="Y715" s="15">
        <f t="shared" si="139"/>
        <v>1</v>
      </c>
      <c r="Z715" s="15">
        <f t="shared" si="140"/>
        <v>18</v>
      </c>
      <c r="AA715" s="15">
        <f t="shared" si="141"/>
        <v>0.26</v>
      </c>
    </row>
    <row r="716" spans="13:27" ht="16.5" x14ac:dyDescent="0.2">
      <c r="M716" s="15">
        <v>637</v>
      </c>
      <c r="N716" s="15">
        <f t="shared" si="130"/>
        <v>13</v>
      </c>
      <c r="O716" s="15">
        <f>INDEX(卡牌消耗!$H$13:$H$33,世界BOSS专属武器!N716)</f>
        <v>1501013</v>
      </c>
      <c r="P716" s="49" t="s">
        <v>480</v>
      </c>
      <c r="Q716" s="15">
        <f t="shared" si="131"/>
        <v>24</v>
      </c>
      <c r="R716" s="49" t="str">
        <f t="shared" si="132"/>
        <v>金币</v>
      </c>
      <c r="S716" s="15">
        <f t="shared" si="133"/>
        <v>5000</v>
      </c>
      <c r="T716" s="15" t="str">
        <f t="shared" si="134"/>
        <v>低级专属强化石</v>
      </c>
      <c r="U716" s="15">
        <f t="shared" si="135"/>
        <v>15</v>
      </c>
      <c r="V716" s="15" t="str">
        <f t="shared" si="136"/>
        <v>中级专属强化石</v>
      </c>
      <c r="W716" s="15">
        <f t="shared" si="137"/>
        <v>7</v>
      </c>
      <c r="X716" s="15">
        <f t="shared" si="138"/>
        <v>0.15</v>
      </c>
      <c r="Y716" s="15">
        <f t="shared" si="139"/>
        <v>1</v>
      </c>
      <c r="Z716" s="15">
        <f t="shared" si="140"/>
        <v>18</v>
      </c>
      <c r="AA716" s="15">
        <f t="shared" si="141"/>
        <v>0.28000000000000003</v>
      </c>
    </row>
    <row r="717" spans="13:27" ht="16.5" x14ac:dyDescent="0.2">
      <c r="M717" s="15">
        <v>638</v>
      </c>
      <c r="N717" s="15">
        <f t="shared" si="130"/>
        <v>13</v>
      </c>
      <c r="O717" s="15">
        <f>INDEX(卡牌消耗!$H$13:$H$33,世界BOSS专属武器!N717)</f>
        <v>1501013</v>
      </c>
      <c r="P717" s="49" t="s">
        <v>480</v>
      </c>
      <c r="Q717" s="15">
        <f t="shared" si="131"/>
        <v>25</v>
      </c>
      <c r="R717" s="49" t="str">
        <f t="shared" si="132"/>
        <v>金币</v>
      </c>
      <c r="S717" s="15">
        <f t="shared" si="133"/>
        <v>5000</v>
      </c>
      <c r="T717" s="15" t="str">
        <f t="shared" si="134"/>
        <v>低级专属强化石</v>
      </c>
      <c r="U717" s="15">
        <f t="shared" si="135"/>
        <v>15</v>
      </c>
      <c r="V717" s="15" t="str">
        <f t="shared" si="136"/>
        <v>中级专属强化石</v>
      </c>
      <c r="W717" s="15">
        <f t="shared" si="137"/>
        <v>7</v>
      </c>
      <c r="X717" s="15">
        <f t="shared" si="138"/>
        <v>0.15</v>
      </c>
      <c r="Y717" s="15">
        <f t="shared" si="139"/>
        <v>1</v>
      </c>
      <c r="Z717" s="15">
        <f t="shared" si="140"/>
        <v>18</v>
      </c>
      <c r="AA717" s="15">
        <f t="shared" si="141"/>
        <v>0.3</v>
      </c>
    </row>
    <row r="718" spans="13:27" ht="16.5" x14ac:dyDescent="0.2">
      <c r="M718" s="15">
        <v>639</v>
      </c>
      <c r="N718" s="15">
        <f t="shared" si="130"/>
        <v>13</v>
      </c>
      <c r="O718" s="15">
        <f>INDEX(卡牌消耗!$H$13:$H$33,世界BOSS专属武器!N718)</f>
        <v>1501013</v>
      </c>
      <c r="P718" s="49" t="s">
        <v>480</v>
      </c>
      <c r="Q718" s="15">
        <f t="shared" si="131"/>
        <v>26</v>
      </c>
      <c r="R718" s="49" t="str">
        <f t="shared" si="132"/>
        <v>金币</v>
      </c>
      <c r="S718" s="15">
        <f t="shared" si="133"/>
        <v>5000</v>
      </c>
      <c r="T718" s="15" t="str">
        <f t="shared" si="134"/>
        <v>低级专属强化石</v>
      </c>
      <c r="U718" s="15">
        <f t="shared" si="135"/>
        <v>15</v>
      </c>
      <c r="V718" s="15" t="str">
        <f t="shared" si="136"/>
        <v>中级专属强化石</v>
      </c>
      <c r="W718" s="15">
        <f t="shared" si="137"/>
        <v>7</v>
      </c>
      <c r="X718" s="15">
        <f t="shared" si="138"/>
        <v>0.15</v>
      </c>
      <c r="Y718" s="15">
        <f t="shared" si="139"/>
        <v>1</v>
      </c>
      <c r="Z718" s="15">
        <f t="shared" si="140"/>
        <v>21</v>
      </c>
      <c r="AA718" s="15">
        <f t="shared" si="141"/>
        <v>0.32</v>
      </c>
    </row>
    <row r="719" spans="13:27" ht="16.5" x14ac:dyDescent="0.2">
      <c r="M719" s="15">
        <v>640</v>
      </c>
      <c r="N719" s="15">
        <f t="shared" si="130"/>
        <v>13</v>
      </c>
      <c r="O719" s="15">
        <f>INDEX(卡牌消耗!$H$13:$H$33,世界BOSS专属武器!N719)</f>
        <v>1501013</v>
      </c>
      <c r="P719" s="49" t="s">
        <v>480</v>
      </c>
      <c r="Q719" s="15">
        <f t="shared" si="131"/>
        <v>27</v>
      </c>
      <c r="R719" s="49" t="str">
        <f t="shared" si="132"/>
        <v>金币</v>
      </c>
      <c r="S719" s="15">
        <f t="shared" si="133"/>
        <v>5000</v>
      </c>
      <c r="T719" s="15" t="str">
        <f t="shared" si="134"/>
        <v>低级专属强化石</v>
      </c>
      <c r="U719" s="15">
        <f t="shared" si="135"/>
        <v>15</v>
      </c>
      <c r="V719" s="15" t="str">
        <f t="shared" si="136"/>
        <v>中级专属强化石</v>
      </c>
      <c r="W719" s="15">
        <f t="shared" si="137"/>
        <v>7</v>
      </c>
      <c r="X719" s="15">
        <f t="shared" si="138"/>
        <v>0.15</v>
      </c>
      <c r="Y719" s="15">
        <f t="shared" si="139"/>
        <v>1</v>
      </c>
      <c r="Z719" s="15">
        <f t="shared" si="140"/>
        <v>22</v>
      </c>
      <c r="AA719" s="15">
        <f t="shared" si="141"/>
        <v>0.34</v>
      </c>
    </row>
    <row r="720" spans="13:27" ht="16.5" x14ac:dyDescent="0.2">
      <c r="M720" s="15">
        <v>641</v>
      </c>
      <c r="N720" s="15">
        <f t="shared" si="130"/>
        <v>13</v>
      </c>
      <c r="O720" s="15">
        <f>INDEX(卡牌消耗!$H$13:$H$33,世界BOSS专属武器!N720)</f>
        <v>1501013</v>
      </c>
      <c r="P720" s="49" t="s">
        <v>480</v>
      </c>
      <c r="Q720" s="15">
        <f t="shared" si="131"/>
        <v>28</v>
      </c>
      <c r="R720" s="49" t="str">
        <f t="shared" si="132"/>
        <v>金币</v>
      </c>
      <c r="S720" s="15">
        <f t="shared" si="133"/>
        <v>5000</v>
      </c>
      <c r="T720" s="15" t="str">
        <f t="shared" si="134"/>
        <v>低级专属强化石</v>
      </c>
      <c r="U720" s="15">
        <f t="shared" si="135"/>
        <v>15</v>
      </c>
      <c r="V720" s="15" t="str">
        <f t="shared" si="136"/>
        <v>中级专属强化石</v>
      </c>
      <c r="W720" s="15">
        <f t="shared" si="137"/>
        <v>7</v>
      </c>
      <c r="X720" s="15">
        <f t="shared" si="138"/>
        <v>0.15</v>
      </c>
      <c r="Y720" s="15">
        <f t="shared" si="139"/>
        <v>1</v>
      </c>
      <c r="Z720" s="15">
        <f t="shared" si="140"/>
        <v>23</v>
      </c>
      <c r="AA720" s="15">
        <f t="shared" si="141"/>
        <v>0.36</v>
      </c>
    </row>
    <row r="721" spans="13:27" ht="16.5" x14ac:dyDescent="0.2">
      <c r="M721" s="15">
        <v>642</v>
      </c>
      <c r="N721" s="15">
        <f t="shared" ref="N721:N784" si="142">INT((M721-1)/51)+1</f>
        <v>13</v>
      </c>
      <c r="O721" s="15">
        <f>INDEX(卡牌消耗!$H$13:$H$33,世界BOSS专属武器!N721)</f>
        <v>1501013</v>
      </c>
      <c r="P721" s="49" t="s">
        <v>480</v>
      </c>
      <c r="Q721" s="15">
        <f t="shared" ref="Q721:Q784" si="143">MOD(M721-1,51)</f>
        <v>29</v>
      </c>
      <c r="R721" s="49" t="str">
        <f t="shared" ref="R721:R784" si="144">IF(Q721&gt;0,"金币","[x]")</f>
        <v>金币</v>
      </c>
      <c r="S721" s="15">
        <f t="shared" ref="S721:S784" si="145">IF(Q721&gt;0,INDEX($V$27:$V$76,Q721),"[x]")</f>
        <v>5000</v>
      </c>
      <c r="T721" s="15" t="str">
        <f t="shared" ref="T721:T784" si="146">IF(Q721&gt;0,INDEX($W$27:$W$76,Q721),"[x]")</f>
        <v>低级专属强化石</v>
      </c>
      <c r="U721" s="15">
        <f t="shared" ref="U721:U784" si="147">IF(Q721&gt;0,INDEX($AA$27:$AF$76,Q721,INDEX($Y$27:$Y$76,Q721)),"[x]")</f>
        <v>15</v>
      </c>
      <c r="V721" s="15" t="str">
        <f t="shared" ref="V721:V784" si="148">IF(AND(Q721&gt;=20,Q721&lt;40),INDEX($X$27:$X$76,Q721),"[x]")</f>
        <v>中级专属强化石</v>
      </c>
      <c r="W721" s="15">
        <f t="shared" ref="W721:W784" si="149">IF(AND(Q721&gt;=20,Q721&lt;40),INDEX($AA$27:$AF$76,Q721,INDEX($Z$27:$Z$76,Q721)),"[x]")</f>
        <v>7</v>
      </c>
      <c r="X721" s="15">
        <f t="shared" ref="X721:X784" si="150">IF(Q721&gt;0,INDEX($T$27:$T$76,Q721),"[x]")</f>
        <v>0.15</v>
      </c>
      <c r="Y721" s="15">
        <f t="shared" ref="Y721:Y784" si="151">IF(Q721&gt;0,1,"[x]")</f>
        <v>1</v>
      </c>
      <c r="Z721" s="15">
        <f t="shared" ref="Z721:Z784" si="152">IF(Q721&gt;0,INDEX($AG$27:$AG$76,Q721),"[x]")</f>
        <v>25</v>
      </c>
      <c r="AA721" s="15">
        <f t="shared" ref="AA721:AA784" si="153">IF(Q721&gt;0,INDEX($AL$27:$AL$76,Q721),"[x]")</f>
        <v>0.38</v>
      </c>
    </row>
    <row r="722" spans="13:27" ht="16.5" x14ac:dyDescent="0.2">
      <c r="M722" s="15">
        <v>643</v>
      </c>
      <c r="N722" s="15">
        <f t="shared" si="142"/>
        <v>13</v>
      </c>
      <c r="O722" s="15">
        <f>INDEX(卡牌消耗!$H$13:$H$33,世界BOSS专属武器!N722)</f>
        <v>1501013</v>
      </c>
      <c r="P722" s="49" t="s">
        <v>480</v>
      </c>
      <c r="Q722" s="15">
        <f t="shared" si="143"/>
        <v>30</v>
      </c>
      <c r="R722" s="49" t="str">
        <f t="shared" si="144"/>
        <v>金币</v>
      </c>
      <c r="S722" s="15">
        <f t="shared" si="145"/>
        <v>10000</v>
      </c>
      <c r="T722" s="15" t="str">
        <f t="shared" si="146"/>
        <v>中级专属强化石</v>
      </c>
      <c r="U722" s="15">
        <f t="shared" si="147"/>
        <v>8</v>
      </c>
      <c r="V722" s="15" t="str">
        <f t="shared" si="148"/>
        <v>高级专属强化石</v>
      </c>
      <c r="W722" s="15">
        <f t="shared" si="149"/>
        <v>3</v>
      </c>
      <c r="X722" s="15">
        <f t="shared" si="150"/>
        <v>0.1</v>
      </c>
      <c r="Y722" s="15">
        <f t="shared" si="151"/>
        <v>1</v>
      </c>
      <c r="Z722" s="15">
        <f t="shared" si="152"/>
        <v>30</v>
      </c>
      <c r="AA722" s="15">
        <f t="shared" si="153"/>
        <v>0.4</v>
      </c>
    </row>
    <row r="723" spans="13:27" ht="16.5" x14ac:dyDescent="0.2">
      <c r="M723" s="15">
        <v>644</v>
      </c>
      <c r="N723" s="15">
        <f t="shared" si="142"/>
        <v>13</v>
      </c>
      <c r="O723" s="15">
        <f>INDEX(卡牌消耗!$H$13:$H$33,世界BOSS专属武器!N723)</f>
        <v>1501013</v>
      </c>
      <c r="P723" s="49" t="s">
        <v>480</v>
      </c>
      <c r="Q723" s="15">
        <f t="shared" si="143"/>
        <v>31</v>
      </c>
      <c r="R723" s="49" t="str">
        <f t="shared" si="144"/>
        <v>金币</v>
      </c>
      <c r="S723" s="15">
        <f t="shared" si="145"/>
        <v>10000</v>
      </c>
      <c r="T723" s="15" t="str">
        <f t="shared" si="146"/>
        <v>中级专属强化石</v>
      </c>
      <c r="U723" s="15">
        <f t="shared" si="147"/>
        <v>8</v>
      </c>
      <c r="V723" s="15" t="str">
        <f t="shared" si="148"/>
        <v>高级专属强化石</v>
      </c>
      <c r="W723" s="15">
        <f t="shared" si="149"/>
        <v>3</v>
      </c>
      <c r="X723" s="15">
        <f t="shared" si="150"/>
        <v>0.1</v>
      </c>
      <c r="Y723" s="15">
        <f t="shared" si="151"/>
        <v>1</v>
      </c>
      <c r="Z723" s="15">
        <f t="shared" si="152"/>
        <v>30</v>
      </c>
      <c r="AA723" s="15">
        <f t="shared" si="153"/>
        <v>0.42670000000000002</v>
      </c>
    </row>
    <row r="724" spans="13:27" ht="16.5" x14ac:dyDescent="0.2">
      <c r="M724" s="15">
        <v>645</v>
      </c>
      <c r="N724" s="15">
        <f t="shared" si="142"/>
        <v>13</v>
      </c>
      <c r="O724" s="15">
        <f>INDEX(卡牌消耗!$H$13:$H$33,世界BOSS专属武器!N724)</f>
        <v>1501013</v>
      </c>
      <c r="P724" s="49" t="s">
        <v>480</v>
      </c>
      <c r="Q724" s="15">
        <f t="shared" si="143"/>
        <v>32</v>
      </c>
      <c r="R724" s="49" t="str">
        <f t="shared" si="144"/>
        <v>金币</v>
      </c>
      <c r="S724" s="15">
        <f t="shared" si="145"/>
        <v>10000</v>
      </c>
      <c r="T724" s="15" t="str">
        <f t="shared" si="146"/>
        <v>中级专属强化石</v>
      </c>
      <c r="U724" s="15">
        <f t="shared" si="147"/>
        <v>8</v>
      </c>
      <c r="V724" s="15" t="str">
        <f t="shared" si="148"/>
        <v>高级专属强化石</v>
      </c>
      <c r="W724" s="15">
        <f t="shared" si="149"/>
        <v>3</v>
      </c>
      <c r="X724" s="15">
        <f t="shared" si="150"/>
        <v>0.1</v>
      </c>
      <c r="Y724" s="15">
        <f t="shared" si="151"/>
        <v>1</v>
      </c>
      <c r="Z724" s="15">
        <f t="shared" si="152"/>
        <v>30</v>
      </c>
      <c r="AA724" s="15">
        <f t="shared" si="153"/>
        <v>0.45329999999999998</v>
      </c>
    </row>
    <row r="725" spans="13:27" ht="16.5" x14ac:dyDescent="0.2">
      <c r="M725" s="15">
        <v>646</v>
      </c>
      <c r="N725" s="15">
        <f t="shared" si="142"/>
        <v>13</v>
      </c>
      <c r="O725" s="15">
        <f>INDEX(卡牌消耗!$H$13:$H$33,世界BOSS专属武器!N725)</f>
        <v>1501013</v>
      </c>
      <c r="P725" s="49" t="s">
        <v>480</v>
      </c>
      <c r="Q725" s="15">
        <f t="shared" si="143"/>
        <v>33</v>
      </c>
      <c r="R725" s="49" t="str">
        <f t="shared" si="144"/>
        <v>金币</v>
      </c>
      <c r="S725" s="15">
        <f t="shared" si="145"/>
        <v>10000</v>
      </c>
      <c r="T725" s="15" t="str">
        <f t="shared" si="146"/>
        <v>中级专属强化石</v>
      </c>
      <c r="U725" s="15">
        <f t="shared" si="147"/>
        <v>8</v>
      </c>
      <c r="V725" s="15" t="str">
        <f t="shared" si="148"/>
        <v>高级专属强化石</v>
      </c>
      <c r="W725" s="15">
        <f t="shared" si="149"/>
        <v>3</v>
      </c>
      <c r="X725" s="15">
        <f t="shared" si="150"/>
        <v>0.1</v>
      </c>
      <c r="Y725" s="15">
        <f t="shared" si="151"/>
        <v>1</v>
      </c>
      <c r="Z725" s="15">
        <f t="shared" si="152"/>
        <v>30</v>
      </c>
      <c r="AA725" s="15">
        <f t="shared" si="153"/>
        <v>0.48</v>
      </c>
    </row>
    <row r="726" spans="13:27" ht="16.5" x14ac:dyDescent="0.2">
      <c r="M726" s="15">
        <v>647</v>
      </c>
      <c r="N726" s="15">
        <f t="shared" si="142"/>
        <v>13</v>
      </c>
      <c r="O726" s="15">
        <f>INDEX(卡牌消耗!$H$13:$H$33,世界BOSS专属武器!N726)</f>
        <v>1501013</v>
      </c>
      <c r="P726" s="49" t="s">
        <v>480</v>
      </c>
      <c r="Q726" s="15">
        <f t="shared" si="143"/>
        <v>34</v>
      </c>
      <c r="R726" s="49" t="str">
        <f t="shared" si="144"/>
        <v>金币</v>
      </c>
      <c r="S726" s="15">
        <f t="shared" si="145"/>
        <v>10000</v>
      </c>
      <c r="T726" s="15" t="str">
        <f t="shared" si="146"/>
        <v>中级专属强化石</v>
      </c>
      <c r="U726" s="15">
        <f t="shared" si="147"/>
        <v>8</v>
      </c>
      <c r="V726" s="15" t="str">
        <f t="shared" si="148"/>
        <v>高级专属强化石</v>
      </c>
      <c r="W726" s="15">
        <f t="shared" si="149"/>
        <v>3</v>
      </c>
      <c r="X726" s="15">
        <f t="shared" si="150"/>
        <v>0.1</v>
      </c>
      <c r="Y726" s="15">
        <f t="shared" si="151"/>
        <v>1</v>
      </c>
      <c r="Z726" s="15">
        <f t="shared" si="152"/>
        <v>30</v>
      </c>
      <c r="AA726" s="15">
        <f t="shared" si="153"/>
        <v>0.50670000000000004</v>
      </c>
    </row>
    <row r="727" spans="13:27" ht="16.5" x14ac:dyDescent="0.2">
      <c r="M727" s="15">
        <v>648</v>
      </c>
      <c r="N727" s="15">
        <f t="shared" si="142"/>
        <v>13</v>
      </c>
      <c r="O727" s="15">
        <f>INDEX(卡牌消耗!$H$13:$H$33,世界BOSS专属武器!N727)</f>
        <v>1501013</v>
      </c>
      <c r="P727" s="49" t="s">
        <v>480</v>
      </c>
      <c r="Q727" s="15">
        <f t="shared" si="143"/>
        <v>35</v>
      </c>
      <c r="R727" s="49" t="str">
        <f t="shared" si="144"/>
        <v>金币</v>
      </c>
      <c r="S727" s="15">
        <f t="shared" si="145"/>
        <v>10000</v>
      </c>
      <c r="T727" s="15" t="str">
        <f t="shared" si="146"/>
        <v>中级专属强化石</v>
      </c>
      <c r="U727" s="15">
        <f t="shared" si="147"/>
        <v>8</v>
      </c>
      <c r="V727" s="15" t="str">
        <f t="shared" si="148"/>
        <v>高级专属强化石</v>
      </c>
      <c r="W727" s="15">
        <f t="shared" si="149"/>
        <v>3</v>
      </c>
      <c r="X727" s="15">
        <f t="shared" si="150"/>
        <v>0.1</v>
      </c>
      <c r="Y727" s="15">
        <f t="shared" si="151"/>
        <v>1</v>
      </c>
      <c r="Z727" s="15">
        <f t="shared" si="152"/>
        <v>30</v>
      </c>
      <c r="AA727" s="15">
        <f t="shared" si="153"/>
        <v>0.5333</v>
      </c>
    </row>
    <row r="728" spans="13:27" ht="16.5" x14ac:dyDescent="0.2">
      <c r="M728" s="15">
        <v>649</v>
      </c>
      <c r="N728" s="15">
        <f t="shared" si="142"/>
        <v>13</v>
      </c>
      <c r="O728" s="15">
        <f>INDEX(卡牌消耗!$H$13:$H$33,世界BOSS专属武器!N728)</f>
        <v>1501013</v>
      </c>
      <c r="P728" s="49" t="s">
        <v>480</v>
      </c>
      <c r="Q728" s="15">
        <f t="shared" si="143"/>
        <v>36</v>
      </c>
      <c r="R728" s="49" t="str">
        <f t="shared" si="144"/>
        <v>金币</v>
      </c>
      <c r="S728" s="15">
        <f t="shared" si="145"/>
        <v>10000</v>
      </c>
      <c r="T728" s="15" t="str">
        <f t="shared" si="146"/>
        <v>中级专属强化石</v>
      </c>
      <c r="U728" s="15">
        <f t="shared" si="147"/>
        <v>8</v>
      </c>
      <c r="V728" s="15" t="str">
        <f t="shared" si="148"/>
        <v>高级专属强化石</v>
      </c>
      <c r="W728" s="15">
        <f t="shared" si="149"/>
        <v>3</v>
      </c>
      <c r="X728" s="15">
        <f t="shared" si="150"/>
        <v>0.1</v>
      </c>
      <c r="Y728" s="15">
        <f t="shared" si="151"/>
        <v>1</v>
      </c>
      <c r="Z728" s="15">
        <f t="shared" si="152"/>
        <v>30</v>
      </c>
      <c r="AA728" s="15">
        <f t="shared" si="153"/>
        <v>0.56000000000000005</v>
      </c>
    </row>
    <row r="729" spans="13:27" ht="16.5" x14ac:dyDescent="0.2">
      <c r="M729" s="15">
        <v>650</v>
      </c>
      <c r="N729" s="15">
        <f t="shared" si="142"/>
        <v>13</v>
      </c>
      <c r="O729" s="15">
        <f>INDEX(卡牌消耗!$H$13:$H$33,世界BOSS专属武器!N729)</f>
        <v>1501013</v>
      </c>
      <c r="P729" s="49" t="s">
        <v>480</v>
      </c>
      <c r="Q729" s="15">
        <f t="shared" si="143"/>
        <v>37</v>
      </c>
      <c r="R729" s="49" t="str">
        <f t="shared" si="144"/>
        <v>金币</v>
      </c>
      <c r="S729" s="15">
        <f t="shared" si="145"/>
        <v>10000</v>
      </c>
      <c r="T729" s="15" t="str">
        <f t="shared" si="146"/>
        <v>中级专属强化石</v>
      </c>
      <c r="U729" s="15">
        <f t="shared" si="147"/>
        <v>8</v>
      </c>
      <c r="V729" s="15" t="str">
        <f t="shared" si="148"/>
        <v>高级专属强化石</v>
      </c>
      <c r="W729" s="15">
        <f t="shared" si="149"/>
        <v>3</v>
      </c>
      <c r="X729" s="15">
        <f t="shared" si="150"/>
        <v>0.1</v>
      </c>
      <c r="Y729" s="15">
        <f t="shared" si="151"/>
        <v>1</v>
      </c>
      <c r="Z729" s="15">
        <f t="shared" si="152"/>
        <v>30</v>
      </c>
      <c r="AA729" s="15">
        <f t="shared" si="153"/>
        <v>0.5867</v>
      </c>
    </row>
    <row r="730" spans="13:27" ht="16.5" x14ac:dyDescent="0.2">
      <c r="M730" s="15">
        <v>651</v>
      </c>
      <c r="N730" s="15">
        <f t="shared" si="142"/>
        <v>13</v>
      </c>
      <c r="O730" s="15">
        <f>INDEX(卡牌消耗!$H$13:$H$33,世界BOSS专属武器!N730)</f>
        <v>1501013</v>
      </c>
      <c r="P730" s="49" t="s">
        <v>480</v>
      </c>
      <c r="Q730" s="15">
        <f t="shared" si="143"/>
        <v>38</v>
      </c>
      <c r="R730" s="49" t="str">
        <f t="shared" si="144"/>
        <v>金币</v>
      </c>
      <c r="S730" s="15">
        <f t="shared" si="145"/>
        <v>10000</v>
      </c>
      <c r="T730" s="15" t="str">
        <f t="shared" si="146"/>
        <v>中级专属强化石</v>
      </c>
      <c r="U730" s="15">
        <f t="shared" si="147"/>
        <v>8</v>
      </c>
      <c r="V730" s="15" t="str">
        <f t="shared" si="148"/>
        <v>高级专属强化石</v>
      </c>
      <c r="W730" s="15">
        <f t="shared" si="149"/>
        <v>3</v>
      </c>
      <c r="X730" s="15">
        <f t="shared" si="150"/>
        <v>0.1</v>
      </c>
      <c r="Y730" s="15">
        <f t="shared" si="151"/>
        <v>1</v>
      </c>
      <c r="Z730" s="15">
        <f t="shared" si="152"/>
        <v>30</v>
      </c>
      <c r="AA730" s="15">
        <f t="shared" si="153"/>
        <v>0.61329999999999996</v>
      </c>
    </row>
    <row r="731" spans="13:27" ht="16.5" x14ac:dyDescent="0.2">
      <c r="M731" s="15">
        <v>652</v>
      </c>
      <c r="N731" s="15">
        <f t="shared" si="142"/>
        <v>13</v>
      </c>
      <c r="O731" s="15">
        <f>INDEX(卡牌消耗!$H$13:$H$33,世界BOSS专属武器!N731)</f>
        <v>1501013</v>
      </c>
      <c r="P731" s="49" t="s">
        <v>480</v>
      </c>
      <c r="Q731" s="15">
        <f t="shared" si="143"/>
        <v>39</v>
      </c>
      <c r="R731" s="49" t="str">
        <f t="shared" si="144"/>
        <v>金币</v>
      </c>
      <c r="S731" s="15">
        <f t="shared" si="145"/>
        <v>10000</v>
      </c>
      <c r="T731" s="15" t="str">
        <f t="shared" si="146"/>
        <v>中级专属强化石</v>
      </c>
      <c r="U731" s="15">
        <f t="shared" si="147"/>
        <v>8</v>
      </c>
      <c r="V731" s="15" t="str">
        <f t="shared" si="148"/>
        <v>高级专属强化石</v>
      </c>
      <c r="W731" s="15">
        <f t="shared" si="149"/>
        <v>3</v>
      </c>
      <c r="X731" s="15">
        <f t="shared" si="150"/>
        <v>0.1</v>
      </c>
      <c r="Y731" s="15">
        <f t="shared" si="151"/>
        <v>1</v>
      </c>
      <c r="Z731" s="15">
        <f t="shared" si="152"/>
        <v>30</v>
      </c>
      <c r="AA731" s="15">
        <f t="shared" si="153"/>
        <v>0.64</v>
      </c>
    </row>
    <row r="732" spans="13:27" ht="16.5" x14ac:dyDescent="0.2">
      <c r="M732" s="15">
        <v>653</v>
      </c>
      <c r="N732" s="15">
        <f t="shared" si="142"/>
        <v>13</v>
      </c>
      <c r="O732" s="15">
        <f>INDEX(卡牌消耗!$H$13:$H$33,世界BOSS专属武器!N732)</f>
        <v>1501013</v>
      </c>
      <c r="P732" s="49" t="s">
        <v>480</v>
      </c>
      <c r="Q732" s="15">
        <f t="shared" si="143"/>
        <v>40</v>
      </c>
      <c r="R732" s="49" t="str">
        <f t="shared" si="144"/>
        <v>金币</v>
      </c>
      <c r="S732" s="15">
        <f t="shared" si="145"/>
        <v>20000</v>
      </c>
      <c r="T732" s="15" t="str">
        <f t="shared" si="146"/>
        <v>高级专属强化石</v>
      </c>
      <c r="U732" s="15">
        <f t="shared" si="147"/>
        <v>5</v>
      </c>
      <c r="V732" s="15" t="str">
        <f t="shared" si="148"/>
        <v>[x]</v>
      </c>
      <c r="W732" s="15" t="str">
        <f t="shared" si="149"/>
        <v>[x]</v>
      </c>
      <c r="X732" s="15">
        <f t="shared" si="150"/>
        <v>0.1</v>
      </c>
      <c r="Y732" s="15">
        <f t="shared" si="151"/>
        <v>1</v>
      </c>
      <c r="Z732" s="15">
        <f t="shared" si="152"/>
        <v>35</v>
      </c>
      <c r="AA732" s="15">
        <f t="shared" si="153"/>
        <v>0.66669999999999996</v>
      </c>
    </row>
    <row r="733" spans="13:27" ht="16.5" x14ac:dyDescent="0.2">
      <c r="M733" s="15">
        <v>654</v>
      </c>
      <c r="N733" s="15">
        <f t="shared" si="142"/>
        <v>13</v>
      </c>
      <c r="O733" s="15">
        <f>INDEX(卡牌消耗!$H$13:$H$33,世界BOSS专属武器!N733)</f>
        <v>1501013</v>
      </c>
      <c r="P733" s="49" t="s">
        <v>480</v>
      </c>
      <c r="Q733" s="15">
        <f t="shared" si="143"/>
        <v>41</v>
      </c>
      <c r="R733" s="49" t="str">
        <f t="shared" si="144"/>
        <v>金币</v>
      </c>
      <c r="S733" s="15">
        <f t="shared" si="145"/>
        <v>20000</v>
      </c>
      <c r="T733" s="15" t="str">
        <f t="shared" si="146"/>
        <v>高级专属强化石</v>
      </c>
      <c r="U733" s="15">
        <f t="shared" si="147"/>
        <v>5</v>
      </c>
      <c r="V733" s="15" t="str">
        <f t="shared" si="148"/>
        <v>[x]</v>
      </c>
      <c r="W733" s="15" t="str">
        <f t="shared" si="149"/>
        <v>[x]</v>
      </c>
      <c r="X733" s="15">
        <f t="shared" si="150"/>
        <v>0.1</v>
      </c>
      <c r="Y733" s="15">
        <f t="shared" si="151"/>
        <v>1</v>
      </c>
      <c r="Z733" s="15">
        <f t="shared" si="152"/>
        <v>40</v>
      </c>
      <c r="AA733" s="15">
        <f t="shared" si="153"/>
        <v>0.7</v>
      </c>
    </row>
    <row r="734" spans="13:27" ht="16.5" x14ac:dyDescent="0.2">
      <c r="M734" s="15">
        <v>655</v>
      </c>
      <c r="N734" s="15">
        <f t="shared" si="142"/>
        <v>13</v>
      </c>
      <c r="O734" s="15">
        <f>INDEX(卡牌消耗!$H$13:$H$33,世界BOSS专属武器!N734)</f>
        <v>1501013</v>
      </c>
      <c r="P734" s="49" t="s">
        <v>480</v>
      </c>
      <c r="Q734" s="15">
        <f t="shared" si="143"/>
        <v>42</v>
      </c>
      <c r="R734" s="49" t="str">
        <f t="shared" si="144"/>
        <v>金币</v>
      </c>
      <c r="S734" s="15">
        <f t="shared" si="145"/>
        <v>20000</v>
      </c>
      <c r="T734" s="15" t="str">
        <f t="shared" si="146"/>
        <v>高级专属强化石</v>
      </c>
      <c r="U734" s="15">
        <f t="shared" si="147"/>
        <v>5</v>
      </c>
      <c r="V734" s="15" t="str">
        <f t="shared" si="148"/>
        <v>[x]</v>
      </c>
      <c r="W734" s="15" t="str">
        <f t="shared" si="149"/>
        <v>[x]</v>
      </c>
      <c r="X734" s="15">
        <f t="shared" si="150"/>
        <v>0.1</v>
      </c>
      <c r="Y734" s="15">
        <f t="shared" si="151"/>
        <v>1</v>
      </c>
      <c r="Z734" s="15">
        <f t="shared" si="152"/>
        <v>45</v>
      </c>
      <c r="AA734" s="15">
        <f t="shared" si="153"/>
        <v>0.73329999999999995</v>
      </c>
    </row>
    <row r="735" spans="13:27" ht="16.5" x14ac:dyDescent="0.2">
      <c r="M735" s="15">
        <v>656</v>
      </c>
      <c r="N735" s="15">
        <f t="shared" si="142"/>
        <v>13</v>
      </c>
      <c r="O735" s="15">
        <f>INDEX(卡牌消耗!$H$13:$H$33,世界BOSS专属武器!N735)</f>
        <v>1501013</v>
      </c>
      <c r="P735" s="49" t="s">
        <v>480</v>
      </c>
      <c r="Q735" s="15">
        <f t="shared" si="143"/>
        <v>43</v>
      </c>
      <c r="R735" s="49" t="str">
        <f t="shared" si="144"/>
        <v>金币</v>
      </c>
      <c r="S735" s="15">
        <f t="shared" si="145"/>
        <v>20000</v>
      </c>
      <c r="T735" s="15" t="str">
        <f t="shared" si="146"/>
        <v>高级专属强化石</v>
      </c>
      <c r="U735" s="15">
        <f t="shared" si="147"/>
        <v>5</v>
      </c>
      <c r="V735" s="15" t="str">
        <f t="shared" si="148"/>
        <v>[x]</v>
      </c>
      <c r="W735" s="15" t="str">
        <f t="shared" si="149"/>
        <v>[x]</v>
      </c>
      <c r="X735" s="15">
        <f t="shared" si="150"/>
        <v>0.1</v>
      </c>
      <c r="Y735" s="15">
        <f t="shared" si="151"/>
        <v>1</v>
      </c>
      <c r="Z735" s="15">
        <f t="shared" si="152"/>
        <v>50</v>
      </c>
      <c r="AA735" s="15">
        <f t="shared" si="153"/>
        <v>0.76670000000000005</v>
      </c>
    </row>
    <row r="736" spans="13:27" ht="16.5" x14ac:dyDescent="0.2">
      <c r="M736" s="15">
        <v>657</v>
      </c>
      <c r="N736" s="15">
        <f t="shared" si="142"/>
        <v>13</v>
      </c>
      <c r="O736" s="15">
        <f>INDEX(卡牌消耗!$H$13:$H$33,世界BOSS专属武器!N736)</f>
        <v>1501013</v>
      </c>
      <c r="P736" s="49" t="s">
        <v>480</v>
      </c>
      <c r="Q736" s="15">
        <f t="shared" si="143"/>
        <v>44</v>
      </c>
      <c r="R736" s="49" t="str">
        <f t="shared" si="144"/>
        <v>金币</v>
      </c>
      <c r="S736" s="15">
        <f t="shared" si="145"/>
        <v>20000</v>
      </c>
      <c r="T736" s="15" t="str">
        <f t="shared" si="146"/>
        <v>高级专属强化石</v>
      </c>
      <c r="U736" s="15">
        <f t="shared" si="147"/>
        <v>5</v>
      </c>
      <c r="V736" s="15" t="str">
        <f t="shared" si="148"/>
        <v>[x]</v>
      </c>
      <c r="W736" s="15" t="str">
        <f t="shared" si="149"/>
        <v>[x]</v>
      </c>
      <c r="X736" s="15">
        <f t="shared" si="150"/>
        <v>0.1</v>
      </c>
      <c r="Y736" s="15">
        <f t="shared" si="151"/>
        <v>1</v>
      </c>
      <c r="Z736" s="15">
        <f t="shared" si="152"/>
        <v>55</v>
      </c>
      <c r="AA736" s="15">
        <f t="shared" si="153"/>
        <v>0.8</v>
      </c>
    </row>
    <row r="737" spans="13:27" ht="16.5" x14ac:dyDescent="0.2">
      <c r="M737" s="15">
        <v>658</v>
      </c>
      <c r="N737" s="15">
        <f t="shared" si="142"/>
        <v>13</v>
      </c>
      <c r="O737" s="15">
        <f>INDEX(卡牌消耗!$H$13:$H$33,世界BOSS专属武器!N737)</f>
        <v>1501013</v>
      </c>
      <c r="P737" s="49" t="s">
        <v>480</v>
      </c>
      <c r="Q737" s="15">
        <f t="shared" si="143"/>
        <v>45</v>
      </c>
      <c r="R737" s="49" t="str">
        <f t="shared" si="144"/>
        <v>金币</v>
      </c>
      <c r="S737" s="15">
        <f t="shared" si="145"/>
        <v>20000</v>
      </c>
      <c r="T737" s="15" t="str">
        <f t="shared" si="146"/>
        <v>高级专属强化石</v>
      </c>
      <c r="U737" s="15">
        <f t="shared" si="147"/>
        <v>6</v>
      </c>
      <c r="V737" s="15" t="str">
        <f t="shared" si="148"/>
        <v>[x]</v>
      </c>
      <c r="W737" s="15" t="str">
        <f t="shared" si="149"/>
        <v>[x]</v>
      </c>
      <c r="X737" s="15">
        <f t="shared" si="150"/>
        <v>0.1</v>
      </c>
      <c r="Y737" s="15">
        <f t="shared" si="151"/>
        <v>1</v>
      </c>
      <c r="Z737" s="15">
        <f t="shared" si="152"/>
        <v>60</v>
      </c>
      <c r="AA737" s="15">
        <f t="shared" si="153"/>
        <v>0.83330000000000004</v>
      </c>
    </row>
    <row r="738" spans="13:27" ht="16.5" x14ac:dyDescent="0.2">
      <c r="M738" s="15">
        <v>659</v>
      </c>
      <c r="N738" s="15">
        <f t="shared" si="142"/>
        <v>13</v>
      </c>
      <c r="O738" s="15">
        <f>INDEX(卡牌消耗!$H$13:$H$33,世界BOSS专属武器!N738)</f>
        <v>1501013</v>
      </c>
      <c r="P738" s="49" t="s">
        <v>480</v>
      </c>
      <c r="Q738" s="15">
        <f t="shared" si="143"/>
        <v>46</v>
      </c>
      <c r="R738" s="49" t="str">
        <f t="shared" si="144"/>
        <v>金币</v>
      </c>
      <c r="S738" s="15">
        <f t="shared" si="145"/>
        <v>20000</v>
      </c>
      <c r="T738" s="15" t="str">
        <f t="shared" si="146"/>
        <v>高级专属强化石</v>
      </c>
      <c r="U738" s="15">
        <f t="shared" si="147"/>
        <v>7</v>
      </c>
      <c r="V738" s="15" t="str">
        <f t="shared" si="148"/>
        <v>[x]</v>
      </c>
      <c r="W738" s="15" t="str">
        <f t="shared" si="149"/>
        <v>[x]</v>
      </c>
      <c r="X738" s="15">
        <f t="shared" si="150"/>
        <v>0.1</v>
      </c>
      <c r="Y738" s="15">
        <f t="shared" si="151"/>
        <v>1</v>
      </c>
      <c r="Z738" s="15">
        <f t="shared" si="152"/>
        <v>70</v>
      </c>
      <c r="AA738" s="15">
        <f t="shared" si="153"/>
        <v>0.86670000000000003</v>
      </c>
    </row>
    <row r="739" spans="13:27" ht="16.5" x14ac:dyDescent="0.2">
      <c r="M739" s="15">
        <v>660</v>
      </c>
      <c r="N739" s="15">
        <f t="shared" si="142"/>
        <v>13</v>
      </c>
      <c r="O739" s="15">
        <f>INDEX(卡牌消耗!$H$13:$H$33,世界BOSS专属武器!N739)</f>
        <v>1501013</v>
      </c>
      <c r="P739" s="49" t="s">
        <v>480</v>
      </c>
      <c r="Q739" s="15">
        <f t="shared" si="143"/>
        <v>47</v>
      </c>
      <c r="R739" s="49" t="str">
        <f t="shared" si="144"/>
        <v>金币</v>
      </c>
      <c r="S739" s="15">
        <f t="shared" si="145"/>
        <v>20000</v>
      </c>
      <c r="T739" s="15" t="str">
        <f t="shared" si="146"/>
        <v>高级专属强化石</v>
      </c>
      <c r="U739" s="15">
        <f t="shared" si="147"/>
        <v>8</v>
      </c>
      <c r="V739" s="15" t="str">
        <f t="shared" si="148"/>
        <v>[x]</v>
      </c>
      <c r="W739" s="15" t="str">
        <f t="shared" si="149"/>
        <v>[x]</v>
      </c>
      <c r="X739" s="15">
        <f t="shared" si="150"/>
        <v>0.1</v>
      </c>
      <c r="Y739" s="15">
        <f t="shared" si="151"/>
        <v>1</v>
      </c>
      <c r="Z739" s="15">
        <f t="shared" si="152"/>
        <v>80</v>
      </c>
      <c r="AA739" s="15">
        <f t="shared" si="153"/>
        <v>0.9</v>
      </c>
    </row>
    <row r="740" spans="13:27" ht="16.5" x14ac:dyDescent="0.2">
      <c r="M740" s="15">
        <v>661</v>
      </c>
      <c r="N740" s="15">
        <f t="shared" si="142"/>
        <v>13</v>
      </c>
      <c r="O740" s="15">
        <f>INDEX(卡牌消耗!$H$13:$H$33,世界BOSS专属武器!N740)</f>
        <v>1501013</v>
      </c>
      <c r="P740" s="49" t="s">
        <v>480</v>
      </c>
      <c r="Q740" s="15">
        <f t="shared" si="143"/>
        <v>48</v>
      </c>
      <c r="R740" s="49" t="str">
        <f t="shared" si="144"/>
        <v>金币</v>
      </c>
      <c r="S740" s="15">
        <f t="shared" si="145"/>
        <v>20000</v>
      </c>
      <c r="T740" s="15" t="str">
        <f t="shared" si="146"/>
        <v>高级专属强化石</v>
      </c>
      <c r="U740" s="15">
        <f t="shared" si="147"/>
        <v>9</v>
      </c>
      <c r="V740" s="15" t="str">
        <f t="shared" si="148"/>
        <v>[x]</v>
      </c>
      <c r="W740" s="15" t="str">
        <f t="shared" si="149"/>
        <v>[x]</v>
      </c>
      <c r="X740" s="15">
        <f t="shared" si="150"/>
        <v>0.1</v>
      </c>
      <c r="Y740" s="15">
        <f t="shared" si="151"/>
        <v>1</v>
      </c>
      <c r="Z740" s="15">
        <f t="shared" si="152"/>
        <v>100</v>
      </c>
      <c r="AA740" s="15">
        <f t="shared" si="153"/>
        <v>0.93330000000000002</v>
      </c>
    </row>
    <row r="741" spans="13:27" ht="16.5" x14ac:dyDescent="0.2">
      <c r="M741" s="15">
        <v>662</v>
      </c>
      <c r="N741" s="15">
        <f t="shared" si="142"/>
        <v>13</v>
      </c>
      <c r="O741" s="15">
        <f>INDEX(卡牌消耗!$H$13:$H$33,世界BOSS专属武器!N741)</f>
        <v>1501013</v>
      </c>
      <c r="P741" s="49" t="s">
        <v>480</v>
      </c>
      <c r="Q741" s="15">
        <f t="shared" si="143"/>
        <v>49</v>
      </c>
      <c r="R741" s="49" t="str">
        <f t="shared" si="144"/>
        <v>金币</v>
      </c>
      <c r="S741" s="15">
        <f t="shared" si="145"/>
        <v>20000</v>
      </c>
      <c r="T741" s="15" t="str">
        <f t="shared" si="146"/>
        <v>高级专属强化石</v>
      </c>
      <c r="U741" s="15">
        <f t="shared" si="147"/>
        <v>10</v>
      </c>
      <c r="V741" s="15" t="str">
        <f t="shared" si="148"/>
        <v>[x]</v>
      </c>
      <c r="W741" s="15" t="str">
        <f t="shared" si="149"/>
        <v>[x]</v>
      </c>
      <c r="X741" s="15">
        <f t="shared" si="150"/>
        <v>0.1</v>
      </c>
      <c r="Y741" s="15">
        <f t="shared" si="151"/>
        <v>1</v>
      </c>
      <c r="Z741" s="15">
        <f t="shared" si="152"/>
        <v>120</v>
      </c>
      <c r="AA741" s="15">
        <f t="shared" si="153"/>
        <v>0.9667</v>
      </c>
    </row>
    <row r="742" spans="13:27" ht="16.5" x14ac:dyDescent="0.2">
      <c r="M742" s="15">
        <v>663</v>
      </c>
      <c r="N742" s="15">
        <f t="shared" si="142"/>
        <v>13</v>
      </c>
      <c r="O742" s="15">
        <f>INDEX(卡牌消耗!$H$13:$H$33,世界BOSS专属武器!N742)</f>
        <v>1501013</v>
      </c>
      <c r="P742" s="49" t="s">
        <v>480</v>
      </c>
      <c r="Q742" s="15">
        <f t="shared" si="143"/>
        <v>50</v>
      </c>
      <c r="R742" s="49" t="str">
        <f t="shared" si="144"/>
        <v>金币</v>
      </c>
      <c r="S742" s="15">
        <f t="shared" si="145"/>
        <v>20000</v>
      </c>
      <c r="T742" s="15" t="str">
        <f t="shared" si="146"/>
        <v>高级专属强化石</v>
      </c>
      <c r="U742" s="15">
        <f t="shared" si="147"/>
        <v>15</v>
      </c>
      <c r="V742" s="15" t="str">
        <f t="shared" si="148"/>
        <v>[x]</v>
      </c>
      <c r="W742" s="15" t="str">
        <f t="shared" si="149"/>
        <v>[x]</v>
      </c>
      <c r="X742" s="15">
        <f t="shared" si="150"/>
        <v>0.1</v>
      </c>
      <c r="Y742" s="15">
        <f t="shared" si="151"/>
        <v>1</v>
      </c>
      <c r="Z742" s="15">
        <f t="shared" si="152"/>
        <v>150</v>
      </c>
      <c r="AA742" s="15">
        <f t="shared" si="153"/>
        <v>1</v>
      </c>
    </row>
    <row r="743" spans="13:27" ht="16.5" x14ac:dyDescent="0.2">
      <c r="M743" s="15">
        <v>664</v>
      </c>
      <c r="N743" s="15">
        <f t="shared" si="142"/>
        <v>14</v>
      </c>
      <c r="O743" s="15">
        <f>INDEX(卡牌消耗!$H$13:$H$33,世界BOSS专属武器!N743)</f>
        <v>1501014</v>
      </c>
      <c r="P743" s="49" t="s">
        <v>480</v>
      </c>
      <c r="Q743" s="15">
        <f t="shared" si="143"/>
        <v>0</v>
      </c>
      <c r="R743" s="49" t="str">
        <f t="shared" si="144"/>
        <v>[x]</v>
      </c>
      <c r="S743" s="15" t="str">
        <f t="shared" si="145"/>
        <v>[x]</v>
      </c>
      <c r="T743" s="15" t="str">
        <f t="shared" si="146"/>
        <v>[x]</v>
      </c>
      <c r="U743" s="15" t="str">
        <f t="shared" si="147"/>
        <v>[x]</v>
      </c>
      <c r="V743" s="15" t="str">
        <f t="shared" si="148"/>
        <v>[x]</v>
      </c>
      <c r="W743" s="15" t="str">
        <f t="shared" si="149"/>
        <v>[x]</v>
      </c>
      <c r="X743" s="15" t="str">
        <f t="shared" si="150"/>
        <v>[x]</v>
      </c>
      <c r="Y743" s="15" t="str">
        <f t="shared" si="151"/>
        <v>[x]</v>
      </c>
      <c r="Z743" s="15" t="str">
        <f t="shared" si="152"/>
        <v>[x]</v>
      </c>
      <c r="AA743" s="15" t="str">
        <f t="shared" si="153"/>
        <v>[x]</v>
      </c>
    </row>
    <row r="744" spans="13:27" ht="16.5" x14ac:dyDescent="0.2">
      <c r="M744" s="15">
        <v>665</v>
      </c>
      <c r="N744" s="15">
        <f t="shared" si="142"/>
        <v>14</v>
      </c>
      <c r="O744" s="15">
        <f>INDEX(卡牌消耗!$H$13:$H$33,世界BOSS专属武器!N744)</f>
        <v>1501014</v>
      </c>
      <c r="P744" s="49" t="s">
        <v>480</v>
      </c>
      <c r="Q744" s="15">
        <f t="shared" si="143"/>
        <v>1</v>
      </c>
      <c r="R744" s="49" t="str">
        <f t="shared" si="144"/>
        <v>金币</v>
      </c>
      <c r="S744" s="15">
        <f t="shared" si="145"/>
        <v>100</v>
      </c>
      <c r="T744" s="15" t="str">
        <f t="shared" si="146"/>
        <v>低级专属强化石</v>
      </c>
      <c r="U744" s="15">
        <f t="shared" si="147"/>
        <v>1</v>
      </c>
      <c r="V744" s="15" t="str">
        <f t="shared" si="148"/>
        <v>[x]</v>
      </c>
      <c r="W744" s="15" t="str">
        <f t="shared" si="149"/>
        <v>[x]</v>
      </c>
      <c r="X744" s="15">
        <f t="shared" si="150"/>
        <v>1</v>
      </c>
      <c r="Y744" s="15">
        <f t="shared" si="151"/>
        <v>1</v>
      </c>
      <c r="Z744" s="15">
        <f t="shared" si="152"/>
        <v>1</v>
      </c>
      <c r="AA744" s="15">
        <f t="shared" si="153"/>
        <v>6.7000000000000002E-3</v>
      </c>
    </row>
    <row r="745" spans="13:27" ht="16.5" x14ac:dyDescent="0.2">
      <c r="M745" s="15">
        <v>666</v>
      </c>
      <c r="N745" s="15">
        <f t="shared" si="142"/>
        <v>14</v>
      </c>
      <c r="O745" s="15">
        <f>INDEX(卡牌消耗!$H$13:$H$33,世界BOSS专属武器!N745)</f>
        <v>1501014</v>
      </c>
      <c r="P745" s="49" t="s">
        <v>480</v>
      </c>
      <c r="Q745" s="15">
        <f t="shared" si="143"/>
        <v>2</v>
      </c>
      <c r="R745" s="49" t="str">
        <f t="shared" si="144"/>
        <v>金币</v>
      </c>
      <c r="S745" s="15">
        <f t="shared" si="145"/>
        <v>200</v>
      </c>
      <c r="T745" s="15" t="str">
        <f t="shared" si="146"/>
        <v>低级专属强化石</v>
      </c>
      <c r="U745" s="15">
        <f t="shared" si="147"/>
        <v>1</v>
      </c>
      <c r="V745" s="15" t="str">
        <f t="shared" si="148"/>
        <v>[x]</v>
      </c>
      <c r="W745" s="15" t="str">
        <f t="shared" si="149"/>
        <v>[x]</v>
      </c>
      <c r="X745" s="15">
        <f t="shared" si="150"/>
        <v>0.5</v>
      </c>
      <c r="Y745" s="15">
        <f t="shared" si="151"/>
        <v>1</v>
      </c>
      <c r="Z745" s="15">
        <f t="shared" si="152"/>
        <v>2</v>
      </c>
      <c r="AA745" s="15">
        <f t="shared" si="153"/>
        <v>1.3299999999999999E-2</v>
      </c>
    </row>
    <row r="746" spans="13:27" ht="16.5" x14ac:dyDescent="0.2">
      <c r="M746" s="15">
        <v>667</v>
      </c>
      <c r="N746" s="15">
        <f t="shared" si="142"/>
        <v>14</v>
      </c>
      <c r="O746" s="15">
        <f>INDEX(卡牌消耗!$H$13:$H$33,世界BOSS专属武器!N746)</f>
        <v>1501014</v>
      </c>
      <c r="P746" s="49" t="s">
        <v>480</v>
      </c>
      <c r="Q746" s="15">
        <f t="shared" si="143"/>
        <v>3</v>
      </c>
      <c r="R746" s="49" t="str">
        <f t="shared" si="144"/>
        <v>金币</v>
      </c>
      <c r="S746" s="15">
        <f t="shared" si="145"/>
        <v>300</v>
      </c>
      <c r="T746" s="15" t="str">
        <f t="shared" si="146"/>
        <v>低级专属强化石</v>
      </c>
      <c r="U746" s="15">
        <f t="shared" si="147"/>
        <v>2</v>
      </c>
      <c r="V746" s="15" t="str">
        <f t="shared" si="148"/>
        <v>[x]</v>
      </c>
      <c r="W746" s="15" t="str">
        <f t="shared" si="149"/>
        <v>[x]</v>
      </c>
      <c r="X746" s="15">
        <f t="shared" si="150"/>
        <v>0.48</v>
      </c>
      <c r="Y746" s="15">
        <f t="shared" si="151"/>
        <v>1</v>
      </c>
      <c r="Z746" s="15">
        <f t="shared" si="152"/>
        <v>3</v>
      </c>
      <c r="AA746" s="15">
        <f t="shared" si="153"/>
        <v>0.02</v>
      </c>
    </row>
    <row r="747" spans="13:27" ht="16.5" x14ac:dyDescent="0.2">
      <c r="M747" s="15">
        <v>668</v>
      </c>
      <c r="N747" s="15">
        <f t="shared" si="142"/>
        <v>14</v>
      </c>
      <c r="O747" s="15">
        <f>INDEX(卡牌消耗!$H$13:$H$33,世界BOSS专属武器!N747)</f>
        <v>1501014</v>
      </c>
      <c r="P747" s="49" t="s">
        <v>480</v>
      </c>
      <c r="Q747" s="15">
        <f t="shared" si="143"/>
        <v>4</v>
      </c>
      <c r="R747" s="49" t="str">
        <f t="shared" si="144"/>
        <v>金币</v>
      </c>
      <c r="S747" s="15">
        <f t="shared" si="145"/>
        <v>400</v>
      </c>
      <c r="T747" s="15" t="str">
        <f t="shared" si="146"/>
        <v>低级专属强化石</v>
      </c>
      <c r="U747" s="15">
        <f t="shared" si="147"/>
        <v>3</v>
      </c>
      <c r="V747" s="15" t="str">
        <f t="shared" si="148"/>
        <v>[x]</v>
      </c>
      <c r="W747" s="15" t="str">
        <f t="shared" si="149"/>
        <v>[x]</v>
      </c>
      <c r="X747" s="15">
        <f t="shared" si="150"/>
        <v>0.46</v>
      </c>
      <c r="Y747" s="15">
        <f t="shared" si="151"/>
        <v>1</v>
      </c>
      <c r="Z747" s="15">
        <f t="shared" si="152"/>
        <v>3</v>
      </c>
      <c r="AA747" s="15">
        <f t="shared" si="153"/>
        <v>2.6700000000000002E-2</v>
      </c>
    </row>
    <row r="748" spans="13:27" ht="16.5" x14ac:dyDescent="0.2">
      <c r="M748" s="15">
        <v>669</v>
      </c>
      <c r="N748" s="15">
        <f t="shared" si="142"/>
        <v>14</v>
      </c>
      <c r="O748" s="15">
        <f>INDEX(卡牌消耗!$H$13:$H$33,世界BOSS专属武器!N748)</f>
        <v>1501014</v>
      </c>
      <c r="P748" s="49" t="s">
        <v>480</v>
      </c>
      <c r="Q748" s="15">
        <f t="shared" si="143"/>
        <v>5</v>
      </c>
      <c r="R748" s="49" t="str">
        <f t="shared" si="144"/>
        <v>金币</v>
      </c>
      <c r="S748" s="15">
        <f t="shared" si="145"/>
        <v>500</v>
      </c>
      <c r="T748" s="15" t="str">
        <f t="shared" si="146"/>
        <v>低级专属强化石</v>
      </c>
      <c r="U748" s="15">
        <f t="shared" si="147"/>
        <v>4</v>
      </c>
      <c r="V748" s="15" t="str">
        <f t="shared" si="148"/>
        <v>[x]</v>
      </c>
      <c r="W748" s="15" t="str">
        <f t="shared" si="149"/>
        <v>[x]</v>
      </c>
      <c r="X748" s="15">
        <f t="shared" si="150"/>
        <v>0.44</v>
      </c>
      <c r="Y748" s="15">
        <f t="shared" si="151"/>
        <v>1</v>
      </c>
      <c r="Z748" s="15">
        <f t="shared" si="152"/>
        <v>3</v>
      </c>
      <c r="AA748" s="15">
        <f t="shared" si="153"/>
        <v>3.3300000000000003E-2</v>
      </c>
    </row>
    <row r="749" spans="13:27" ht="16.5" x14ac:dyDescent="0.2">
      <c r="M749" s="15">
        <v>670</v>
      </c>
      <c r="N749" s="15">
        <f t="shared" si="142"/>
        <v>14</v>
      </c>
      <c r="O749" s="15">
        <f>INDEX(卡牌消耗!$H$13:$H$33,世界BOSS专属武器!N749)</f>
        <v>1501014</v>
      </c>
      <c r="P749" s="49" t="s">
        <v>480</v>
      </c>
      <c r="Q749" s="15">
        <f t="shared" si="143"/>
        <v>6</v>
      </c>
      <c r="R749" s="49" t="str">
        <f t="shared" si="144"/>
        <v>金币</v>
      </c>
      <c r="S749" s="15">
        <f t="shared" si="145"/>
        <v>600</v>
      </c>
      <c r="T749" s="15" t="str">
        <f t="shared" si="146"/>
        <v>低级专属强化石</v>
      </c>
      <c r="U749" s="15">
        <f t="shared" si="147"/>
        <v>5</v>
      </c>
      <c r="V749" s="15" t="str">
        <f t="shared" si="148"/>
        <v>[x]</v>
      </c>
      <c r="W749" s="15" t="str">
        <f t="shared" si="149"/>
        <v>[x]</v>
      </c>
      <c r="X749" s="15">
        <f t="shared" si="150"/>
        <v>0.42</v>
      </c>
      <c r="Y749" s="15">
        <f t="shared" si="151"/>
        <v>1</v>
      </c>
      <c r="Z749" s="15">
        <f t="shared" si="152"/>
        <v>4</v>
      </c>
      <c r="AA749" s="15">
        <f t="shared" si="153"/>
        <v>0.04</v>
      </c>
    </row>
    <row r="750" spans="13:27" ht="16.5" x14ac:dyDescent="0.2">
      <c r="M750" s="15">
        <v>671</v>
      </c>
      <c r="N750" s="15">
        <f t="shared" si="142"/>
        <v>14</v>
      </c>
      <c r="O750" s="15">
        <f>INDEX(卡牌消耗!$H$13:$H$33,世界BOSS专属武器!N750)</f>
        <v>1501014</v>
      </c>
      <c r="P750" s="49" t="s">
        <v>480</v>
      </c>
      <c r="Q750" s="15">
        <f t="shared" si="143"/>
        <v>7</v>
      </c>
      <c r="R750" s="49" t="str">
        <f t="shared" si="144"/>
        <v>金币</v>
      </c>
      <c r="S750" s="15">
        <f t="shared" si="145"/>
        <v>700</v>
      </c>
      <c r="T750" s="15" t="str">
        <f t="shared" si="146"/>
        <v>低级专属强化石</v>
      </c>
      <c r="U750" s="15">
        <f t="shared" si="147"/>
        <v>5</v>
      </c>
      <c r="V750" s="15" t="str">
        <f t="shared" si="148"/>
        <v>[x]</v>
      </c>
      <c r="W750" s="15" t="str">
        <f t="shared" si="149"/>
        <v>[x]</v>
      </c>
      <c r="X750" s="15">
        <f t="shared" si="150"/>
        <v>0.4</v>
      </c>
      <c r="Y750" s="15">
        <f t="shared" si="151"/>
        <v>1</v>
      </c>
      <c r="Z750" s="15">
        <f t="shared" si="152"/>
        <v>4</v>
      </c>
      <c r="AA750" s="15">
        <f t="shared" si="153"/>
        <v>4.6699999999999998E-2</v>
      </c>
    </row>
    <row r="751" spans="13:27" ht="16.5" x14ac:dyDescent="0.2">
      <c r="M751" s="15">
        <v>672</v>
      </c>
      <c r="N751" s="15">
        <f t="shared" si="142"/>
        <v>14</v>
      </c>
      <c r="O751" s="15">
        <f>INDEX(卡牌消耗!$H$13:$H$33,世界BOSS专属武器!N751)</f>
        <v>1501014</v>
      </c>
      <c r="P751" s="49" t="s">
        <v>480</v>
      </c>
      <c r="Q751" s="15">
        <f t="shared" si="143"/>
        <v>8</v>
      </c>
      <c r="R751" s="49" t="str">
        <f t="shared" si="144"/>
        <v>金币</v>
      </c>
      <c r="S751" s="15">
        <f t="shared" si="145"/>
        <v>800</v>
      </c>
      <c r="T751" s="15" t="str">
        <f t="shared" si="146"/>
        <v>低级专属强化石</v>
      </c>
      <c r="U751" s="15">
        <f t="shared" si="147"/>
        <v>5</v>
      </c>
      <c r="V751" s="15" t="str">
        <f t="shared" si="148"/>
        <v>[x]</v>
      </c>
      <c r="W751" s="15" t="str">
        <f t="shared" si="149"/>
        <v>[x]</v>
      </c>
      <c r="X751" s="15">
        <f t="shared" si="150"/>
        <v>0.38</v>
      </c>
      <c r="Y751" s="15">
        <f t="shared" si="151"/>
        <v>1</v>
      </c>
      <c r="Z751" s="15">
        <f t="shared" si="152"/>
        <v>5</v>
      </c>
      <c r="AA751" s="15">
        <f t="shared" si="153"/>
        <v>5.33E-2</v>
      </c>
    </row>
    <row r="752" spans="13:27" ht="16.5" x14ac:dyDescent="0.2">
      <c r="M752" s="15">
        <v>673</v>
      </c>
      <c r="N752" s="15">
        <f t="shared" si="142"/>
        <v>14</v>
      </c>
      <c r="O752" s="15">
        <f>INDEX(卡牌消耗!$H$13:$H$33,世界BOSS专属武器!N752)</f>
        <v>1501014</v>
      </c>
      <c r="P752" s="49" t="s">
        <v>480</v>
      </c>
      <c r="Q752" s="15">
        <f t="shared" si="143"/>
        <v>9</v>
      </c>
      <c r="R752" s="49" t="str">
        <f t="shared" si="144"/>
        <v>金币</v>
      </c>
      <c r="S752" s="15">
        <f t="shared" si="145"/>
        <v>900</v>
      </c>
      <c r="T752" s="15" t="str">
        <f t="shared" si="146"/>
        <v>低级专属强化石</v>
      </c>
      <c r="U752" s="15">
        <f t="shared" si="147"/>
        <v>5</v>
      </c>
      <c r="V752" s="15" t="str">
        <f t="shared" si="148"/>
        <v>[x]</v>
      </c>
      <c r="W752" s="15" t="str">
        <f t="shared" si="149"/>
        <v>[x]</v>
      </c>
      <c r="X752" s="15">
        <f t="shared" si="150"/>
        <v>0.36</v>
      </c>
      <c r="Y752" s="15">
        <f t="shared" si="151"/>
        <v>1</v>
      </c>
      <c r="Z752" s="15">
        <f t="shared" si="152"/>
        <v>5</v>
      </c>
      <c r="AA752" s="15">
        <f t="shared" si="153"/>
        <v>0.06</v>
      </c>
    </row>
    <row r="753" spans="13:27" ht="16.5" x14ac:dyDescent="0.2">
      <c r="M753" s="15">
        <v>674</v>
      </c>
      <c r="N753" s="15">
        <f t="shared" si="142"/>
        <v>14</v>
      </c>
      <c r="O753" s="15">
        <f>INDEX(卡牌消耗!$H$13:$H$33,世界BOSS专属武器!N753)</f>
        <v>1501014</v>
      </c>
      <c r="P753" s="49" t="s">
        <v>480</v>
      </c>
      <c r="Q753" s="15">
        <f t="shared" si="143"/>
        <v>10</v>
      </c>
      <c r="R753" s="49" t="str">
        <f t="shared" si="144"/>
        <v>金币</v>
      </c>
      <c r="S753" s="15">
        <f t="shared" si="145"/>
        <v>1000</v>
      </c>
      <c r="T753" s="15" t="str">
        <f t="shared" si="146"/>
        <v>低级专属强化石</v>
      </c>
      <c r="U753" s="15">
        <f t="shared" si="147"/>
        <v>7</v>
      </c>
      <c r="V753" s="15" t="str">
        <f t="shared" si="148"/>
        <v>[x]</v>
      </c>
      <c r="W753" s="15" t="str">
        <f t="shared" si="149"/>
        <v>[x]</v>
      </c>
      <c r="X753" s="15">
        <f t="shared" si="150"/>
        <v>0.35</v>
      </c>
      <c r="Y753" s="15">
        <f t="shared" si="151"/>
        <v>1</v>
      </c>
      <c r="Z753" s="15">
        <f t="shared" si="152"/>
        <v>5</v>
      </c>
      <c r="AA753" s="15">
        <f t="shared" si="153"/>
        <v>6.6699999999999995E-2</v>
      </c>
    </row>
    <row r="754" spans="13:27" ht="16.5" x14ac:dyDescent="0.2">
      <c r="M754" s="15">
        <v>675</v>
      </c>
      <c r="N754" s="15">
        <f t="shared" si="142"/>
        <v>14</v>
      </c>
      <c r="O754" s="15">
        <f>INDEX(卡牌消耗!$H$13:$H$33,世界BOSS专属武器!N754)</f>
        <v>1501014</v>
      </c>
      <c r="P754" s="49" t="s">
        <v>480</v>
      </c>
      <c r="Q754" s="15">
        <f t="shared" si="143"/>
        <v>11</v>
      </c>
      <c r="R754" s="49" t="str">
        <f t="shared" si="144"/>
        <v>金币</v>
      </c>
      <c r="S754" s="15">
        <f t="shared" si="145"/>
        <v>1000</v>
      </c>
      <c r="T754" s="15" t="str">
        <f t="shared" si="146"/>
        <v>低级专属强化石</v>
      </c>
      <c r="U754" s="15">
        <f t="shared" si="147"/>
        <v>7</v>
      </c>
      <c r="V754" s="15" t="str">
        <f t="shared" si="148"/>
        <v>[x]</v>
      </c>
      <c r="W754" s="15" t="str">
        <f t="shared" si="149"/>
        <v>[x]</v>
      </c>
      <c r="X754" s="15">
        <f t="shared" si="150"/>
        <v>0.33</v>
      </c>
      <c r="Y754" s="15">
        <f t="shared" si="151"/>
        <v>1</v>
      </c>
      <c r="Z754" s="15">
        <f t="shared" si="152"/>
        <v>6</v>
      </c>
      <c r="AA754" s="15">
        <f t="shared" si="153"/>
        <v>0.08</v>
      </c>
    </row>
    <row r="755" spans="13:27" ht="16.5" x14ac:dyDescent="0.2">
      <c r="M755" s="15">
        <v>676</v>
      </c>
      <c r="N755" s="15">
        <f t="shared" si="142"/>
        <v>14</v>
      </c>
      <c r="O755" s="15">
        <f>INDEX(卡牌消耗!$H$13:$H$33,世界BOSS专属武器!N755)</f>
        <v>1501014</v>
      </c>
      <c r="P755" s="49" t="s">
        <v>480</v>
      </c>
      <c r="Q755" s="15">
        <f t="shared" si="143"/>
        <v>12</v>
      </c>
      <c r="R755" s="49" t="str">
        <f t="shared" si="144"/>
        <v>金币</v>
      </c>
      <c r="S755" s="15">
        <f t="shared" si="145"/>
        <v>1000</v>
      </c>
      <c r="T755" s="15" t="str">
        <f t="shared" si="146"/>
        <v>低级专属强化石</v>
      </c>
      <c r="U755" s="15">
        <f t="shared" si="147"/>
        <v>7</v>
      </c>
      <c r="V755" s="15" t="str">
        <f t="shared" si="148"/>
        <v>[x]</v>
      </c>
      <c r="W755" s="15" t="str">
        <f t="shared" si="149"/>
        <v>[x]</v>
      </c>
      <c r="X755" s="15">
        <f t="shared" si="150"/>
        <v>0.31</v>
      </c>
      <c r="Y755" s="15">
        <f t="shared" si="151"/>
        <v>1</v>
      </c>
      <c r="Z755" s="15">
        <f t="shared" si="152"/>
        <v>6</v>
      </c>
      <c r="AA755" s="15">
        <f t="shared" si="153"/>
        <v>9.3299999999999994E-2</v>
      </c>
    </row>
    <row r="756" spans="13:27" ht="16.5" x14ac:dyDescent="0.2">
      <c r="M756" s="15">
        <v>677</v>
      </c>
      <c r="N756" s="15">
        <f t="shared" si="142"/>
        <v>14</v>
      </c>
      <c r="O756" s="15">
        <f>INDEX(卡牌消耗!$H$13:$H$33,世界BOSS专属武器!N756)</f>
        <v>1501014</v>
      </c>
      <c r="P756" s="49" t="s">
        <v>480</v>
      </c>
      <c r="Q756" s="15">
        <f t="shared" si="143"/>
        <v>13</v>
      </c>
      <c r="R756" s="49" t="str">
        <f t="shared" si="144"/>
        <v>金币</v>
      </c>
      <c r="S756" s="15">
        <f t="shared" si="145"/>
        <v>1000</v>
      </c>
      <c r="T756" s="15" t="str">
        <f t="shared" si="146"/>
        <v>低级专属强化石</v>
      </c>
      <c r="U756" s="15">
        <f t="shared" si="147"/>
        <v>7</v>
      </c>
      <c r="V756" s="15" t="str">
        <f t="shared" si="148"/>
        <v>[x]</v>
      </c>
      <c r="W756" s="15" t="str">
        <f t="shared" si="149"/>
        <v>[x]</v>
      </c>
      <c r="X756" s="15">
        <f t="shared" si="150"/>
        <v>0.28999999999999998</v>
      </c>
      <c r="Y756" s="15">
        <f t="shared" si="151"/>
        <v>1</v>
      </c>
      <c r="Z756" s="15">
        <f t="shared" si="152"/>
        <v>7</v>
      </c>
      <c r="AA756" s="15">
        <f t="shared" si="153"/>
        <v>0.1067</v>
      </c>
    </row>
    <row r="757" spans="13:27" ht="16.5" x14ac:dyDescent="0.2">
      <c r="M757" s="15">
        <v>678</v>
      </c>
      <c r="N757" s="15">
        <f t="shared" si="142"/>
        <v>14</v>
      </c>
      <c r="O757" s="15">
        <f>INDEX(卡牌消耗!$H$13:$H$33,世界BOSS专属武器!N757)</f>
        <v>1501014</v>
      </c>
      <c r="P757" s="49" t="s">
        <v>480</v>
      </c>
      <c r="Q757" s="15">
        <f t="shared" si="143"/>
        <v>14</v>
      </c>
      <c r="R757" s="49" t="str">
        <f t="shared" si="144"/>
        <v>金币</v>
      </c>
      <c r="S757" s="15">
        <f t="shared" si="145"/>
        <v>1000</v>
      </c>
      <c r="T757" s="15" t="str">
        <f t="shared" si="146"/>
        <v>低级专属强化石</v>
      </c>
      <c r="U757" s="15">
        <f t="shared" si="147"/>
        <v>7</v>
      </c>
      <c r="V757" s="15" t="str">
        <f t="shared" si="148"/>
        <v>[x]</v>
      </c>
      <c r="W757" s="15" t="str">
        <f t="shared" si="149"/>
        <v>[x]</v>
      </c>
      <c r="X757" s="15">
        <f t="shared" si="150"/>
        <v>0.27</v>
      </c>
      <c r="Y757" s="15">
        <f t="shared" si="151"/>
        <v>1</v>
      </c>
      <c r="Z757" s="15">
        <f t="shared" si="152"/>
        <v>7</v>
      </c>
      <c r="AA757" s="15">
        <f t="shared" si="153"/>
        <v>0.12</v>
      </c>
    </row>
    <row r="758" spans="13:27" ht="16.5" x14ac:dyDescent="0.2">
      <c r="M758" s="15">
        <v>679</v>
      </c>
      <c r="N758" s="15">
        <f t="shared" si="142"/>
        <v>14</v>
      </c>
      <c r="O758" s="15">
        <f>INDEX(卡牌消耗!$H$13:$H$33,世界BOSS专属武器!N758)</f>
        <v>1501014</v>
      </c>
      <c r="P758" s="49" t="s">
        <v>480</v>
      </c>
      <c r="Q758" s="15">
        <f t="shared" si="143"/>
        <v>15</v>
      </c>
      <c r="R758" s="49" t="str">
        <f t="shared" si="144"/>
        <v>金币</v>
      </c>
      <c r="S758" s="15">
        <f t="shared" si="145"/>
        <v>1000</v>
      </c>
      <c r="T758" s="15" t="str">
        <f t="shared" si="146"/>
        <v>低级专属强化石</v>
      </c>
      <c r="U758" s="15">
        <f t="shared" si="147"/>
        <v>10</v>
      </c>
      <c r="V758" s="15" t="str">
        <f t="shared" si="148"/>
        <v>[x]</v>
      </c>
      <c r="W758" s="15" t="str">
        <f t="shared" si="149"/>
        <v>[x]</v>
      </c>
      <c r="X758" s="15">
        <f t="shared" si="150"/>
        <v>0.25</v>
      </c>
      <c r="Y758" s="15">
        <f t="shared" si="151"/>
        <v>1</v>
      </c>
      <c r="Z758" s="15">
        <f t="shared" si="152"/>
        <v>8</v>
      </c>
      <c r="AA758" s="15">
        <f t="shared" si="153"/>
        <v>0.1333</v>
      </c>
    </row>
    <row r="759" spans="13:27" ht="16.5" x14ac:dyDescent="0.2">
      <c r="M759" s="15">
        <v>680</v>
      </c>
      <c r="N759" s="15">
        <f t="shared" si="142"/>
        <v>14</v>
      </c>
      <c r="O759" s="15">
        <f>INDEX(卡牌消耗!$H$13:$H$33,世界BOSS专属武器!N759)</f>
        <v>1501014</v>
      </c>
      <c r="P759" s="49" t="s">
        <v>480</v>
      </c>
      <c r="Q759" s="15">
        <f t="shared" si="143"/>
        <v>16</v>
      </c>
      <c r="R759" s="49" t="str">
        <f t="shared" si="144"/>
        <v>金币</v>
      </c>
      <c r="S759" s="15">
        <f t="shared" si="145"/>
        <v>1000</v>
      </c>
      <c r="T759" s="15" t="str">
        <f t="shared" si="146"/>
        <v>低级专属强化石</v>
      </c>
      <c r="U759" s="15">
        <f t="shared" si="147"/>
        <v>10</v>
      </c>
      <c r="V759" s="15" t="str">
        <f t="shared" si="148"/>
        <v>[x]</v>
      </c>
      <c r="W759" s="15" t="str">
        <f t="shared" si="149"/>
        <v>[x]</v>
      </c>
      <c r="X759" s="15">
        <f t="shared" si="150"/>
        <v>0.23</v>
      </c>
      <c r="Y759" s="15">
        <f t="shared" si="151"/>
        <v>1</v>
      </c>
      <c r="Z759" s="15">
        <f t="shared" si="152"/>
        <v>9</v>
      </c>
      <c r="AA759" s="15">
        <f t="shared" si="153"/>
        <v>0.1467</v>
      </c>
    </row>
    <row r="760" spans="13:27" ht="16.5" x14ac:dyDescent="0.2">
      <c r="M760" s="15">
        <v>681</v>
      </c>
      <c r="N760" s="15">
        <f t="shared" si="142"/>
        <v>14</v>
      </c>
      <c r="O760" s="15">
        <f>INDEX(卡牌消耗!$H$13:$H$33,世界BOSS专属武器!N760)</f>
        <v>1501014</v>
      </c>
      <c r="P760" s="49" t="s">
        <v>480</v>
      </c>
      <c r="Q760" s="15">
        <f t="shared" si="143"/>
        <v>17</v>
      </c>
      <c r="R760" s="49" t="str">
        <f t="shared" si="144"/>
        <v>金币</v>
      </c>
      <c r="S760" s="15">
        <f t="shared" si="145"/>
        <v>1000</v>
      </c>
      <c r="T760" s="15" t="str">
        <f t="shared" si="146"/>
        <v>低级专属强化石</v>
      </c>
      <c r="U760" s="15">
        <f t="shared" si="147"/>
        <v>10</v>
      </c>
      <c r="V760" s="15" t="str">
        <f t="shared" si="148"/>
        <v>[x]</v>
      </c>
      <c r="W760" s="15" t="str">
        <f t="shared" si="149"/>
        <v>[x]</v>
      </c>
      <c r="X760" s="15">
        <f t="shared" si="150"/>
        <v>0.21</v>
      </c>
      <c r="Y760" s="15">
        <f t="shared" si="151"/>
        <v>1</v>
      </c>
      <c r="Z760" s="15">
        <f t="shared" si="152"/>
        <v>10</v>
      </c>
      <c r="AA760" s="15">
        <f t="shared" si="153"/>
        <v>0.16</v>
      </c>
    </row>
    <row r="761" spans="13:27" ht="16.5" x14ac:dyDescent="0.2">
      <c r="M761" s="15">
        <v>682</v>
      </c>
      <c r="N761" s="15">
        <f t="shared" si="142"/>
        <v>14</v>
      </c>
      <c r="O761" s="15">
        <f>INDEX(卡牌消耗!$H$13:$H$33,世界BOSS专属武器!N761)</f>
        <v>1501014</v>
      </c>
      <c r="P761" s="49" t="s">
        <v>480</v>
      </c>
      <c r="Q761" s="15">
        <f t="shared" si="143"/>
        <v>18</v>
      </c>
      <c r="R761" s="49" t="str">
        <f t="shared" si="144"/>
        <v>金币</v>
      </c>
      <c r="S761" s="15">
        <f t="shared" si="145"/>
        <v>1000</v>
      </c>
      <c r="T761" s="15" t="str">
        <f t="shared" si="146"/>
        <v>低级专属强化石</v>
      </c>
      <c r="U761" s="15">
        <f t="shared" si="147"/>
        <v>10</v>
      </c>
      <c r="V761" s="15" t="str">
        <f t="shared" si="148"/>
        <v>[x]</v>
      </c>
      <c r="W761" s="15" t="str">
        <f t="shared" si="149"/>
        <v>[x]</v>
      </c>
      <c r="X761" s="15">
        <f t="shared" si="150"/>
        <v>0.19</v>
      </c>
      <c r="Y761" s="15">
        <f t="shared" si="151"/>
        <v>1</v>
      </c>
      <c r="Z761" s="15">
        <f t="shared" si="152"/>
        <v>11</v>
      </c>
      <c r="AA761" s="15">
        <f t="shared" si="153"/>
        <v>0.17330000000000001</v>
      </c>
    </row>
    <row r="762" spans="13:27" ht="16.5" x14ac:dyDescent="0.2">
      <c r="M762" s="15">
        <v>683</v>
      </c>
      <c r="N762" s="15">
        <f t="shared" si="142"/>
        <v>14</v>
      </c>
      <c r="O762" s="15">
        <f>INDEX(卡牌消耗!$H$13:$H$33,世界BOSS专属武器!N762)</f>
        <v>1501014</v>
      </c>
      <c r="P762" s="49" t="s">
        <v>480</v>
      </c>
      <c r="Q762" s="15">
        <f t="shared" si="143"/>
        <v>19</v>
      </c>
      <c r="R762" s="49" t="str">
        <f t="shared" si="144"/>
        <v>金币</v>
      </c>
      <c r="S762" s="15">
        <f t="shared" si="145"/>
        <v>1000</v>
      </c>
      <c r="T762" s="15" t="str">
        <f t="shared" si="146"/>
        <v>低级专属强化石</v>
      </c>
      <c r="U762" s="15">
        <f t="shared" si="147"/>
        <v>10</v>
      </c>
      <c r="V762" s="15" t="str">
        <f t="shared" si="148"/>
        <v>[x]</v>
      </c>
      <c r="W762" s="15" t="str">
        <f t="shared" si="149"/>
        <v>[x]</v>
      </c>
      <c r="X762" s="15">
        <f t="shared" si="150"/>
        <v>0.17</v>
      </c>
      <c r="Y762" s="15">
        <f t="shared" si="151"/>
        <v>1</v>
      </c>
      <c r="Z762" s="15">
        <f t="shared" si="152"/>
        <v>12</v>
      </c>
      <c r="AA762" s="15">
        <f t="shared" si="153"/>
        <v>0.1867</v>
      </c>
    </row>
    <row r="763" spans="13:27" ht="16.5" x14ac:dyDescent="0.2">
      <c r="M763" s="15">
        <v>684</v>
      </c>
      <c r="N763" s="15">
        <f t="shared" si="142"/>
        <v>14</v>
      </c>
      <c r="O763" s="15">
        <f>INDEX(卡牌消耗!$H$13:$H$33,世界BOSS专属武器!N763)</f>
        <v>1501014</v>
      </c>
      <c r="P763" s="49" t="s">
        <v>480</v>
      </c>
      <c r="Q763" s="15">
        <f t="shared" si="143"/>
        <v>20</v>
      </c>
      <c r="R763" s="49" t="str">
        <f t="shared" si="144"/>
        <v>金币</v>
      </c>
      <c r="S763" s="15">
        <f t="shared" si="145"/>
        <v>5000</v>
      </c>
      <c r="T763" s="15" t="str">
        <f t="shared" si="146"/>
        <v>低级专属强化石</v>
      </c>
      <c r="U763" s="15">
        <f t="shared" si="147"/>
        <v>15</v>
      </c>
      <c r="V763" s="15" t="str">
        <f t="shared" si="148"/>
        <v>中级专属强化石</v>
      </c>
      <c r="W763" s="15">
        <f t="shared" si="149"/>
        <v>7</v>
      </c>
      <c r="X763" s="15">
        <f t="shared" si="150"/>
        <v>0.15</v>
      </c>
      <c r="Y763" s="15">
        <f t="shared" si="151"/>
        <v>1</v>
      </c>
      <c r="Z763" s="15">
        <f t="shared" si="152"/>
        <v>15</v>
      </c>
      <c r="AA763" s="15">
        <f t="shared" si="153"/>
        <v>0.2</v>
      </c>
    </row>
    <row r="764" spans="13:27" ht="16.5" x14ac:dyDescent="0.2">
      <c r="M764" s="15">
        <v>685</v>
      </c>
      <c r="N764" s="15">
        <f t="shared" si="142"/>
        <v>14</v>
      </c>
      <c r="O764" s="15">
        <f>INDEX(卡牌消耗!$H$13:$H$33,世界BOSS专属武器!N764)</f>
        <v>1501014</v>
      </c>
      <c r="P764" s="49" t="s">
        <v>480</v>
      </c>
      <c r="Q764" s="15">
        <f t="shared" si="143"/>
        <v>21</v>
      </c>
      <c r="R764" s="49" t="str">
        <f t="shared" si="144"/>
        <v>金币</v>
      </c>
      <c r="S764" s="15">
        <f t="shared" si="145"/>
        <v>5000</v>
      </c>
      <c r="T764" s="15" t="str">
        <f t="shared" si="146"/>
        <v>低级专属强化石</v>
      </c>
      <c r="U764" s="15">
        <f t="shared" si="147"/>
        <v>15</v>
      </c>
      <c r="V764" s="15" t="str">
        <f t="shared" si="148"/>
        <v>中级专属强化石</v>
      </c>
      <c r="W764" s="15">
        <f t="shared" si="149"/>
        <v>7</v>
      </c>
      <c r="X764" s="15">
        <f t="shared" si="150"/>
        <v>0.15</v>
      </c>
      <c r="Y764" s="15">
        <f t="shared" si="151"/>
        <v>1</v>
      </c>
      <c r="Z764" s="15">
        <f t="shared" si="152"/>
        <v>15</v>
      </c>
      <c r="AA764" s="15">
        <f t="shared" si="153"/>
        <v>0.22</v>
      </c>
    </row>
    <row r="765" spans="13:27" ht="16.5" x14ac:dyDescent="0.2">
      <c r="M765" s="15">
        <v>686</v>
      </c>
      <c r="N765" s="15">
        <f t="shared" si="142"/>
        <v>14</v>
      </c>
      <c r="O765" s="15">
        <f>INDEX(卡牌消耗!$H$13:$H$33,世界BOSS专属武器!N765)</f>
        <v>1501014</v>
      </c>
      <c r="P765" s="49" t="s">
        <v>480</v>
      </c>
      <c r="Q765" s="15">
        <f t="shared" si="143"/>
        <v>22</v>
      </c>
      <c r="R765" s="49" t="str">
        <f t="shared" si="144"/>
        <v>金币</v>
      </c>
      <c r="S765" s="15">
        <f t="shared" si="145"/>
        <v>5000</v>
      </c>
      <c r="T765" s="15" t="str">
        <f t="shared" si="146"/>
        <v>低级专属强化石</v>
      </c>
      <c r="U765" s="15">
        <f t="shared" si="147"/>
        <v>15</v>
      </c>
      <c r="V765" s="15" t="str">
        <f t="shared" si="148"/>
        <v>中级专属强化石</v>
      </c>
      <c r="W765" s="15">
        <f t="shared" si="149"/>
        <v>7</v>
      </c>
      <c r="X765" s="15">
        <f t="shared" si="150"/>
        <v>0.15</v>
      </c>
      <c r="Y765" s="15">
        <f t="shared" si="151"/>
        <v>1</v>
      </c>
      <c r="Z765" s="15">
        <f t="shared" si="152"/>
        <v>15</v>
      </c>
      <c r="AA765" s="15">
        <f t="shared" si="153"/>
        <v>0.24</v>
      </c>
    </row>
    <row r="766" spans="13:27" ht="16.5" x14ac:dyDescent="0.2">
      <c r="M766" s="15">
        <v>687</v>
      </c>
      <c r="N766" s="15">
        <f t="shared" si="142"/>
        <v>14</v>
      </c>
      <c r="O766" s="15">
        <f>INDEX(卡牌消耗!$H$13:$H$33,世界BOSS专属武器!N766)</f>
        <v>1501014</v>
      </c>
      <c r="P766" s="49" t="s">
        <v>480</v>
      </c>
      <c r="Q766" s="15">
        <f t="shared" si="143"/>
        <v>23</v>
      </c>
      <c r="R766" s="49" t="str">
        <f t="shared" si="144"/>
        <v>金币</v>
      </c>
      <c r="S766" s="15">
        <f t="shared" si="145"/>
        <v>5000</v>
      </c>
      <c r="T766" s="15" t="str">
        <f t="shared" si="146"/>
        <v>低级专属强化石</v>
      </c>
      <c r="U766" s="15">
        <f t="shared" si="147"/>
        <v>15</v>
      </c>
      <c r="V766" s="15" t="str">
        <f t="shared" si="148"/>
        <v>中级专属强化石</v>
      </c>
      <c r="W766" s="15">
        <f t="shared" si="149"/>
        <v>7</v>
      </c>
      <c r="X766" s="15">
        <f t="shared" si="150"/>
        <v>0.15</v>
      </c>
      <c r="Y766" s="15">
        <f t="shared" si="151"/>
        <v>1</v>
      </c>
      <c r="Z766" s="15">
        <f t="shared" si="152"/>
        <v>18</v>
      </c>
      <c r="AA766" s="15">
        <f t="shared" si="153"/>
        <v>0.26</v>
      </c>
    </row>
    <row r="767" spans="13:27" ht="16.5" x14ac:dyDescent="0.2">
      <c r="M767" s="15">
        <v>688</v>
      </c>
      <c r="N767" s="15">
        <f t="shared" si="142"/>
        <v>14</v>
      </c>
      <c r="O767" s="15">
        <f>INDEX(卡牌消耗!$H$13:$H$33,世界BOSS专属武器!N767)</f>
        <v>1501014</v>
      </c>
      <c r="P767" s="49" t="s">
        <v>480</v>
      </c>
      <c r="Q767" s="15">
        <f t="shared" si="143"/>
        <v>24</v>
      </c>
      <c r="R767" s="49" t="str">
        <f t="shared" si="144"/>
        <v>金币</v>
      </c>
      <c r="S767" s="15">
        <f t="shared" si="145"/>
        <v>5000</v>
      </c>
      <c r="T767" s="15" t="str">
        <f t="shared" si="146"/>
        <v>低级专属强化石</v>
      </c>
      <c r="U767" s="15">
        <f t="shared" si="147"/>
        <v>15</v>
      </c>
      <c r="V767" s="15" t="str">
        <f t="shared" si="148"/>
        <v>中级专属强化石</v>
      </c>
      <c r="W767" s="15">
        <f t="shared" si="149"/>
        <v>7</v>
      </c>
      <c r="X767" s="15">
        <f t="shared" si="150"/>
        <v>0.15</v>
      </c>
      <c r="Y767" s="15">
        <f t="shared" si="151"/>
        <v>1</v>
      </c>
      <c r="Z767" s="15">
        <f t="shared" si="152"/>
        <v>18</v>
      </c>
      <c r="AA767" s="15">
        <f t="shared" si="153"/>
        <v>0.28000000000000003</v>
      </c>
    </row>
    <row r="768" spans="13:27" ht="16.5" x14ac:dyDescent="0.2">
      <c r="M768" s="15">
        <v>689</v>
      </c>
      <c r="N768" s="15">
        <f t="shared" si="142"/>
        <v>14</v>
      </c>
      <c r="O768" s="15">
        <f>INDEX(卡牌消耗!$H$13:$H$33,世界BOSS专属武器!N768)</f>
        <v>1501014</v>
      </c>
      <c r="P768" s="49" t="s">
        <v>480</v>
      </c>
      <c r="Q768" s="15">
        <f t="shared" si="143"/>
        <v>25</v>
      </c>
      <c r="R768" s="49" t="str">
        <f t="shared" si="144"/>
        <v>金币</v>
      </c>
      <c r="S768" s="15">
        <f t="shared" si="145"/>
        <v>5000</v>
      </c>
      <c r="T768" s="15" t="str">
        <f t="shared" si="146"/>
        <v>低级专属强化石</v>
      </c>
      <c r="U768" s="15">
        <f t="shared" si="147"/>
        <v>15</v>
      </c>
      <c r="V768" s="15" t="str">
        <f t="shared" si="148"/>
        <v>中级专属强化石</v>
      </c>
      <c r="W768" s="15">
        <f t="shared" si="149"/>
        <v>7</v>
      </c>
      <c r="X768" s="15">
        <f t="shared" si="150"/>
        <v>0.15</v>
      </c>
      <c r="Y768" s="15">
        <f t="shared" si="151"/>
        <v>1</v>
      </c>
      <c r="Z768" s="15">
        <f t="shared" si="152"/>
        <v>18</v>
      </c>
      <c r="AA768" s="15">
        <f t="shared" si="153"/>
        <v>0.3</v>
      </c>
    </row>
    <row r="769" spans="13:27" ht="16.5" x14ac:dyDescent="0.2">
      <c r="M769" s="15">
        <v>690</v>
      </c>
      <c r="N769" s="15">
        <f t="shared" si="142"/>
        <v>14</v>
      </c>
      <c r="O769" s="15">
        <f>INDEX(卡牌消耗!$H$13:$H$33,世界BOSS专属武器!N769)</f>
        <v>1501014</v>
      </c>
      <c r="P769" s="49" t="s">
        <v>480</v>
      </c>
      <c r="Q769" s="15">
        <f t="shared" si="143"/>
        <v>26</v>
      </c>
      <c r="R769" s="49" t="str">
        <f t="shared" si="144"/>
        <v>金币</v>
      </c>
      <c r="S769" s="15">
        <f t="shared" si="145"/>
        <v>5000</v>
      </c>
      <c r="T769" s="15" t="str">
        <f t="shared" si="146"/>
        <v>低级专属强化石</v>
      </c>
      <c r="U769" s="15">
        <f t="shared" si="147"/>
        <v>15</v>
      </c>
      <c r="V769" s="15" t="str">
        <f t="shared" si="148"/>
        <v>中级专属强化石</v>
      </c>
      <c r="W769" s="15">
        <f t="shared" si="149"/>
        <v>7</v>
      </c>
      <c r="X769" s="15">
        <f t="shared" si="150"/>
        <v>0.15</v>
      </c>
      <c r="Y769" s="15">
        <f t="shared" si="151"/>
        <v>1</v>
      </c>
      <c r="Z769" s="15">
        <f t="shared" si="152"/>
        <v>21</v>
      </c>
      <c r="AA769" s="15">
        <f t="shared" si="153"/>
        <v>0.32</v>
      </c>
    </row>
    <row r="770" spans="13:27" ht="16.5" x14ac:dyDescent="0.2">
      <c r="M770" s="15">
        <v>691</v>
      </c>
      <c r="N770" s="15">
        <f t="shared" si="142"/>
        <v>14</v>
      </c>
      <c r="O770" s="15">
        <f>INDEX(卡牌消耗!$H$13:$H$33,世界BOSS专属武器!N770)</f>
        <v>1501014</v>
      </c>
      <c r="P770" s="49" t="s">
        <v>480</v>
      </c>
      <c r="Q770" s="15">
        <f t="shared" si="143"/>
        <v>27</v>
      </c>
      <c r="R770" s="49" t="str">
        <f t="shared" si="144"/>
        <v>金币</v>
      </c>
      <c r="S770" s="15">
        <f t="shared" si="145"/>
        <v>5000</v>
      </c>
      <c r="T770" s="15" t="str">
        <f t="shared" si="146"/>
        <v>低级专属强化石</v>
      </c>
      <c r="U770" s="15">
        <f t="shared" si="147"/>
        <v>15</v>
      </c>
      <c r="V770" s="15" t="str">
        <f t="shared" si="148"/>
        <v>中级专属强化石</v>
      </c>
      <c r="W770" s="15">
        <f t="shared" si="149"/>
        <v>7</v>
      </c>
      <c r="X770" s="15">
        <f t="shared" si="150"/>
        <v>0.15</v>
      </c>
      <c r="Y770" s="15">
        <f t="shared" si="151"/>
        <v>1</v>
      </c>
      <c r="Z770" s="15">
        <f t="shared" si="152"/>
        <v>22</v>
      </c>
      <c r="AA770" s="15">
        <f t="shared" si="153"/>
        <v>0.34</v>
      </c>
    </row>
    <row r="771" spans="13:27" ht="16.5" x14ac:dyDescent="0.2">
      <c r="M771" s="15">
        <v>692</v>
      </c>
      <c r="N771" s="15">
        <f t="shared" si="142"/>
        <v>14</v>
      </c>
      <c r="O771" s="15">
        <f>INDEX(卡牌消耗!$H$13:$H$33,世界BOSS专属武器!N771)</f>
        <v>1501014</v>
      </c>
      <c r="P771" s="49" t="s">
        <v>480</v>
      </c>
      <c r="Q771" s="15">
        <f t="shared" si="143"/>
        <v>28</v>
      </c>
      <c r="R771" s="49" t="str">
        <f t="shared" si="144"/>
        <v>金币</v>
      </c>
      <c r="S771" s="15">
        <f t="shared" si="145"/>
        <v>5000</v>
      </c>
      <c r="T771" s="15" t="str">
        <f t="shared" si="146"/>
        <v>低级专属强化石</v>
      </c>
      <c r="U771" s="15">
        <f t="shared" si="147"/>
        <v>15</v>
      </c>
      <c r="V771" s="15" t="str">
        <f t="shared" si="148"/>
        <v>中级专属强化石</v>
      </c>
      <c r="W771" s="15">
        <f t="shared" si="149"/>
        <v>7</v>
      </c>
      <c r="X771" s="15">
        <f t="shared" si="150"/>
        <v>0.15</v>
      </c>
      <c r="Y771" s="15">
        <f t="shared" si="151"/>
        <v>1</v>
      </c>
      <c r="Z771" s="15">
        <f t="shared" si="152"/>
        <v>23</v>
      </c>
      <c r="AA771" s="15">
        <f t="shared" si="153"/>
        <v>0.36</v>
      </c>
    </row>
    <row r="772" spans="13:27" ht="16.5" x14ac:dyDescent="0.2">
      <c r="M772" s="15">
        <v>693</v>
      </c>
      <c r="N772" s="15">
        <f t="shared" si="142"/>
        <v>14</v>
      </c>
      <c r="O772" s="15">
        <f>INDEX(卡牌消耗!$H$13:$H$33,世界BOSS专属武器!N772)</f>
        <v>1501014</v>
      </c>
      <c r="P772" s="49" t="s">
        <v>480</v>
      </c>
      <c r="Q772" s="15">
        <f t="shared" si="143"/>
        <v>29</v>
      </c>
      <c r="R772" s="49" t="str">
        <f t="shared" si="144"/>
        <v>金币</v>
      </c>
      <c r="S772" s="15">
        <f t="shared" si="145"/>
        <v>5000</v>
      </c>
      <c r="T772" s="15" t="str">
        <f t="shared" si="146"/>
        <v>低级专属强化石</v>
      </c>
      <c r="U772" s="15">
        <f t="shared" si="147"/>
        <v>15</v>
      </c>
      <c r="V772" s="15" t="str">
        <f t="shared" si="148"/>
        <v>中级专属强化石</v>
      </c>
      <c r="W772" s="15">
        <f t="shared" si="149"/>
        <v>7</v>
      </c>
      <c r="X772" s="15">
        <f t="shared" si="150"/>
        <v>0.15</v>
      </c>
      <c r="Y772" s="15">
        <f t="shared" si="151"/>
        <v>1</v>
      </c>
      <c r="Z772" s="15">
        <f t="shared" si="152"/>
        <v>25</v>
      </c>
      <c r="AA772" s="15">
        <f t="shared" si="153"/>
        <v>0.38</v>
      </c>
    </row>
    <row r="773" spans="13:27" ht="16.5" x14ac:dyDescent="0.2">
      <c r="M773" s="15">
        <v>694</v>
      </c>
      <c r="N773" s="15">
        <f t="shared" si="142"/>
        <v>14</v>
      </c>
      <c r="O773" s="15">
        <f>INDEX(卡牌消耗!$H$13:$H$33,世界BOSS专属武器!N773)</f>
        <v>1501014</v>
      </c>
      <c r="P773" s="49" t="s">
        <v>480</v>
      </c>
      <c r="Q773" s="15">
        <f t="shared" si="143"/>
        <v>30</v>
      </c>
      <c r="R773" s="49" t="str">
        <f t="shared" si="144"/>
        <v>金币</v>
      </c>
      <c r="S773" s="15">
        <f t="shared" si="145"/>
        <v>10000</v>
      </c>
      <c r="T773" s="15" t="str">
        <f t="shared" si="146"/>
        <v>中级专属强化石</v>
      </c>
      <c r="U773" s="15">
        <f t="shared" si="147"/>
        <v>8</v>
      </c>
      <c r="V773" s="15" t="str">
        <f t="shared" si="148"/>
        <v>高级专属强化石</v>
      </c>
      <c r="W773" s="15">
        <f t="shared" si="149"/>
        <v>3</v>
      </c>
      <c r="X773" s="15">
        <f t="shared" si="150"/>
        <v>0.1</v>
      </c>
      <c r="Y773" s="15">
        <f t="shared" si="151"/>
        <v>1</v>
      </c>
      <c r="Z773" s="15">
        <f t="shared" si="152"/>
        <v>30</v>
      </c>
      <c r="AA773" s="15">
        <f t="shared" si="153"/>
        <v>0.4</v>
      </c>
    </row>
    <row r="774" spans="13:27" ht="16.5" x14ac:dyDescent="0.2">
      <c r="M774" s="15">
        <v>695</v>
      </c>
      <c r="N774" s="15">
        <f t="shared" si="142"/>
        <v>14</v>
      </c>
      <c r="O774" s="15">
        <f>INDEX(卡牌消耗!$H$13:$H$33,世界BOSS专属武器!N774)</f>
        <v>1501014</v>
      </c>
      <c r="P774" s="49" t="s">
        <v>480</v>
      </c>
      <c r="Q774" s="15">
        <f t="shared" si="143"/>
        <v>31</v>
      </c>
      <c r="R774" s="49" t="str">
        <f t="shared" si="144"/>
        <v>金币</v>
      </c>
      <c r="S774" s="15">
        <f t="shared" si="145"/>
        <v>10000</v>
      </c>
      <c r="T774" s="15" t="str">
        <f t="shared" si="146"/>
        <v>中级专属强化石</v>
      </c>
      <c r="U774" s="15">
        <f t="shared" si="147"/>
        <v>8</v>
      </c>
      <c r="V774" s="15" t="str">
        <f t="shared" si="148"/>
        <v>高级专属强化石</v>
      </c>
      <c r="W774" s="15">
        <f t="shared" si="149"/>
        <v>3</v>
      </c>
      <c r="X774" s="15">
        <f t="shared" si="150"/>
        <v>0.1</v>
      </c>
      <c r="Y774" s="15">
        <f t="shared" si="151"/>
        <v>1</v>
      </c>
      <c r="Z774" s="15">
        <f t="shared" si="152"/>
        <v>30</v>
      </c>
      <c r="AA774" s="15">
        <f t="shared" si="153"/>
        <v>0.42670000000000002</v>
      </c>
    </row>
    <row r="775" spans="13:27" ht="16.5" x14ac:dyDescent="0.2">
      <c r="M775" s="15">
        <v>696</v>
      </c>
      <c r="N775" s="15">
        <f t="shared" si="142"/>
        <v>14</v>
      </c>
      <c r="O775" s="15">
        <f>INDEX(卡牌消耗!$H$13:$H$33,世界BOSS专属武器!N775)</f>
        <v>1501014</v>
      </c>
      <c r="P775" s="49" t="s">
        <v>480</v>
      </c>
      <c r="Q775" s="15">
        <f t="shared" si="143"/>
        <v>32</v>
      </c>
      <c r="R775" s="49" t="str">
        <f t="shared" si="144"/>
        <v>金币</v>
      </c>
      <c r="S775" s="15">
        <f t="shared" si="145"/>
        <v>10000</v>
      </c>
      <c r="T775" s="15" t="str">
        <f t="shared" si="146"/>
        <v>中级专属强化石</v>
      </c>
      <c r="U775" s="15">
        <f t="shared" si="147"/>
        <v>8</v>
      </c>
      <c r="V775" s="15" t="str">
        <f t="shared" si="148"/>
        <v>高级专属强化石</v>
      </c>
      <c r="W775" s="15">
        <f t="shared" si="149"/>
        <v>3</v>
      </c>
      <c r="X775" s="15">
        <f t="shared" si="150"/>
        <v>0.1</v>
      </c>
      <c r="Y775" s="15">
        <f t="shared" si="151"/>
        <v>1</v>
      </c>
      <c r="Z775" s="15">
        <f t="shared" si="152"/>
        <v>30</v>
      </c>
      <c r="AA775" s="15">
        <f t="shared" si="153"/>
        <v>0.45329999999999998</v>
      </c>
    </row>
    <row r="776" spans="13:27" ht="16.5" x14ac:dyDescent="0.2">
      <c r="M776" s="15">
        <v>697</v>
      </c>
      <c r="N776" s="15">
        <f t="shared" si="142"/>
        <v>14</v>
      </c>
      <c r="O776" s="15">
        <f>INDEX(卡牌消耗!$H$13:$H$33,世界BOSS专属武器!N776)</f>
        <v>1501014</v>
      </c>
      <c r="P776" s="49" t="s">
        <v>480</v>
      </c>
      <c r="Q776" s="15">
        <f t="shared" si="143"/>
        <v>33</v>
      </c>
      <c r="R776" s="49" t="str">
        <f t="shared" si="144"/>
        <v>金币</v>
      </c>
      <c r="S776" s="15">
        <f t="shared" si="145"/>
        <v>10000</v>
      </c>
      <c r="T776" s="15" t="str">
        <f t="shared" si="146"/>
        <v>中级专属强化石</v>
      </c>
      <c r="U776" s="15">
        <f t="shared" si="147"/>
        <v>8</v>
      </c>
      <c r="V776" s="15" t="str">
        <f t="shared" si="148"/>
        <v>高级专属强化石</v>
      </c>
      <c r="W776" s="15">
        <f t="shared" si="149"/>
        <v>3</v>
      </c>
      <c r="X776" s="15">
        <f t="shared" si="150"/>
        <v>0.1</v>
      </c>
      <c r="Y776" s="15">
        <f t="shared" si="151"/>
        <v>1</v>
      </c>
      <c r="Z776" s="15">
        <f t="shared" si="152"/>
        <v>30</v>
      </c>
      <c r="AA776" s="15">
        <f t="shared" si="153"/>
        <v>0.48</v>
      </c>
    </row>
    <row r="777" spans="13:27" ht="16.5" x14ac:dyDescent="0.2">
      <c r="M777" s="15">
        <v>698</v>
      </c>
      <c r="N777" s="15">
        <f t="shared" si="142"/>
        <v>14</v>
      </c>
      <c r="O777" s="15">
        <f>INDEX(卡牌消耗!$H$13:$H$33,世界BOSS专属武器!N777)</f>
        <v>1501014</v>
      </c>
      <c r="P777" s="49" t="s">
        <v>480</v>
      </c>
      <c r="Q777" s="15">
        <f t="shared" si="143"/>
        <v>34</v>
      </c>
      <c r="R777" s="49" t="str">
        <f t="shared" si="144"/>
        <v>金币</v>
      </c>
      <c r="S777" s="15">
        <f t="shared" si="145"/>
        <v>10000</v>
      </c>
      <c r="T777" s="15" t="str">
        <f t="shared" si="146"/>
        <v>中级专属强化石</v>
      </c>
      <c r="U777" s="15">
        <f t="shared" si="147"/>
        <v>8</v>
      </c>
      <c r="V777" s="15" t="str">
        <f t="shared" si="148"/>
        <v>高级专属强化石</v>
      </c>
      <c r="W777" s="15">
        <f t="shared" si="149"/>
        <v>3</v>
      </c>
      <c r="X777" s="15">
        <f t="shared" si="150"/>
        <v>0.1</v>
      </c>
      <c r="Y777" s="15">
        <f t="shared" si="151"/>
        <v>1</v>
      </c>
      <c r="Z777" s="15">
        <f t="shared" si="152"/>
        <v>30</v>
      </c>
      <c r="AA777" s="15">
        <f t="shared" si="153"/>
        <v>0.50670000000000004</v>
      </c>
    </row>
    <row r="778" spans="13:27" ht="16.5" x14ac:dyDescent="0.2">
      <c r="M778" s="15">
        <v>699</v>
      </c>
      <c r="N778" s="15">
        <f t="shared" si="142"/>
        <v>14</v>
      </c>
      <c r="O778" s="15">
        <f>INDEX(卡牌消耗!$H$13:$H$33,世界BOSS专属武器!N778)</f>
        <v>1501014</v>
      </c>
      <c r="P778" s="49" t="s">
        <v>480</v>
      </c>
      <c r="Q778" s="15">
        <f t="shared" si="143"/>
        <v>35</v>
      </c>
      <c r="R778" s="49" t="str">
        <f t="shared" si="144"/>
        <v>金币</v>
      </c>
      <c r="S778" s="15">
        <f t="shared" si="145"/>
        <v>10000</v>
      </c>
      <c r="T778" s="15" t="str">
        <f t="shared" si="146"/>
        <v>中级专属强化石</v>
      </c>
      <c r="U778" s="15">
        <f t="shared" si="147"/>
        <v>8</v>
      </c>
      <c r="V778" s="15" t="str">
        <f t="shared" si="148"/>
        <v>高级专属强化石</v>
      </c>
      <c r="W778" s="15">
        <f t="shared" si="149"/>
        <v>3</v>
      </c>
      <c r="X778" s="15">
        <f t="shared" si="150"/>
        <v>0.1</v>
      </c>
      <c r="Y778" s="15">
        <f t="shared" si="151"/>
        <v>1</v>
      </c>
      <c r="Z778" s="15">
        <f t="shared" si="152"/>
        <v>30</v>
      </c>
      <c r="AA778" s="15">
        <f t="shared" si="153"/>
        <v>0.5333</v>
      </c>
    </row>
    <row r="779" spans="13:27" ht="16.5" x14ac:dyDescent="0.2">
      <c r="M779" s="15">
        <v>700</v>
      </c>
      <c r="N779" s="15">
        <f t="shared" si="142"/>
        <v>14</v>
      </c>
      <c r="O779" s="15">
        <f>INDEX(卡牌消耗!$H$13:$H$33,世界BOSS专属武器!N779)</f>
        <v>1501014</v>
      </c>
      <c r="P779" s="49" t="s">
        <v>480</v>
      </c>
      <c r="Q779" s="15">
        <f t="shared" si="143"/>
        <v>36</v>
      </c>
      <c r="R779" s="49" t="str">
        <f t="shared" si="144"/>
        <v>金币</v>
      </c>
      <c r="S779" s="15">
        <f t="shared" si="145"/>
        <v>10000</v>
      </c>
      <c r="T779" s="15" t="str">
        <f t="shared" si="146"/>
        <v>中级专属强化石</v>
      </c>
      <c r="U779" s="15">
        <f t="shared" si="147"/>
        <v>8</v>
      </c>
      <c r="V779" s="15" t="str">
        <f t="shared" si="148"/>
        <v>高级专属强化石</v>
      </c>
      <c r="W779" s="15">
        <f t="shared" si="149"/>
        <v>3</v>
      </c>
      <c r="X779" s="15">
        <f t="shared" si="150"/>
        <v>0.1</v>
      </c>
      <c r="Y779" s="15">
        <f t="shared" si="151"/>
        <v>1</v>
      </c>
      <c r="Z779" s="15">
        <f t="shared" si="152"/>
        <v>30</v>
      </c>
      <c r="AA779" s="15">
        <f t="shared" si="153"/>
        <v>0.56000000000000005</v>
      </c>
    </row>
    <row r="780" spans="13:27" ht="16.5" x14ac:dyDescent="0.2">
      <c r="M780" s="15">
        <v>701</v>
      </c>
      <c r="N780" s="15">
        <f t="shared" si="142"/>
        <v>14</v>
      </c>
      <c r="O780" s="15">
        <f>INDEX(卡牌消耗!$H$13:$H$33,世界BOSS专属武器!N780)</f>
        <v>1501014</v>
      </c>
      <c r="P780" s="49" t="s">
        <v>480</v>
      </c>
      <c r="Q780" s="15">
        <f t="shared" si="143"/>
        <v>37</v>
      </c>
      <c r="R780" s="49" t="str">
        <f t="shared" si="144"/>
        <v>金币</v>
      </c>
      <c r="S780" s="15">
        <f t="shared" si="145"/>
        <v>10000</v>
      </c>
      <c r="T780" s="15" t="str">
        <f t="shared" si="146"/>
        <v>中级专属强化石</v>
      </c>
      <c r="U780" s="15">
        <f t="shared" si="147"/>
        <v>8</v>
      </c>
      <c r="V780" s="15" t="str">
        <f t="shared" si="148"/>
        <v>高级专属强化石</v>
      </c>
      <c r="W780" s="15">
        <f t="shared" si="149"/>
        <v>3</v>
      </c>
      <c r="X780" s="15">
        <f t="shared" si="150"/>
        <v>0.1</v>
      </c>
      <c r="Y780" s="15">
        <f t="shared" si="151"/>
        <v>1</v>
      </c>
      <c r="Z780" s="15">
        <f t="shared" si="152"/>
        <v>30</v>
      </c>
      <c r="AA780" s="15">
        <f t="shared" si="153"/>
        <v>0.5867</v>
      </c>
    </row>
    <row r="781" spans="13:27" ht="16.5" x14ac:dyDescent="0.2">
      <c r="M781" s="15">
        <v>702</v>
      </c>
      <c r="N781" s="15">
        <f t="shared" si="142"/>
        <v>14</v>
      </c>
      <c r="O781" s="15">
        <f>INDEX(卡牌消耗!$H$13:$H$33,世界BOSS专属武器!N781)</f>
        <v>1501014</v>
      </c>
      <c r="P781" s="49" t="s">
        <v>480</v>
      </c>
      <c r="Q781" s="15">
        <f t="shared" si="143"/>
        <v>38</v>
      </c>
      <c r="R781" s="49" t="str">
        <f t="shared" si="144"/>
        <v>金币</v>
      </c>
      <c r="S781" s="15">
        <f t="shared" si="145"/>
        <v>10000</v>
      </c>
      <c r="T781" s="15" t="str">
        <f t="shared" si="146"/>
        <v>中级专属强化石</v>
      </c>
      <c r="U781" s="15">
        <f t="shared" si="147"/>
        <v>8</v>
      </c>
      <c r="V781" s="15" t="str">
        <f t="shared" si="148"/>
        <v>高级专属强化石</v>
      </c>
      <c r="W781" s="15">
        <f t="shared" si="149"/>
        <v>3</v>
      </c>
      <c r="X781" s="15">
        <f t="shared" si="150"/>
        <v>0.1</v>
      </c>
      <c r="Y781" s="15">
        <f t="shared" si="151"/>
        <v>1</v>
      </c>
      <c r="Z781" s="15">
        <f t="shared" si="152"/>
        <v>30</v>
      </c>
      <c r="AA781" s="15">
        <f t="shared" si="153"/>
        <v>0.61329999999999996</v>
      </c>
    </row>
    <row r="782" spans="13:27" ht="16.5" x14ac:dyDescent="0.2">
      <c r="M782" s="15">
        <v>703</v>
      </c>
      <c r="N782" s="15">
        <f t="shared" si="142"/>
        <v>14</v>
      </c>
      <c r="O782" s="15">
        <f>INDEX(卡牌消耗!$H$13:$H$33,世界BOSS专属武器!N782)</f>
        <v>1501014</v>
      </c>
      <c r="P782" s="49" t="s">
        <v>480</v>
      </c>
      <c r="Q782" s="15">
        <f t="shared" si="143"/>
        <v>39</v>
      </c>
      <c r="R782" s="49" t="str">
        <f t="shared" si="144"/>
        <v>金币</v>
      </c>
      <c r="S782" s="15">
        <f t="shared" si="145"/>
        <v>10000</v>
      </c>
      <c r="T782" s="15" t="str">
        <f t="shared" si="146"/>
        <v>中级专属强化石</v>
      </c>
      <c r="U782" s="15">
        <f t="shared" si="147"/>
        <v>8</v>
      </c>
      <c r="V782" s="15" t="str">
        <f t="shared" si="148"/>
        <v>高级专属强化石</v>
      </c>
      <c r="W782" s="15">
        <f t="shared" si="149"/>
        <v>3</v>
      </c>
      <c r="X782" s="15">
        <f t="shared" si="150"/>
        <v>0.1</v>
      </c>
      <c r="Y782" s="15">
        <f t="shared" si="151"/>
        <v>1</v>
      </c>
      <c r="Z782" s="15">
        <f t="shared" si="152"/>
        <v>30</v>
      </c>
      <c r="AA782" s="15">
        <f t="shared" si="153"/>
        <v>0.64</v>
      </c>
    </row>
    <row r="783" spans="13:27" ht="16.5" x14ac:dyDescent="0.2">
      <c r="M783" s="15">
        <v>704</v>
      </c>
      <c r="N783" s="15">
        <f t="shared" si="142"/>
        <v>14</v>
      </c>
      <c r="O783" s="15">
        <f>INDEX(卡牌消耗!$H$13:$H$33,世界BOSS专属武器!N783)</f>
        <v>1501014</v>
      </c>
      <c r="P783" s="49" t="s">
        <v>480</v>
      </c>
      <c r="Q783" s="15">
        <f t="shared" si="143"/>
        <v>40</v>
      </c>
      <c r="R783" s="49" t="str">
        <f t="shared" si="144"/>
        <v>金币</v>
      </c>
      <c r="S783" s="15">
        <f t="shared" si="145"/>
        <v>20000</v>
      </c>
      <c r="T783" s="15" t="str">
        <f t="shared" si="146"/>
        <v>高级专属强化石</v>
      </c>
      <c r="U783" s="15">
        <f t="shared" si="147"/>
        <v>5</v>
      </c>
      <c r="V783" s="15" t="str">
        <f t="shared" si="148"/>
        <v>[x]</v>
      </c>
      <c r="W783" s="15" t="str">
        <f t="shared" si="149"/>
        <v>[x]</v>
      </c>
      <c r="X783" s="15">
        <f t="shared" si="150"/>
        <v>0.1</v>
      </c>
      <c r="Y783" s="15">
        <f t="shared" si="151"/>
        <v>1</v>
      </c>
      <c r="Z783" s="15">
        <f t="shared" si="152"/>
        <v>35</v>
      </c>
      <c r="AA783" s="15">
        <f t="shared" si="153"/>
        <v>0.66669999999999996</v>
      </c>
    </row>
    <row r="784" spans="13:27" ht="16.5" x14ac:dyDescent="0.2">
      <c r="M784" s="15">
        <v>705</v>
      </c>
      <c r="N784" s="15">
        <f t="shared" si="142"/>
        <v>14</v>
      </c>
      <c r="O784" s="15">
        <f>INDEX(卡牌消耗!$H$13:$H$33,世界BOSS专属武器!N784)</f>
        <v>1501014</v>
      </c>
      <c r="P784" s="49" t="s">
        <v>480</v>
      </c>
      <c r="Q784" s="15">
        <f t="shared" si="143"/>
        <v>41</v>
      </c>
      <c r="R784" s="49" t="str">
        <f t="shared" si="144"/>
        <v>金币</v>
      </c>
      <c r="S784" s="15">
        <f t="shared" si="145"/>
        <v>20000</v>
      </c>
      <c r="T784" s="15" t="str">
        <f t="shared" si="146"/>
        <v>高级专属强化石</v>
      </c>
      <c r="U784" s="15">
        <f t="shared" si="147"/>
        <v>5</v>
      </c>
      <c r="V784" s="15" t="str">
        <f t="shared" si="148"/>
        <v>[x]</v>
      </c>
      <c r="W784" s="15" t="str">
        <f t="shared" si="149"/>
        <v>[x]</v>
      </c>
      <c r="X784" s="15">
        <f t="shared" si="150"/>
        <v>0.1</v>
      </c>
      <c r="Y784" s="15">
        <f t="shared" si="151"/>
        <v>1</v>
      </c>
      <c r="Z784" s="15">
        <f t="shared" si="152"/>
        <v>40</v>
      </c>
      <c r="AA784" s="15">
        <f t="shared" si="153"/>
        <v>0.7</v>
      </c>
    </row>
    <row r="785" spans="13:27" ht="16.5" x14ac:dyDescent="0.2">
      <c r="M785" s="15">
        <v>706</v>
      </c>
      <c r="N785" s="15">
        <f t="shared" ref="N785:N848" si="154">INT((M785-1)/51)+1</f>
        <v>14</v>
      </c>
      <c r="O785" s="15">
        <f>INDEX(卡牌消耗!$H$13:$H$33,世界BOSS专属武器!N785)</f>
        <v>1501014</v>
      </c>
      <c r="P785" s="49" t="s">
        <v>480</v>
      </c>
      <c r="Q785" s="15">
        <f t="shared" ref="Q785:Q848" si="155">MOD(M785-1,51)</f>
        <v>42</v>
      </c>
      <c r="R785" s="49" t="str">
        <f t="shared" ref="R785:R848" si="156">IF(Q785&gt;0,"金币","[x]")</f>
        <v>金币</v>
      </c>
      <c r="S785" s="15">
        <f t="shared" ref="S785:S848" si="157">IF(Q785&gt;0,INDEX($V$27:$V$76,Q785),"[x]")</f>
        <v>20000</v>
      </c>
      <c r="T785" s="15" t="str">
        <f t="shared" ref="T785:T848" si="158">IF(Q785&gt;0,INDEX($W$27:$W$76,Q785),"[x]")</f>
        <v>高级专属强化石</v>
      </c>
      <c r="U785" s="15">
        <f t="shared" ref="U785:U848" si="159">IF(Q785&gt;0,INDEX($AA$27:$AF$76,Q785,INDEX($Y$27:$Y$76,Q785)),"[x]")</f>
        <v>5</v>
      </c>
      <c r="V785" s="15" t="str">
        <f t="shared" ref="V785:V848" si="160">IF(AND(Q785&gt;=20,Q785&lt;40),INDEX($X$27:$X$76,Q785),"[x]")</f>
        <v>[x]</v>
      </c>
      <c r="W785" s="15" t="str">
        <f t="shared" ref="W785:W848" si="161">IF(AND(Q785&gt;=20,Q785&lt;40),INDEX($AA$27:$AF$76,Q785,INDEX($Z$27:$Z$76,Q785)),"[x]")</f>
        <v>[x]</v>
      </c>
      <c r="X785" s="15">
        <f t="shared" ref="X785:X848" si="162">IF(Q785&gt;0,INDEX($T$27:$T$76,Q785),"[x]")</f>
        <v>0.1</v>
      </c>
      <c r="Y785" s="15">
        <f t="shared" ref="Y785:Y848" si="163">IF(Q785&gt;0,1,"[x]")</f>
        <v>1</v>
      </c>
      <c r="Z785" s="15">
        <f t="shared" ref="Z785:Z848" si="164">IF(Q785&gt;0,INDEX($AG$27:$AG$76,Q785),"[x]")</f>
        <v>45</v>
      </c>
      <c r="AA785" s="15">
        <f t="shared" ref="AA785:AA848" si="165">IF(Q785&gt;0,INDEX($AL$27:$AL$76,Q785),"[x]")</f>
        <v>0.73329999999999995</v>
      </c>
    </row>
    <row r="786" spans="13:27" ht="16.5" x14ac:dyDescent="0.2">
      <c r="M786" s="15">
        <v>707</v>
      </c>
      <c r="N786" s="15">
        <f t="shared" si="154"/>
        <v>14</v>
      </c>
      <c r="O786" s="15">
        <f>INDEX(卡牌消耗!$H$13:$H$33,世界BOSS专属武器!N786)</f>
        <v>1501014</v>
      </c>
      <c r="P786" s="49" t="s">
        <v>480</v>
      </c>
      <c r="Q786" s="15">
        <f t="shared" si="155"/>
        <v>43</v>
      </c>
      <c r="R786" s="49" t="str">
        <f t="shared" si="156"/>
        <v>金币</v>
      </c>
      <c r="S786" s="15">
        <f t="shared" si="157"/>
        <v>20000</v>
      </c>
      <c r="T786" s="15" t="str">
        <f t="shared" si="158"/>
        <v>高级专属强化石</v>
      </c>
      <c r="U786" s="15">
        <f t="shared" si="159"/>
        <v>5</v>
      </c>
      <c r="V786" s="15" t="str">
        <f t="shared" si="160"/>
        <v>[x]</v>
      </c>
      <c r="W786" s="15" t="str">
        <f t="shared" si="161"/>
        <v>[x]</v>
      </c>
      <c r="X786" s="15">
        <f t="shared" si="162"/>
        <v>0.1</v>
      </c>
      <c r="Y786" s="15">
        <f t="shared" si="163"/>
        <v>1</v>
      </c>
      <c r="Z786" s="15">
        <f t="shared" si="164"/>
        <v>50</v>
      </c>
      <c r="AA786" s="15">
        <f t="shared" si="165"/>
        <v>0.76670000000000005</v>
      </c>
    </row>
    <row r="787" spans="13:27" ht="16.5" x14ac:dyDescent="0.2">
      <c r="M787" s="15">
        <v>708</v>
      </c>
      <c r="N787" s="15">
        <f t="shared" si="154"/>
        <v>14</v>
      </c>
      <c r="O787" s="15">
        <f>INDEX(卡牌消耗!$H$13:$H$33,世界BOSS专属武器!N787)</f>
        <v>1501014</v>
      </c>
      <c r="P787" s="49" t="s">
        <v>480</v>
      </c>
      <c r="Q787" s="15">
        <f t="shared" si="155"/>
        <v>44</v>
      </c>
      <c r="R787" s="49" t="str">
        <f t="shared" si="156"/>
        <v>金币</v>
      </c>
      <c r="S787" s="15">
        <f t="shared" si="157"/>
        <v>20000</v>
      </c>
      <c r="T787" s="15" t="str">
        <f t="shared" si="158"/>
        <v>高级专属强化石</v>
      </c>
      <c r="U787" s="15">
        <f t="shared" si="159"/>
        <v>5</v>
      </c>
      <c r="V787" s="15" t="str">
        <f t="shared" si="160"/>
        <v>[x]</v>
      </c>
      <c r="W787" s="15" t="str">
        <f t="shared" si="161"/>
        <v>[x]</v>
      </c>
      <c r="X787" s="15">
        <f t="shared" si="162"/>
        <v>0.1</v>
      </c>
      <c r="Y787" s="15">
        <f t="shared" si="163"/>
        <v>1</v>
      </c>
      <c r="Z787" s="15">
        <f t="shared" si="164"/>
        <v>55</v>
      </c>
      <c r="AA787" s="15">
        <f t="shared" si="165"/>
        <v>0.8</v>
      </c>
    </row>
    <row r="788" spans="13:27" ht="16.5" x14ac:dyDescent="0.2">
      <c r="M788" s="15">
        <v>709</v>
      </c>
      <c r="N788" s="15">
        <f t="shared" si="154"/>
        <v>14</v>
      </c>
      <c r="O788" s="15">
        <f>INDEX(卡牌消耗!$H$13:$H$33,世界BOSS专属武器!N788)</f>
        <v>1501014</v>
      </c>
      <c r="P788" s="49" t="s">
        <v>480</v>
      </c>
      <c r="Q788" s="15">
        <f t="shared" si="155"/>
        <v>45</v>
      </c>
      <c r="R788" s="49" t="str">
        <f t="shared" si="156"/>
        <v>金币</v>
      </c>
      <c r="S788" s="15">
        <f t="shared" si="157"/>
        <v>20000</v>
      </c>
      <c r="T788" s="15" t="str">
        <f t="shared" si="158"/>
        <v>高级专属强化石</v>
      </c>
      <c r="U788" s="15">
        <f t="shared" si="159"/>
        <v>6</v>
      </c>
      <c r="V788" s="15" t="str">
        <f t="shared" si="160"/>
        <v>[x]</v>
      </c>
      <c r="W788" s="15" t="str">
        <f t="shared" si="161"/>
        <v>[x]</v>
      </c>
      <c r="X788" s="15">
        <f t="shared" si="162"/>
        <v>0.1</v>
      </c>
      <c r="Y788" s="15">
        <f t="shared" si="163"/>
        <v>1</v>
      </c>
      <c r="Z788" s="15">
        <f t="shared" si="164"/>
        <v>60</v>
      </c>
      <c r="AA788" s="15">
        <f t="shared" si="165"/>
        <v>0.83330000000000004</v>
      </c>
    </row>
    <row r="789" spans="13:27" ht="16.5" x14ac:dyDescent="0.2">
      <c r="M789" s="15">
        <v>710</v>
      </c>
      <c r="N789" s="15">
        <f t="shared" si="154"/>
        <v>14</v>
      </c>
      <c r="O789" s="15">
        <f>INDEX(卡牌消耗!$H$13:$H$33,世界BOSS专属武器!N789)</f>
        <v>1501014</v>
      </c>
      <c r="P789" s="49" t="s">
        <v>480</v>
      </c>
      <c r="Q789" s="15">
        <f t="shared" si="155"/>
        <v>46</v>
      </c>
      <c r="R789" s="49" t="str">
        <f t="shared" si="156"/>
        <v>金币</v>
      </c>
      <c r="S789" s="15">
        <f t="shared" si="157"/>
        <v>20000</v>
      </c>
      <c r="T789" s="15" t="str">
        <f t="shared" si="158"/>
        <v>高级专属强化石</v>
      </c>
      <c r="U789" s="15">
        <f t="shared" si="159"/>
        <v>7</v>
      </c>
      <c r="V789" s="15" t="str">
        <f t="shared" si="160"/>
        <v>[x]</v>
      </c>
      <c r="W789" s="15" t="str">
        <f t="shared" si="161"/>
        <v>[x]</v>
      </c>
      <c r="X789" s="15">
        <f t="shared" si="162"/>
        <v>0.1</v>
      </c>
      <c r="Y789" s="15">
        <f t="shared" si="163"/>
        <v>1</v>
      </c>
      <c r="Z789" s="15">
        <f t="shared" si="164"/>
        <v>70</v>
      </c>
      <c r="AA789" s="15">
        <f t="shared" si="165"/>
        <v>0.86670000000000003</v>
      </c>
    </row>
    <row r="790" spans="13:27" ht="16.5" x14ac:dyDescent="0.2">
      <c r="M790" s="15">
        <v>711</v>
      </c>
      <c r="N790" s="15">
        <f t="shared" si="154"/>
        <v>14</v>
      </c>
      <c r="O790" s="15">
        <f>INDEX(卡牌消耗!$H$13:$H$33,世界BOSS专属武器!N790)</f>
        <v>1501014</v>
      </c>
      <c r="P790" s="49" t="s">
        <v>480</v>
      </c>
      <c r="Q790" s="15">
        <f t="shared" si="155"/>
        <v>47</v>
      </c>
      <c r="R790" s="49" t="str">
        <f t="shared" si="156"/>
        <v>金币</v>
      </c>
      <c r="S790" s="15">
        <f t="shared" si="157"/>
        <v>20000</v>
      </c>
      <c r="T790" s="15" t="str">
        <f t="shared" si="158"/>
        <v>高级专属强化石</v>
      </c>
      <c r="U790" s="15">
        <f t="shared" si="159"/>
        <v>8</v>
      </c>
      <c r="V790" s="15" t="str">
        <f t="shared" si="160"/>
        <v>[x]</v>
      </c>
      <c r="W790" s="15" t="str">
        <f t="shared" si="161"/>
        <v>[x]</v>
      </c>
      <c r="X790" s="15">
        <f t="shared" si="162"/>
        <v>0.1</v>
      </c>
      <c r="Y790" s="15">
        <f t="shared" si="163"/>
        <v>1</v>
      </c>
      <c r="Z790" s="15">
        <f t="shared" si="164"/>
        <v>80</v>
      </c>
      <c r="AA790" s="15">
        <f t="shared" si="165"/>
        <v>0.9</v>
      </c>
    </row>
    <row r="791" spans="13:27" ht="16.5" x14ac:dyDescent="0.2">
      <c r="M791" s="15">
        <v>712</v>
      </c>
      <c r="N791" s="15">
        <f t="shared" si="154"/>
        <v>14</v>
      </c>
      <c r="O791" s="15">
        <f>INDEX(卡牌消耗!$H$13:$H$33,世界BOSS专属武器!N791)</f>
        <v>1501014</v>
      </c>
      <c r="P791" s="49" t="s">
        <v>480</v>
      </c>
      <c r="Q791" s="15">
        <f t="shared" si="155"/>
        <v>48</v>
      </c>
      <c r="R791" s="49" t="str">
        <f t="shared" si="156"/>
        <v>金币</v>
      </c>
      <c r="S791" s="15">
        <f t="shared" si="157"/>
        <v>20000</v>
      </c>
      <c r="T791" s="15" t="str">
        <f t="shared" si="158"/>
        <v>高级专属强化石</v>
      </c>
      <c r="U791" s="15">
        <f t="shared" si="159"/>
        <v>9</v>
      </c>
      <c r="V791" s="15" t="str">
        <f t="shared" si="160"/>
        <v>[x]</v>
      </c>
      <c r="W791" s="15" t="str">
        <f t="shared" si="161"/>
        <v>[x]</v>
      </c>
      <c r="X791" s="15">
        <f t="shared" si="162"/>
        <v>0.1</v>
      </c>
      <c r="Y791" s="15">
        <f t="shared" si="163"/>
        <v>1</v>
      </c>
      <c r="Z791" s="15">
        <f t="shared" si="164"/>
        <v>100</v>
      </c>
      <c r="AA791" s="15">
        <f t="shared" si="165"/>
        <v>0.93330000000000002</v>
      </c>
    </row>
    <row r="792" spans="13:27" ht="16.5" x14ac:dyDescent="0.2">
      <c r="M792" s="15">
        <v>713</v>
      </c>
      <c r="N792" s="15">
        <f t="shared" si="154"/>
        <v>14</v>
      </c>
      <c r="O792" s="15">
        <f>INDEX(卡牌消耗!$H$13:$H$33,世界BOSS专属武器!N792)</f>
        <v>1501014</v>
      </c>
      <c r="P792" s="49" t="s">
        <v>480</v>
      </c>
      <c r="Q792" s="15">
        <f t="shared" si="155"/>
        <v>49</v>
      </c>
      <c r="R792" s="49" t="str">
        <f t="shared" si="156"/>
        <v>金币</v>
      </c>
      <c r="S792" s="15">
        <f t="shared" si="157"/>
        <v>20000</v>
      </c>
      <c r="T792" s="15" t="str">
        <f t="shared" si="158"/>
        <v>高级专属强化石</v>
      </c>
      <c r="U792" s="15">
        <f t="shared" si="159"/>
        <v>10</v>
      </c>
      <c r="V792" s="15" t="str">
        <f t="shared" si="160"/>
        <v>[x]</v>
      </c>
      <c r="W792" s="15" t="str">
        <f t="shared" si="161"/>
        <v>[x]</v>
      </c>
      <c r="X792" s="15">
        <f t="shared" si="162"/>
        <v>0.1</v>
      </c>
      <c r="Y792" s="15">
        <f t="shared" si="163"/>
        <v>1</v>
      </c>
      <c r="Z792" s="15">
        <f t="shared" si="164"/>
        <v>120</v>
      </c>
      <c r="AA792" s="15">
        <f t="shared" si="165"/>
        <v>0.9667</v>
      </c>
    </row>
    <row r="793" spans="13:27" ht="16.5" x14ac:dyDescent="0.2">
      <c r="M793" s="15">
        <v>714</v>
      </c>
      <c r="N793" s="15">
        <f t="shared" si="154"/>
        <v>14</v>
      </c>
      <c r="O793" s="15">
        <f>INDEX(卡牌消耗!$H$13:$H$33,世界BOSS专属武器!N793)</f>
        <v>1501014</v>
      </c>
      <c r="P793" s="49" t="s">
        <v>480</v>
      </c>
      <c r="Q793" s="15">
        <f t="shared" si="155"/>
        <v>50</v>
      </c>
      <c r="R793" s="49" t="str">
        <f t="shared" si="156"/>
        <v>金币</v>
      </c>
      <c r="S793" s="15">
        <f t="shared" si="157"/>
        <v>20000</v>
      </c>
      <c r="T793" s="15" t="str">
        <f t="shared" si="158"/>
        <v>高级专属强化石</v>
      </c>
      <c r="U793" s="15">
        <f t="shared" si="159"/>
        <v>15</v>
      </c>
      <c r="V793" s="15" t="str">
        <f t="shared" si="160"/>
        <v>[x]</v>
      </c>
      <c r="W793" s="15" t="str">
        <f t="shared" si="161"/>
        <v>[x]</v>
      </c>
      <c r="X793" s="15">
        <f t="shared" si="162"/>
        <v>0.1</v>
      </c>
      <c r="Y793" s="15">
        <f t="shared" si="163"/>
        <v>1</v>
      </c>
      <c r="Z793" s="15">
        <f t="shared" si="164"/>
        <v>150</v>
      </c>
      <c r="AA793" s="15">
        <f t="shared" si="165"/>
        <v>1</v>
      </c>
    </row>
    <row r="794" spans="13:27" ht="16.5" x14ac:dyDescent="0.2">
      <c r="M794" s="15">
        <v>715</v>
      </c>
      <c r="N794" s="15">
        <f t="shared" si="154"/>
        <v>15</v>
      </c>
      <c r="O794" s="15">
        <f>INDEX(卡牌消耗!$H$13:$H$33,世界BOSS专属武器!N794)</f>
        <v>1501015</v>
      </c>
      <c r="P794" s="49" t="s">
        <v>480</v>
      </c>
      <c r="Q794" s="15">
        <f t="shared" si="155"/>
        <v>0</v>
      </c>
      <c r="R794" s="49" t="str">
        <f t="shared" si="156"/>
        <v>[x]</v>
      </c>
      <c r="S794" s="15" t="str">
        <f t="shared" si="157"/>
        <v>[x]</v>
      </c>
      <c r="T794" s="15" t="str">
        <f t="shared" si="158"/>
        <v>[x]</v>
      </c>
      <c r="U794" s="15" t="str">
        <f t="shared" si="159"/>
        <v>[x]</v>
      </c>
      <c r="V794" s="15" t="str">
        <f t="shared" si="160"/>
        <v>[x]</v>
      </c>
      <c r="W794" s="15" t="str">
        <f t="shared" si="161"/>
        <v>[x]</v>
      </c>
      <c r="X794" s="15" t="str">
        <f t="shared" si="162"/>
        <v>[x]</v>
      </c>
      <c r="Y794" s="15" t="str">
        <f t="shared" si="163"/>
        <v>[x]</v>
      </c>
      <c r="Z794" s="15" t="str">
        <f t="shared" si="164"/>
        <v>[x]</v>
      </c>
      <c r="AA794" s="15" t="str">
        <f t="shared" si="165"/>
        <v>[x]</v>
      </c>
    </row>
    <row r="795" spans="13:27" ht="16.5" x14ac:dyDescent="0.2">
      <c r="M795" s="15">
        <v>716</v>
      </c>
      <c r="N795" s="15">
        <f t="shared" si="154"/>
        <v>15</v>
      </c>
      <c r="O795" s="15">
        <f>INDEX(卡牌消耗!$H$13:$H$33,世界BOSS专属武器!N795)</f>
        <v>1501015</v>
      </c>
      <c r="P795" s="49" t="s">
        <v>480</v>
      </c>
      <c r="Q795" s="15">
        <f t="shared" si="155"/>
        <v>1</v>
      </c>
      <c r="R795" s="49" t="str">
        <f t="shared" si="156"/>
        <v>金币</v>
      </c>
      <c r="S795" s="15">
        <f t="shared" si="157"/>
        <v>100</v>
      </c>
      <c r="T795" s="15" t="str">
        <f t="shared" si="158"/>
        <v>低级专属强化石</v>
      </c>
      <c r="U795" s="15">
        <f t="shared" si="159"/>
        <v>1</v>
      </c>
      <c r="V795" s="15" t="str">
        <f t="shared" si="160"/>
        <v>[x]</v>
      </c>
      <c r="W795" s="15" t="str">
        <f t="shared" si="161"/>
        <v>[x]</v>
      </c>
      <c r="X795" s="15">
        <f t="shared" si="162"/>
        <v>1</v>
      </c>
      <c r="Y795" s="15">
        <f t="shared" si="163"/>
        <v>1</v>
      </c>
      <c r="Z795" s="15">
        <f t="shared" si="164"/>
        <v>1</v>
      </c>
      <c r="AA795" s="15">
        <f t="shared" si="165"/>
        <v>6.7000000000000002E-3</v>
      </c>
    </row>
    <row r="796" spans="13:27" ht="16.5" x14ac:dyDescent="0.2">
      <c r="M796" s="15">
        <v>717</v>
      </c>
      <c r="N796" s="15">
        <f t="shared" si="154"/>
        <v>15</v>
      </c>
      <c r="O796" s="15">
        <f>INDEX(卡牌消耗!$H$13:$H$33,世界BOSS专属武器!N796)</f>
        <v>1501015</v>
      </c>
      <c r="P796" s="49" t="s">
        <v>480</v>
      </c>
      <c r="Q796" s="15">
        <f t="shared" si="155"/>
        <v>2</v>
      </c>
      <c r="R796" s="49" t="str">
        <f t="shared" si="156"/>
        <v>金币</v>
      </c>
      <c r="S796" s="15">
        <f t="shared" si="157"/>
        <v>200</v>
      </c>
      <c r="T796" s="15" t="str">
        <f t="shared" si="158"/>
        <v>低级专属强化石</v>
      </c>
      <c r="U796" s="15">
        <f t="shared" si="159"/>
        <v>1</v>
      </c>
      <c r="V796" s="15" t="str">
        <f t="shared" si="160"/>
        <v>[x]</v>
      </c>
      <c r="W796" s="15" t="str">
        <f t="shared" si="161"/>
        <v>[x]</v>
      </c>
      <c r="X796" s="15">
        <f t="shared" si="162"/>
        <v>0.5</v>
      </c>
      <c r="Y796" s="15">
        <f t="shared" si="163"/>
        <v>1</v>
      </c>
      <c r="Z796" s="15">
        <f t="shared" si="164"/>
        <v>2</v>
      </c>
      <c r="AA796" s="15">
        <f t="shared" si="165"/>
        <v>1.3299999999999999E-2</v>
      </c>
    </row>
    <row r="797" spans="13:27" ht="16.5" x14ac:dyDescent="0.2">
      <c r="M797" s="15">
        <v>718</v>
      </c>
      <c r="N797" s="15">
        <f t="shared" si="154"/>
        <v>15</v>
      </c>
      <c r="O797" s="15">
        <f>INDEX(卡牌消耗!$H$13:$H$33,世界BOSS专属武器!N797)</f>
        <v>1501015</v>
      </c>
      <c r="P797" s="49" t="s">
        <v>480</v>
      </c>
      <c r="Q797" s="15">
        <f t="shared" si="155"/>
        <v>3</v>
      </c>
      <c r="R797" s="49" t="str">
        <f t="shared" si="156"/>
        <v>金币</v>
      </c>
      <c r="S797" s="15">
        <f t="shared" si="157"/>
        <v>300</v>
      </c>
      <c r="T797" s="15" t="str">
        <f t="shared" si="158"/>
        <v>低级专属强化石</v>
      </c>
      <c r="U797" s="15">
        <f t="shared" si="159"/>
        <v>2</v>
      </c>
      <c r="V797" s="15" t="str">
        <f t="shared" si="160"/>
        <v>[x]</v>
      </c>
      <c r="W797" s="15" t="str">
        <f t="shared" si="161"/>
        <v>[x]</v>
      </c>
      <c r="X797" s="15">
        <f t="shared" si="162"/>
        <v>0.48</v>
      </c>
      <c r="Y797" s="15">
        <f t="shared" si="163"/>
        <v>1</v>
      </c>
      <c r="Z797" s="15">
        <f t="shared" si="164"/>
        <v>3</v>
      </c>
      <c r="AA797" s="15">
        <f t="shared" si="165"/>
        <v>0.02</v>
      </c>
    </row>
    <row r="798" spans="13:27" ht="16.5" x14ac:dyDescent="0.2">
      <c r="M798" s="15">
        <v>719</v>
      </c>
      <c r="N798" s="15">
        <f t="shared" si="154"/>
        <v>15</v>
      </c>
      <c r="O798" s="15">
        <f>INDEX(卡牌消耗!$H$13:$H$33,世界BOSS专属武器!N798)</f>
        <v>1501015</v>
      </c>
      <c r="P798" s="49" t="s">
        <v>480</v>
      </c>
      <c r="Q798" s="15">
        <f t="shared" si="155"/>
        <v>4</v>
      </c>
      <c r="R798" s="49" t="str">
        <f t="shared" si="156"/>
        <v>金币</v>
      </c>
      <c r="S798" s="15">
        <f t="shared" si="157"/>
        <v>400</v>
      </c>
      <c r="T798" s="15" t="str">
        <f t="shared" si="158"/>
        <v>低级专属强化石</v>
      </c>
      <c r="U798" s="15">
        <f t="shared" si="159"/>
        <v>3</v>
      </c>
      <c r="V798" s="15" t="str">
        <f t="shared" si="160"/>
        <v>[x]</v>
      </c>
      <c r="W798" s="15" t="str">
        <f t="shared" si="161"/>
        <v>[x]</v>
      </c>
      <c r="X798" s="15">
        <f t="shared" si="162"/>
        <v>0.46</v>
      </c>
      <c r="Y798" s="15">
        <f t="shared" si="163"/>
        <v>1</v>
      </c>
      <c r="Z798" s="15">
        <f t="shared" si="164"/>
        <v>3</v>
      </c>
      <c r="AA798" s="15">
        <f t="shared" si="165"/>
        <v>2.6700000000000002E-2</v>
      </c>
    </row>
    <row r="799" spans="13:27" ht="16.5" x14ac:dyDescent="0.2">
      <c r="M799" s="15">
        <v>720</v>
      </c>
      <c r="N799" s="15">
        <f t="shared" si="154"/>
        <v>15</v>
      </c>
      <c r="O799" s="15">
        <f>INDEX(卡牌消耗!$H$13:$H$33,世界BOSS专属武器!N799)</f>
        <v>1501015</v>
      </c>
      <c r="P799" s="49" t="s">
        <v>480</v>
      </c>
      <c r="Q799" s="15">
        <f t="shared" si="155"/>
        <v>5</v>
      </c>
      <c r="R799" s="49" t="str">
        <f t="shared" si="156"/>
        <v>金币</v>
      </c>
      <c r="S799" s="15">
        <f t="shared" si="157"/>
        <v>500</v>
      </c>
      <c r="T799" s="15" t="str">
        <f t="shared" si="158"/>
        <v>低级专属强化石</v>
      </c>
      <c r="U799" s="15">
        <f t="shared" si="159"/>
        <v>4</v>
      </c>
      <c r="V799" s="15" t="str">
        <f t="shared" si="160"/>
        <v>[x]</v>
      </c>
      <c r="W799" s="15" t="str">
        <f t="shared" si="161"/>
        <v>[x]</v>
      </c>
      <c r="X799" s="15">
        <f t="shared" si="162"/>
        <v>0.44</v>
      </c>
      <c r="Y799" s="15">
        <f t="shared" si="163"/>
        <v>1</v>
      </c>
      <c r="Z799" s="15">
        <f t="shared" si="164"/>
        <v>3</v>
      </c>
      <c r="AA799" s="15">
        <f t="shared" si="165"/>
        <v>3.3300000000000003E-2</v>
      </c>
    </row>
    <row r="800" spans="13:27" ht="16.5" x14ac:dyDescent="0.2">
      <c r="M800" s="15">
        <v>721</v>
      </c>
      <c r="N800" s="15">
        <f t="shared" si="154"/>
        <v>15</v>
      </c>
      <c r="O800" s="15">
        <f>INDEX(卡牌消耗!$H$13:$H$33,世界BOSS专属武器!N800)</f>
        <v>1501015</v>
      </c>
      <c r="P800" s="49" t="s">
        <v>480</v>
      </c>
      <c r="Q800" s="15">
        <f t="shared" si="155"/>
        <v>6</v>
      </c>
      <c r="R800" s="49" t="str">
        <f t="shared" si="156"/>
        <v>金币</v>
      </c>
      <c r="S800" s="15">
        <f t="shared" si="157"/>
        <v>600</v>
      </c>
      <c r="T800" s="15" t="str">
        <f t="shared" si="158"/>
        <v>低级专属强化石</v>
      </c>
      <c r="U800" s="15">
        <f t="shared" si="159"/>
        <v>5</v>
      </c>
      <c r="V800" s="15" t="str">
        <f t="shared" si="160"/>
        <v>[x]</v>
      </c>
      <c r="W800" s="15" t="str">
        <f t="shared" si="161"/>
        <v>[x]</v>
      </c>
      <c r="X800" s="15">
        <f t="shared" si="162"/>
        <v>0.42</v>
      </c>
      <c r="Y800" s="15">
        <f t="shared" si="163"/>
        <v>1</v>
      </c>
      <c r="Z800" s="15">
        <f t="shared" si="164"/>
        <v>4</v>
      </c>
      <c r="AA800" s="15">
        <f t="shared" si="165"/>
        <v>0.04</v>
      </c>
    </row>
    <row r="801" spans="13:27" ht="16.5" x14ac:dyDescent="0.2">
      <c r="M801" s="15">
        <v>722</v>
      </c>
      <c r="N801" s="15">
        <f t="shared" si="154"/>
        <v>15</v>
      </c>
      <c r="O801" s="15">
        <f>INDEX(卡牌消耗!$H$13:$H$33,世界BOSS专属武器!N801)</f>
        <v>1501015</v>
      </c>
      <c r="P801" s="49" t="s">
        <v>480</v>
      </c>
      <c r="Q801" s="15">
        <f t="shared" si="155"/>
        <v>7</v>
      </c>
      <c r="R801" s="49" t="str">
        <f t="shared" si="156"/>
        <v>金币</v>
      </c>
      <c r="S801" s="15">
        <f t="shared" si="157"/>
        <v>700</v>
      </c>
      <c r="T801" s="15" t="str">
        <f t="shared" si="158"/>
        <v>低级专属强化石</v>
      </c>
      <c r="U801" s="15">
        <f t="shared" si="159"/>
        <v>5</v>
      </c>
      <c r="V801" s="15" t="str">
        <f t="shared" si="160"/>
        <v>[x]</v>
      </c>
      <c r="W801" s="15" t="str">
        <f t="shared" si="161"/>
        <v>[x]</v>
      </c>
      <c r="X801" s="15">
        <f t="shared" si="162"/>
        <v>0.4</v>
      </c>
      <c r="Y801" s="15">
        <f t="shared" si="163"/>
        <v>1</v>
      </c>
      <c r="Z801" s="15">
        <f t="shared" si="164"/>
        <v>4</v>
      </c>
      <c r="AA801" s="15">
        <f t="shared" si="165"/>
        <v>4.6699999999999998E-2</v>
      </c>
    </row>
    <row r="802" spans="13:27" ht="16.5" x14ac:dyDescent="0.2">
      <c r="M802" s="15">
        <v>723</v>
      </c>
      <c r="N802" s="15">
        <f t="shared" si="154"/>
        <v>15</v>
      </c>
      <c r="O802" s="15">
        <f>INDEX(卡牌消耗!$H$13:$H$33,世界BOSS专属武器!N802)</f>
        <v>1501015</v>
      </c>
      <c r="P802" s="49" t="s">
        <v>480</v>
      </c>
      <c r="Q802" s="15">
        <f t="shared" si="155"/>
        <v>8</v>
      </c>
      <c r="R802" s="49" t="str">
        <f t="shared" si="156"/>
        <v>金币</v>
      </c>
      <c r="S802" s="15">
        <f t="shared" si="157"/>
        <v>800</v>
      </c>
      <c r="T802" s="15" t="str">
        <f t="shared" si="158"/>
        <v>低级专属强化石</v>
      </c>
      <c r="U802" s="15">
        <f t="shared" si="159"/>
        <v>5</v>
      </c>
      <c r="V802" s="15" t="str">
        <f t="shared" si="160"/>
        <v>[x]</v>
      </c>
      <c r="W802" s="15" t="str">
        <f t="shared" si="161"/>
        <v>[x]</v>
      </c>
      <c r="X802" s="15">
        <f t="shared" si="162"/>
        <v>0.38</v>
      </c>
      <c r="Y802" s="15">
        <f t="shared" si="163"/>
        <v>1</v>
      </c>
      <c r="Z802" s="15">
        <f t="shared" si="164"/>
        <v>5</v>
      </c>
      <c r="AA802" s="15">
        <f t="shared" si="165"/>
        <v>5.33E-2</v>
      </c>
    </row>
    <row r="803" spans="13:27" ht="16.5" x14ac:dyDescent="0.2">
      <c r="M803" s="15">
        <v>724</v>
      </c>
      <c r="N803" s="15">
        <f t="shared" si="154"/>
        <v>15</v>
      </c>
      <c r="O803" s="15">
        <f>INDEX(卡牌消耗!$H$13:$H$33,世界BOSS专属武器!N803)</f>
        <v>1501015</v>
      </c>
      <c r="P803" s="49" t="s">
        <v>480</v>
      </c>
      <c r="Q803" s="15">
        <f t="shared" si="155"/>
        <v>9</v>
      </c>
      <c r="R803" s="49" t="str">
        <f t="shared" si="156"/>
        <v>金币</v>
      </c>
      <c r="S803" s="15">
        <f t="shared" si="157"/>
        <v>900</v>
      </c>
      <c r="T803" s="15" t="str">
        <f t="shared" si="158"/>
        <v>低级专属强化石</v>
      </c>
      <c r="U803" s="15">
        <f t="shared" si="159"/>
        <v>5</v>
      </c>
      <c r="V803" s="15" t="str">
        <f t="shared" si="160"/>
        <v>[x]</v>
      </c>
      <c r="W803" s="15" t="str">
        <f t="shared" si="161"/>
        <v>[x]</v>
      </c>
      <c r="X803" s="15">
        <f t="shared" si="162"/>
        <v>0.36</v>
      </c>
      <c r="Y803" s="15">
        <f t="shared" si="163"/>
        <v>1</v>
      </c>
      <c r="Z803" s="15">
        <f t="shared" si="164"/>
        <v>5</v>
      </c>
      <c r="AA803" s="15">
        <f t="shared" si="165"/>
        <v>0.06</v>
      </c>
    </row>
    <row r="804" spans="13:27" ht="16.5" x14ac:dyDescent="0.2">
      <c r="M804" s="15">
        <v>725</v>
      </c>
      <c r="N804" s="15">
        <f t="shared" si="154"/>
        <v>15</v>
      </c>
      <c r="O804" s="15">
        <f>INDEX(卡牌消耗!$H$13:$H$33,世界BOSS专属武器!N804)</f>
        <v>1501015</v>
      </c>
      <c r="P804" s="49" t="s">
        <v>480</v>
      </c>
      <c r="Q804" s="15">
        <f t="shared" si="155"/>
        <v>10</v>
      </c>
      <c r="R804" s="49" t="str">
        <f t="shared" si="156"/>
        <v>金币</v>
      </c>
      <c r="S804" s="15">
        <f t="shared" si="157"/>
        <v>1000</v>
      </c>
      <c r="T804" s="15" t="str">
        <f t="shared" si="158"/>
        <v>低级专属强化石</v>
      </c>
      <c r="U804" s="15">
        <f t="shared" si="159"/>
        <v>7</v>
      </c>
      <c r="V804" s="15" t="str">
        <f t="shared" si="160"/>
        <v>[x]</v>
      </c>
      <c r="W804" s="15" t="str">
        <f t="shared" si="161"/>
        <v>[x]</v>
      </c>
      <c r="X804" s="15">
        <f t="shared" si="162"/>
        <v>0.35</v>
      </c>
      <c r="Y804" s="15">
        <f t="shared" si="163"/>
        <v>1</v>
      </c>
      <c r="Z804" s="15">
        <f t="shared" si="164"/>
        <v>5</v>
      </c>
      <c r="AA804" s="15">
        <f t="shared" si="165"/>
        <v>6.6699999999999995E-2</v>
      </c>
    </row>
    <row r="805" spans="13:27" ht="16.5" x14ac:dyDescent="0.2">
      <c r="M805" s="15">
        <v>726</v>
      </c>
      <c r="N805" s="15">
        <f t="shared" si="154"/>
        <v>15</v>
      </c>
      <c r="O805" s="15">
        <f>INDEX(卡牌消耗!$H$13:$H$33,世界BOSS专属武器!N805)</f>
        <v>1501015</v>
      </c>
      <c r="P805" s="49" t="s">
        <v>480</v>
      </c>
      <c r="Q805" s="15">
        <f t="shared" si="155"/>
        <v>11</v>
      </c>
      <c r="R805" s="49" t="str">
        <f t="shared" si="156"/>
        <v>金币</v>
      </c>
      <c r="S805" s="15">
        <f t="shared" si="157"/>
        <v>1000</v>
      </c>
      <c r="T805" s="15" t="str">
        <f t="shared" si="158"/>
        <v>低级专属强化石</v>
      </c>
      <c r="U805" s="15">
        <f t="shared" si="159"/>
        <v>7</v>
      </c>
      <c r="V805" s="15" t="str">
        <f t="shared" si="160"/>
        <v>[x]</v>
      </c>
      <c r="W805" s="15" t="str">
        <f t="shared" si="161"/>
        <v>[x]</v>
      </c>
      <c r="X805" s="15">
        <f t="shared" si="162"/>
        <v>0.33</v>
      </c>
      <c r="Y805" s="15">
        <f t="shared" si="163"/>
        <v>1</v>
      </c>
      <c r="Z805" s="15">
        <f t="shared" si="164"/>
        <v>6</v>
      </c>
      <c r="AA805" s="15">
        <f t="shared" si="165"/>
        <v>0.08</v>
      </c>
    </row>
    <row r="806" spans="13:27" ht="16.5" x14ac:dyDescent="0.2">
      <c r="M806" s="15">
        <v>727</v>
      </c>
      <c r="N806" s="15">
        <f t="shared" si="154"/>
        <v>15</v>
      </c>
      <c r="O806" s="15">
        <f>INDEX(卡牌消耗!$H$13:$H$33,世界BOSS专属武器!N806)</f>
        <v>1501015</v>
      </c>
      <c r="P806" s="49" t="s">
        <v>480</v>
      </c>
      <c r="Q806" s="15">
        <f t="shared" si="155"/>
        <v>12</v>
      </c>
      <c r="R806" s="49" t="str">
        <f t="shared" si="156"/>
        <v>金币</v>
      </c>
      <c r="S806" s="15">
        <f t="shared" si="157"/>
        <v>1000</v>
      </c>
      <c r="T806" s="15" t="str">
        <f t="shared" si="158"/>
        <v>低级专属强化石</v>
      </c>
      <c r="U806" s="15">
        <f t="shared" si="159"/>
        <v>7</v>
      </c>
      <c r="V806" s="15" t="str">
        <f t="shared" si="160"/>
        <v>[x]</v>
      </c>
      <c r="W806" s="15" t="str">
        <f t="shared" si="161"/>
        <v>[x]</v>
      </c>
      <c r="X806" s="15">
        <f t="shared" si="162"/>
        <v>0.31</v>
      </c>
      <c r="Y806" s="15">
        <f t="shared" si="163"/>
        <v>1</v>
      </c>
      <c r="Z806" s="15">
        <f t="shared" si="164"/>
        <v>6</v>
      </c>
      <c r="AA806" s="15">
        <f t="shared" si="165"/>
        <v>9.3299999999999994E-2</v>
      </c>
    </row>
    <row r="807" spans="13:27" ht="16.5" x14ac:dyDescent="0.2">
      <c r="M807" s="15">
        <v>728</v>
      </c>
      <c r="N807" s="15">
        <f t="shared" si="154"/>
        <v>15</v>
      </c>
      <c r="O807" s="15">
        <f>INDEX(卡牌消耗!$H$13:$H$33,世界BOSS专属武器!N807)</f>
        <v>1501015</v>
      </c>
      <c r="P807" s="49" t="s">
        <v>480</v>
      </c>
      <c r="Q807" s="15">
        <f t="shared" si="155"/>
        <v>13</v>
      </c>
      <c r="R807" s="49" t="str">
        <f t="shared" si="156"/>
        <v>金币</v>
      </c>
      <c r="S807" s="15">
        <f t="shared" si="157"/>
        <v>1000</v>
      </c>
      <c r="T807" s="15" t="str">
        <f t="shared" si="158"/>
        <v>低级专属强化石</v>
      </c>
      <c r="U807" s="15">
        <f t="shared" si="159"/>
        <v>7</v>
      </c>
      <c r="V807" s="15" t="str">
        <f t="shared" si="160"/>
        <v>[x]</v>
      </c>
      <c r="W807" s="15" t="str">
        <f t="shared" si="161"/>
        <v>[x]</v>
      </c>
      <c r="X807" s="15">
        <f t="shared" si="162"/>
        <v>0.28999999999999998</v>
      </c>
      <c r="Y807" s="15">
        <f t="shared" si="163"/>
        <v>1</v>
      </c>
      <c r="Z807" s="15">
        <f t="shared" si="164"/>
        <v>7</v>
      </c>
      <c r="AA807" s="15">
        <f t="shared" si="165"/>
        <v>0.1067</v>
      </c>
    </row>
    <row r="808" spans="13:27" ht="16.5" x14ac:dyDescent="0.2">
      <c r="M808" s="15">
        <v>729</v>
      </c>
      <c r="N808" s="15">
        <f t="shared" si="154"/>
        <v>15</v>
      </c>
      <c r="O808" s="15">
        <f>INDEX(卡牌消耗!$H$13:$H$33,世界BOSS专属武器!N808)</f>
        <v>1501015</v>
      </c>
      <c r="P808" s="49" t="s">
        <v>480</v>
      </c>
      <c r="Q808" s="15">
        <f t="shared" si="155"/>
        <v>14</v>
      </c>
      <c r="R808" s="49" t="str">
        <f t="shared" si="156"/>
        <v>金币</v>
      </c>
      <c r="S808" s="15">
        <f t="shared" si="157"/>
        <v>1000</v>
      </c>
      <c r="T808" s="15" t="str">
        <f t="shared" si="158"/>
        <v>低级专属强化石</v>
      </c>
      <c r="U808" s="15">
        <f t="shared" si="159"/>
        <v>7</v>
      </c>
      <c r="V808" s="15" t="str">
        <f t="shared" si="160"/>
        <v>[x]</v>
      </c>
      <c r="W808" s="15" t="str">
        <f t="shared" si="161"/>
        <v>[x]</v>
      </c>
      <c r="X808" s="15">
        <f t="shared" si="162"/>
        <v>0.27</v>
      </c>
      <c r="Y808" s="15">
        <f t="shared" si="163"/>
        <v>1</v>
      </c>
      <c r="Z808" s="15">
        <f t="shared" si="164"/>
        <v>7</v>
      </c>
      <c r="AA808" s="15">
        <f t="shared" si="165"/>
        <v>0.12</v>
      </c>
    </row>
    <row r="809" spans="13:27" ht="16.5" x14ac:dyDescent="0.2">
      <c r="M809" s="15">
        <v>730</v>
      </c>
      <c r="N809" s="15">
        <f t="shared" si="154"/>
        <v>15</v>
      </c>
      <c r="O809" s="15">
        <f>INDEX(卡牌消耗!$H$13:$H$33,世界BOSS专属武器!N809)</f>
        <v>1501015</v>
      </c>
      <c r="P809" s="49" t="s">
        <v>480</v>
      </c>
      <c r="Q809" s="15">
        <f t="shared" si="155"/>
        <v>15</v>
      </c>
      <c r="R809" s="49" t="str">
        <f t="shared" si="156"/>
        <v>金币</v>
      </c>
      <c r="S809" s="15">
        <f t="shared" si="157"/>
        <v>1000</v>
      </c>
      <c r="T809" s="15" t="str">
        <f t="shared" si="158"/>
        <v>低级专属强化石</v>
      </c>
      <c r="U809" s="15">
        <f t="shared" si="159"/>
        <v>10</v>
      </c>
      <c r="V809" s="15" t="str">
        <f t="shared" si="160"/>
        <v>[x]</v>
      </c>
      <c r="W809" s="15" t="str">
        <f t="shared" si="161"/>
        <v>[x]</v>
      </c>
      <c r="X809" s="15">
        <f t="shared" si="162"/>
        <v>0.25</v>
      </c>
      <c r="Y809" s="15">
        <f t="shared" si="163"/>
        <v>1</v>
      </c>
      <c r="Z809" s="15">
        <f t="shared" si="164"/>
        <v>8</v>
      </c>
      <c r="AA809" s="15">
        <f t="shared" si="165"/>
        <v>0.1333</v>
      </c>
    </row>
    <row r="810" spans="13:27" ht="16.5" x14ac:dyDescent="0.2">
      <c r="M810" s="15">
        <v>731</v>
      </c>
      <c r="N810" s="15">
        <f t="shared" si="154"/>
        <v>15</v>
      </c>
      <c r="O810" s="15">
        <f>INDEX(卡牌消耗!$H$13:$H$33,世界BOSS专属武器!N810)</f>
        <v>1501015</v>
      </c>
      <c r="P810" s="49" t="s">
        <v>480</v>
      </c>
      <c r="Q810" s="15">
        <f t="shared" si="155"/>
        <v>16</v>
      </c>
      <c r="R810" s="49" t="str">
        <f t="shared" si="156"/>
        <v>金币</v>
      </c>
      <c r="S810" s="15">
        <f t="shared" si="157"/>
        <v>1000</v>
      </c>
      <c r="T810" s="15" t="str">
        <f t="shared" si="158"/>
        <v>低级专属强化石</v>
      </c>
      <c r="U810" s="15">
        <f t="shared" si="159"/>
        <v>10</v>
      </c>
      <c r="V810" s="15" t="str">
        <f t="shared" si="160"/>
        <v>[x]</v>
      </c>
      <c r="W810" s="15" t="str">
        <f t="shared" si="161"/>
        <v>[x]</v>
      </c>
      <c r="X810" s="15">
        <f t="shared" si="162"/>
        <v>0.23</v>
      </c>
      <c r="Y810" s="15">
        <f t="shared" si="163"/>
        <v>1</v>
      </c>
      <c r="Z810" s="15">
        <f t="shared" si="164"/>
        <v>9</v>
      </c>
      <c r="AA810" s="15">
        <f t="shared" si="165"/>
        <v>0.1467</v>
      </c>
    </row>
    <row r="811" spans="13:27" ht="16.5" x14ac:dyDescent="0.2">
      <c r="M811" s="15">
        <v>732</v>
      </c>
      <c r="N811" s="15">
        <f t="shared" si="154"/>
        <v>15</v>
      </c>
      <c r="O811" s="15">
        <f>INDEX(卡牌消耗!$H$13:$H$33,世界BOSS专属武器!N811)</f>
        <v>1501015</v>
      </c>
      <c r="P811" s="49" t="s">
        <v>480</v>
      </c>
      <c r="Q811" s="15">
        <f t="shared" si="155"/>
        <v>17</v>
      </c>
      <c r="R811" s="49" t="str">
        <f t="shared" si="156"/>
        <v>金币</v>
      </c>
      <c r="S811" s="15">
        <f t="shared" si="157"/>
        <v>1000</v>
      </c>
      <c r="T811" s="15" t="str">
        <f t="shared" si="158"/>
        <v>低级专属强化石</v>
      </c>
      <c r="U811" s="15">
        <f t="shared" si="159"/>
        <v>10</v>
      </c>
      <c r="V811" s="15" t="str">
        <f t="shared" si="160"/>
        <v>[x]</v>
      </c>
      <c r="W811" s="15" t="str">
        <f t="shared" si="161"/>
        <v>[x]</v>
      </c>
      <c r="X811" s="15">
        <f t="shared" si="162"/>
        <v>0.21</v>
      </c>
      <c r="Y811" s="15">
        <f t="shared" si="163"/>
        <v>1</v>
      </c>
      <c r="Z811" s="15">
        <f t="shared" si="164"/>
        <v>10</v>
      </c>
      <c r="AA811" s="15">
        <f t="shared" si="165"/>
        <v>0.16</v>
      </c>
    </row>
    <row r="812" spans="13:27" ht="16.5" x14ac:dyDescent="0.2">
      <c r="M812" s="15">
        <v>733</v>
      </c>
      <c r="N812" s="15">
        <f t="shared" si="154"/>
        <v>15</v>
      </c>
      <c r="O812" s="15">
        <f>INDEX(卡牌消耗!$H$13:$H$33,世界BOSS专属武器!N812)</f>
        <v>1501015</v>
      </c>
      <c r="P812" s="49" t="s">
        <v>480</v>
      </c>
      <c r="Q812" s="15">
        <f t="shared" si="155"/>
        <v>18</v>
      </c>
      <c r="R812" s="49" t="str">
        <f t="shared" si="156"/>
        <v>金币</v>
      </c>
      <c r="S812" s="15">
        <f t="shared" si="157"/>
        <v>1000</v>
      </c>
      <c r="T812" s="15" t="str">
        <f t="shared" si="158"/>
        <v>低级专属强化石</v>
      </c>
      <c r="U812" s="15">
        <f t="shared" si="159"/>
        <v>10</v>
      </c>
      <c r="V812" s="15" t="str">
        <f t="shared" si="160"/>
        <v>[x]</v>
      </c>
      <c r="W812" s="15" t="str">
        <f t="shared" si="161"/>
        <v>[x]</v>
      </c>
      <c r="X812" s="15">
        <f t="shared" si="162"/>
        <v>0.19</v>
      </c>
      <c r="Y812" s="15">
        <f t="shared" si="163"/>
        <v>1</v>
      </c>
      <c r="Z812" s="15">
        <f t="shared" si="164"/>
        <v>11</v>
      </c>
      <c r="AA812" s="15">
        <f t="shared" si="165"/>
        <v>0.17330000000000001</v>
      </c>
    </row>
    <row r="813" spans="13:27" ht="16.5" x14ac:dyDescent="0.2">
      <c r="M813" s="15">
        <v>734</v>
      </c>
      <c r="N813" s="15">
        <f t="shared" si="154"/>
        <v>15</v>
      </c>
      <c r="O813" s="15">
        <f>INDEX(卡牌消耗!$H$13:$H$33,世界BOSS专属武器!N813)</f>
        <v>1501015</v>
      </c>
      <c r="P813" s="49" t="s">
        <v>480</v>
      </c>
      <c r="Q813" s="15">
        <f t="shared" si="155"/>
        <v>19</v>
      </c>
      <c r="R813" s="49" t="str">
        <f t="shared" si="156"/>
        <v>金币</v>
      </c>
      <c r="S813" s="15">
        <f t="shared" si="157"/>
        <v>1000</v>
      </c>
      <c r="T813" s="15" t="str">
        <f t="shared" si="158"/>
        <v>低级专属强化石</v>
      </c>
      <c r="U813" s="15">
        <f t="shared" si="159"/>
        <v>10</v>
      </c>
      <c r="V813" s="15" t="str">
        <f t="shared" si="160"/>
        <v>[x]</v>
      </c>
      <c r="W813" s="15" t="str">
        <f t="shared" si="161"/>
        <v>[x]</v>
      </c>
      <c r="X813" s="15">
        <f t="shared" si="162"/>
        <v>0.17</v>
      </c>
      <c r="Y813" s="15">
        <f t="shared" si="163"/>
        <v>1</v>
      </c>
      <c r="Z813" s="15">
        <f t="shared" si="164"/>
        <v>12</v>
      </c>
      <c r="AA813" s="15">
        <f t="shared" si="165"/>
        <v>0.1867</v>
      </c>
    </row>
    <row r="814" spans="13:27" ht="16.5" x14ac:dyDescent="0.2">
      <c r="M814" s="15">
        <v>735</v>
      </c>
      <c r="N814" s="15">
        <f t="shared" si="154"/>
        <v>15</v>
      </c>
      <c r="O814" s="15">
        <f>INDEX(卡牌消耗!$H$13:$H$33,世界BOSS专属武器!N814)</f>
        <v>1501015</v>
      </c>
      <c r="P814" s="49" t="s">
        <v>480</v>
      </c>
      <c r="Q814" s="15">
        <f t="shared" si="155"/>
        <v>20</v>
      </c>
      <c r="R814" s="49" t="str">
        <f t="shared" si="156"/>
        <v>金币</v>
      </c>
      <c r="S814" s="15">
        <f t="shared" si="157"/>
        <v>5000</v>
      </c>
      <c r="T814" s="15" t="str">
        <f t="shared" si="158"/>
        <v>低级专属强化石</v>
      </c>
      <c r="U814" s="15">
        <f t="shared" si="159"/>
        <v>15</v>
      </c>
      <c r="V814" s="15" t="str">
        <f t="shared" si="160"/>
        <v>中级专属强化石</v>
      </c>
      <c r="W814" s="15">
        <f t="shared" si="161"/>
        <v>7</v>
      </c>
      <c r="X814" s="15">
        <f t="shared" si="162"/>
        <v>0.15</v>
      </c>
      <c r="Y814" s="15">
        <f t="shared" si="163"/>
        <v>1</v>
      </c>
      <c r="Z814" s="15">
        <f t="shared" si="164"/>
        <v>15</v>
      </c>
      <c r="AA814" s="15">
        <f t="shared" si="165"/>
        <v>0.2</v>
      </c>
    </row>
    <row r="815" spans="13:27" ht="16.5" x14ac:dyDescent="0.2">
      <c r="M815" s="15">
        <v>736</v>
      </c>
      <c r="N815" s="15">
        <f t="shared" si="154"/>
        <v>15</v>
      </c>
      <c r="O815" s="15">
        <f>INDEX(卡牌消耗!$H$13:$H$33,世界BOSS专属武器!N815)</f>
        <v>1501015</v>
      </c>
      <c r="P815" s="49" t="s">
        <v>480</v>
      </c>
      <c r="Q815" s="15">
        <f t="shared" si="155"/>
        <v>21</v>
      </c>
      <c r="R815" s="49" t="str">
        <f t="shared" si="156"/>
        <v>金币</v>
      </c>
      <c r="S815" s="15">
        <f t="shared" si="157"/>
        <v>5000</v>
      </c>
      <c r="T815" s="15" t="str">
        <f t="shared" si="158"/>
        <v>低级专属强化石</v>
      </c>
      <c r="U815" s="15">
        <f t="shared" si="159"/>
        <v>15</v>
      </c>
      <c r="V815" s="15" t="str">
        <f t="shared" si="160"/>
        <v>中级专属强化石</v>
      </c>
      <c r="W815" s="15">
        <f t="shared" si="161"/>
        <v>7</v>
      </c>
      <c r="X815" s="15">
        <f t="shared" si="162"/>
        <v>0.15</v>
      </c>
      <c r="Y815" s="15">
        <f t="shared" si="163"/>
        <v>1</v>
      </c>
      <c r="Z815" s="15">
        <f t="shared" si="164"/>
        <v>15</v>
      </c>
      <c r="AA815" s="15">
        <f t="shared" si="165"/>
        <v>0.22</v>
      </c>
    </row>
    <row r="816" spans="13:27" ht="16.5" x14ac:dyDescent="0.2">
      <c r="M816" s="15">
        <v>737</v>
      </c>
      <c r="N816" s="15">
        <f t="shared" si="154"/>
        <v>15</v>
      </c>
      <c r="O816" s="15">
        <f>INDEX(卡牌消耗!$H$13:$H$33,世界BOSS专属武器!N816)</f>
        <v>1501015</v>
      </c>
      <c r="P816" s="49" t="s">
        <v>480</v>
      </c>
      <c r="Q816" s="15">
        <f t="shared" si="155"/>
        <v>22</v>
      </c>
      <c r="R816" s="49" t="str">
        <f t="shared" si="156"/>
        <v>金币</v>
      </c>
      <c r="S816" s="15">
        <f t="shared" si="157"/>
        <v>5000</v>
      </c>
      <c r="T816" s="15" t="str">
        <f t="shared" si="158"/>
        <v>低级专属强化石</v>
      </c>
      <c r="U816" s="15">
        <f t="shared" si="159"/>
        <v>15</v>
      </c>
      <c r="V816" s="15" t="str">
        <f t="shared" si="160"/>
        <v>中级专属强化石</v>
      </c>
      <c r="W816" s="15">
        <f t="shared" si="161"/>
        <v>7</v>
      </c>
      <c r="X816" s="15">
        <f t="shared" si="162"/>
        <v>0.15</v>
      </c>
      <c r="Y816" s="15">
        <f t="shared" si="163"/>
        <v>1</v>
      </c>
      <c r="Z816" s="15">
        <f t="shared" si="164"/>
        <v>15</v>
      </c>
      <c r="AA816" s="15">
        <f t="shared" si="165"/>
        <v>0.24</v>
      </c>
    </row>
    <row r="817" spans="13:27" ht="16.5" x14ac:dyDescent="0.2">
      <c r="M817" s="15">
        <v>738</v>
      </c>
      <c r="N817" s="15">
        <f t="shared" si="154"/>
        <v>15</v>
      </c>
      <c r="O817" s="15">
        <f>INDEX(卡牌消耗!$H$13:$H$33,世界BOSS专属武器!N817)</f>
        <v>1501015</v>
      </c>
      <c r="P817" s="49" t="s">
        <v>480</v>
      </c>
      <c r="Q817" s="15">
        <f t="shared" si="155"/>
        <v>23</v>
      </c>
      <c r="R817" s="49" t="str">
        <f t="shared" si="156"/>
        <v>金币</v>
      </c>
      <c r="S817" s="15">
        <f t="shared" si="157"/>
        <v>5000</v>
      </c>
      <c r="T817" s="15" t="str">
        <f t="shared" si="158"/>
        <v>低级专属强化石</v>
      </c>
      <c r="U817" s="15">
        <f t="shared" si="159"/>
        <v>15</v>
      </c>
      <c r="V817" s="15" t="str">
        <f t="shared" si="160"/>
        <v>中级专属强化石</v>
      </c>
      <c r="W817" s="15">
        <f t="shared" si="161"/>
        <v>7</v>
      </c>
      <c r="X817" s="15">
        <f t="shared" si="162"/>
        <v>0.15</v>
      </c>
      <c r="Y817" s="15">
        <f t="shared" si="163"/>
        <v>1</v>
      </c>
      <c r="Z817" s="15">
        <f t="shared" si="164"/>
        <v>18</v>
      </c>
      <c r="AA817" s="15">
        <f t="shared" si="165"/>
        <v>0.26</v>
      </c>
    </row>
    <row r="818" spans="13:27" ht="16.5" x14ac:dyDescent="0.2">
      <c r="M818" s="15">
        <v>739</v>
      </c>
      <c r="N818" s="15">
        <f t="shared" si="154"/>
        <v>15</v>
      </c>
      <c r="O818" s="15">
        <f>INDEX(卡牌消耗!$H$13:$H$33,世界BOSS专属武器!N818)</f>
        <v>1501015</v>
      </c>
      <c r="P818" s="49" t="s">
        <v>480</v>
      </c>
      <c r="Q818" s="15">
        <f t="shared" si="155"/>
        <v>24</v>
      </c>
      <c r="R818" s="49" t="str">
        <f t="shared" si="156"/>
        <v>金币</v>
      </c>
      <c r="S818" s="15">
        <f t="shared" si="157"/>
        <v>5000</v>
      </c>
      <c r="T818" s="15" t="str">
        <f t="shared" si="158"/>
        <v>低级专属强化石</v>
      </c>
      <c r="U818" s="15">
        <f t="shared" si="159"/>
        <v>15</v>
      </c>
      <c r="V818" s="15" t="str">
        <f t="shared" si="160"/>
        <v>中级专属强化石</v>
      </c>
      <c r="W818" s="15">
        <f t="shared" si="161"/>
        <v>7</v>
      </c>
      <c r="X818" s="15">
        <f t="shared" si="162"/>
        <v>0.15</v>
      </c>
      <c r="Y818" s="15">
        <f t="shared" si="163"/>
        <v>1</v>
      </c>
      <c r="Z818" s="15">
        <f t="shared" si="164"/>
        <v>18</v>
      </c>
      <c r="AA818" s="15">
        <f t="shared" si="165"/>
        <v>0.28000000000000003</v>
      </c>
    </row>
    <row r="819" spans="13:27" ht="16.5" x14ac:dyDescent="0.2">
      <c r="M819" s="15">
        <v>740</v>
      </c>
      <c r="N819" s="15">
        <f t="shared" si="154"/>
        <v>15</v>
      </c>
      <c r="O819" s="15">
        <f>INDEX(卡牌消耗!$H$13:$H$33,世界BOSS专属武器!N819)</f>
        <v>1501015</v>
      </c>
      <c r="P819" s="49" t="s">
        <v>480</v>
      </c>
      <c r="Q819" s="15">
        <f t="shared" si="155"/>
        <v>25</v>
      </c>
      <c r="R819" s="49" t="str">
        <f t="shared" si="156"/>
        <v>金币</v>
      </c>
      <c r="S819" s="15">
        <f t="shared" si="157"/>
        <v>5000</v>
      </c>
      <c r="T819" s="15" t="str">
        <f t="shared" si="158"/>
        <v>低级专属强化石</v>
      </c>
      <c r="U819" s="15">
        <f t="shared" si="159"/>
        <v>15</v>
      </c>
      <c r="V819" s="15" t="str">
        <f t="shared" si="160"/>
        <v>中级专属强化石</v>
      </c>
      <c r="W819" s="15">
        <f t="shared" si="161"/>
        <v>7</v>
      </c>
      <c r="X819" s="15">
        <f t="shared" si="162"/>
        <v>0.15</v>
      </c>
      <c r="Y819" s="15">
        <f t="shared" si="163"/>
        <v>1</v>
      </c>
      <c r="Z819" s="15">
        <f t="shared" si="164"/>
        <v>18</v>
      </c>
      <c r="AA819" s="15">
        <f t="shared" si="165"/>
        <v>0.3</v>
      </c>
    </row>
    <row r="820" spans="13:27" ht="16.5" x14ac:dyDescent="0.2">
      <c r="M820" s="15">
        <v>741</v>
      </c>
      <c r="N820" s="15">
        <f t="shared" si="154"/>
        <v>15</v>
      </c>
      <c r="O820" s="15">
        <f>INDEX(卡牌消耗!$H$13:$H$33,世界BOSS专属武器!N820)</f>
        <v>1501015</v>
      </c>
      <c r="P820" s="49" t="s">
        <v>480</v>
      </c>
      <c r="Q820" s="15">
        <f t="shared" si="155"/>
        <v>26</v>
      </c>
      <c r="R820" s="49" t="str">
        <f t="shared" si="156"/>
        <v>金币</v>
      </c>
      <c r="S820" s="15">
        <f t="shared" si="157"/>
        <v>5000</v>
      </c>
      <c r="T820" s="15" t="str">
        <f t="shared" si="158"/>
        <v>低级专属强化石</v>
      </c>
      <c r="U820" s="15">
        <f t="shared" si="159"/>
        <v>15</v>
      </c>
      <c r="V820" s="15" t="str">
        <f t="shared" si="160"/>
        <v>中级专属强化石</v>
      </c>
      <c r="W820" s="15">
        <f t="shared" si="161"/>
        <v>7</v>
      </c>
      <c r="X820" s="15">
        <f t="shared" si="162"/>
        <v>0.15</v>
      </c>
      <c r="Y820" s="15">
        <f t="shared" si="163"/>
        <v>1</v>
      </c>
      <c r="Z820" s="15">
        <f t="shared" si="164"/>
        <v>21</v>
      </c>
      <c r="AA820" s="15">
        <f t="shared" si="165"/>
        <v>0.32</v>
      </c>
    </row>
    <row r="821" spans="13:27" ht="16.5" x14ac:dyDescent="0.2">
      <c r="M821" s="15">
        <v>742</v>
      </c>
      <c r="N821" s="15">
        <f t="shared" si="154"/>
        <v>15</v>
      </c>
      <c r="O821" s="15">
        <f>INDEX(卡牌消耗!$H$13:$H$33,世界BOSS专属武器!N821)</f>
        <v>1501015</v>
      </c>
      <c r="P821" s="49" t="s">
        <v>480</v>
      </c>
      <c r="Q821" s="15">
        <f t="shared" si="155"/>
        <v>27</v>
      </c>
      <c r="R821" s="49" t="str">
        <f t="shared" si="156"/>
        <v>金币</v>
      </c>
      <c r="S821" s="15">
        <f t="shared" si="157"/>
        <v>5000</v>
      </c>
      <c r="T821" s="15" t="str">
        <f t="shared" si="158"/>
        <v>低级专属强化石</v>
      </c>
      <c r="U821" s="15">
        <f t="shared" si="159"/>
        <v>15</v>
      </c>
      <c r="V821" s="15" t="str">
        <f t="shared" si="160"/>
        <v>中级专属强化石</v>
      </c>
      <c r="W821" s="15">
        <f t="shared" si="161"/>
        <v>7</v>
      </c>
      <c r="X821" s="15">
        <f t="shared" si="162"/>
        <v>0.15</v>
      </c>
      <c r="Y821" s="15">
        <f t="shared" si="163"/>
        <v>1</v>
      </c>
      <c r="Z821" s="15">
        <f t="shared" si="164"/>
        <v>22</v>
      </c>
      <c r="AA821" s="15">
        <f t="shared" si="165"/>
        <v>0.34</v>
      </c>
    </row>
    <row r="822" spans="13:27" ht="16.5" x14ac:dyDescent="0.2">
      <c r="M822" s="15">
        <v>743</v>
      </c>
      <c r="N822" s="15">
        <f t="shared" si="154"/>
        <v>15</v>
      </c>
      <c r="O822" s="15">
        <f>INDEX(卡牌消耗!$H$13:$H$33,世界BOSS专属武器!N822)</f>
        <v>1501015</v>
      </c>
      <c r="P822" s="49" t="s">
        <v>480</v>
      </c>
      <c r="Q822" s="15">
        <f t="shared" si="155"/>
        <v>28</v>
      </c>
      <c r="R822" s="49" t="str">
        <f t="shared" si="156"/>
        <v>金币</v>
      </c>
      <c r="S822" s="15">
        <f t="shared" si="157"/>
        <v>5000</v>
      </c>
      <c r="T822" s="15" t="str">
        <f t="shared" si="158"/>
        <v>低级专属强化石</v>
      </c>
      <c r="U822" s="15">
        <f t="shared" si="159"/>
        <v>15</v>
      </c>
      <c r="V822" s="15" t="str">
        <f t="shared" si="160"/>
        <v>中级专属强化石</v>
      </c>
      <c r="W822" s="15">
        <f t="shared" si="161"/>
        <v>7</v>
      </c>
      <c r="X822" s="15">
        <f t="shared" si="162"/>
        <v>0.15</v>
      </c>
      <c r="Y822" s="15">
        <f t="shared" si="163"/>
        <v>1</v>
      </c>
      <c r="Z822" s="15">
        <f t="shared" si="164"/>
        <v>23</v>
      </c>
      <c r="AA822" s="15">
        <f t="shared" si="165"/>
        <v>0.36</v>
      </c>
    </row>
    <row r="823" spans="13:27" ht="16.5" x14ac:dyDescent="0.2">
      <c r="M823" s="15">
        <v>744</v>
      </c>
      <c r="N823" s="15">
        <f t="shared" si="154"/>
        <v>15</v>
      </c>
      <c r="O823" s="15">
        <f>INDEX(卡牌消耗!$H$13:$H$33,世界BOSS专属武器!N823)</f>
        <v>1501015</v>
      </c>
      <c r="P823" s="49" t="s">
        <v>480</v>
      </c>
      <c r="Q823" s="15">
        <f t="shared" si="155"/>
        <v>29</v>
      </c>
      <c r="R823" s="49" t="str">
        <f t="shared" si="156"/>
        <v>金币</v>
      </c>
      <c r="S823" s="15">
        <f t="shared" si="157"/>
        <v>5000</v>
      </c>
      <c r="T823" s="15" t="str">
        <f t="shared" si="158"/>
        <v>低级专属强化石</v>
      </c>
      <c r="U823" s="15">
        <f t="shared" si="159"/>
        <v>15</v>
      </c>
      <c r="V823" s="15" t="str">
        <f t="shared" si="160"/>
        <v>中级专属强化石</v>
      </c>
      <c r="W823" s="15">
        <f t="shared" si="161"/>
        <v>7</v>
      </c>
      <c r="X823" s="15">
        <f t="shared" si="162"/>
        <v>0.15</v>
      </c>
      <c r="Y823" s="15">
        <f t="shared" si="163"/>
        <v>1</v>
      </c>
      <c r="Z823" s="15">
        <f t="shared" si="164"/>
        <v>25</v>
      </c>
      <c r="AA823" s="15">
        <f t="shared" si="165"/>
        <v>0.38</v>
      </c>
    </row>
    <row r="824" spans="13:27" ht="16.5" x14ac:dyDescent="0.2">
      <c r="M824" s="15">
        <v>745</v>
      </c>
      <c r="N824" s="15">
        <f t="shared" si="154"/>
        <v>15</v>
      </c>
      <c r="O824" s="15">
        <f>INDEX(卡牌消耗!$H$13:$H$33,世界BOSS专属武器!N824)</f>
        <v>1501015</v>
      </c>
      <c r="P824" s="49" t="s">
        <v>480</v>
      </c>
      <c r="Q824" s="15">
        <f t="shared" si="155"/>
        <v>30</v>
      </c>
      <c r="R824" s="49" t="str">
        <f t="shared" si="156"/>
        <v>金币</v>
      </c>
      <c r="S824" s="15">
        <f t="shared" si="157"/>
        <v>10000</v>
      </c>
      <c r="T824" s="15" t="str">
        <f t="shared" si="158"/>
        <v>中级专属强化石</v>
      </c>
      <c r="U824" s="15">
        <f t="shared" si="159"/>
        <v>8</v>
      </c>
      <c r="V824" s="15" t="str">
        <f t="shared" si="160"/>
        <v>高级专属强化石</v>
      </c>
      <c r="W824" s="15">
        <f t="shared" si="161"/>
        <v>3</v>
      </c>
      <c r="X824" s="15">
        <f t="shared" si="162"/>
        <v>0.1</v>
      </c>
      <c r="Y824" s="15">
        <f t="shared" si="163"/>
        <v>1</v>
      </c>
      <c r="Z824" s="15">
        <f t="shared" si="164"/>
        <v>30</v>
      </c>
      <c r="AA824" s="15">
        <f t="shared" si="165"/>
        <v>0.4</v>
      </c>
    </row>
    <row r="825" spans="13:27" ht="16.5" x14ac:dyDescent="0.2">
      <c r="M825" s="15">
        <v>746</v>
      </c>
      <c r="N825" s="15">
        <f t="shared" si="154"/>
        <v>15</v>
      </c>
      <c r="O825" s="15">
        <f>INDEX(卡牌消耗!$H$13:$H$33,世界BOSS专属武器!N825)</f>
        <v>1501015</v>
      </c>
      <c r="P825" s="49" t="s">
        <v>480</v>
      </c>
      <c r="Q825" s="15">
        <f t="shared" si="155"/>
        <v>31</v>
      </c>
      <c r="R825" s="49" t="str">
        <f t="shared" si="156"/>
        <v>金币</v>
      </c>
      <c r="S825" s="15">
        <f t="shared" si="157"/>
        <v>10000</v>
      </c>
      <c r="T825" s="15" t="str">
        <f t="shared" si="158"/>
        <v>中级专属强化石</v>
      </c>
      <c r="U825" s="15">
        <f t="shared" si="159"/>
        <v>8</v>
      </c>
      <c r="V825" s="15" t="str">
        <f t="shared" si="160"/>
        <v>高级专属强化石</v>
      </c>
      <c r="W825" s="15">
        <f t="shared" si="161"/>
        <v>3</v>
      </c>
      <c r="X825" s="15">
        <f t="shared" si="162"/>
        <v>0.1</v>
      </c>
      <c r="Y825" s="15">
        <f t="shared" si="163"/>
        <v>1</v>
      </c>
      <c r="Z825" s="15">
        <f t="shared" si="164"/>
        <v>30</v>
      </c>
      <c r="AA825" s="15">
        <f t="shared" si="165"/>
        <v>0.42670000000000002</v>
      </c>
    </row>
    <row r="826" spans="13:27" ht="16.5" x14ac:dyDescent="0.2">
      <c r="M826" s="15">
        <v>747</v>
      </c>
      <c r="N826" s="15">
        <f t="shared" si="154"/>
        <v>15</v>
      </c>
      <c r="O826" s="15">
        <f>INDEX(卡牌消耗!$H$13:$H$33,世界BOSS专属武器!N826)</f>
        <v>1501015</v>
      </c>
      <c r="P826" s="49" t="s">
        <v>480</v>
      </c>
      <c r="Q826" s="15">
        <f t="shared" si="155"/>
        <v>32</v>
      </c>
      <c r="R826" s="49" t="str">
        <f t="shared" si="156"/>
        <v>金币</v>
      </c>
      <c r="S826" s="15">
        <f t="shared" si="157"/>
        <v>10000</v>
      </c>
      <c r="T826" s="15" t="str">
        <f t="shared" si="158"/>
        <v>中级专属强化石</v>
      </c>
      <c r="U826" s="15">
        <f t="shared" si="159"/>
        <v>8</v>
      </c>
      <c r="V826" s="15" t="str">
        <f t="shared" si="160"/>
        <v>高级专属强化石</v>
      </c>
      <c r="W826" s="15">
        <f t="shared" si="161"/>
        <v>3</v>
      </c>
      <c r="X826" s="15">
        <f t="shared" si="162"/>
        <v>0.1</v>
      </c>
      <c r="Y826" s="15">
        <f t="shared" si="163"/>
        <v>1</v>
      </c>
      <c r="Z826" s="15">
        <f t="shared" si="164"/>
        <v>30</v>
      </c>
      <c r="AA826" s="15">
        <f t="shared" si="165"/>
        <v>0.45329999999999998</v>
      </c>
    </row>
    <row r="827" spans="13:27" ht="16.5" x14ac:dyDescent="0.2">
      <c r="M827" s="15">
        <v>748</v>
      </c>
      <c r="N827" s="15">
        <f t="shared" si="154"/>
        <v>15</v>
      </c>
      <c r="O827" s="15">
        <f>INDEX(卡牌消耗!$H$13:$H$33,世界BOSS专属武器!N827)</f>
        <v>1501015</v>
      </c>
      <c r="P827" s="49" t="s">
        <v>480</v>
      </c>
      <c r="Q827" s="15">
        <f t="shared" si="155"/>
        <v>33</v>
      </c>
      <c r="R827" s="49" t="str">
        <f t="shared" si="156"/>
        <v>金币</v>
      </c>
      <c r="S827" s="15">
        <f t="shared" si="157"/>
        <v>10000</v>
      </c>
      <c r="T827" s="15" t="str">
        <f t="shared" si="158"/>
        <v>中级专属强化石</v>
      </c>
      <c r="U827" s="15">
        <f t="shared" si="159"/>
        <v>8</v>
      </c>
      <c r="V827" s="15" t="str">
        <f t="shared" si="160"/>
        <v>高级专属强化石</v>
      </c>
      <c r="W827" s="15">
        <f t="shared" si="161"/>
        <v>3</v>
      </c>
      <c r="X827" s="15">
        <f t="shared" si="162"/>
        <v>0.1</v>
      </c>
      <c r="Y827" s="15">
        <f t="shared" si="163"/>
        <v>1</v>
      </c>
      <c r="Z827" s="15">
        <f t="shared" si="164"/>
        <v>30</v>
      </c>
      <c r="AA827" s="15">
        <f t="shared" si="165"/>
        <v>0.48</v>
      </c>
    </row>
    <row r="828" spans="13:27" ht="16.5" x14ac:dyDescent="0.2">
      <c r="M828" s="15">
        <v>749</v>
      </c>
      <c r="N828" s="15">
        <f t="shared" si="154"/>
        <v>15</v>
      </c>
      <c r="O828" s="15">
        <f>INDEX(卡牌消耗!$H$13:$H$33,世界BOSS专属武器!N828)</f>
        <v>1501015</v>
      </c>
      <c r="P828" s="49" t="s">
        <v>480</v>
      </c>
      <c r="Q828" s="15">
        <f t="shared" si="155"/>
        <v>34</v>
      </c>
      <c r="R828" s="49" t="str">
        <f t="shared" si="156"/>
        <v>金币</v>
      </c>
      <c r="S828" s="15">
        <f t="shared" si="157"/>
        <v>10000</v>
      </c>
      <c r="T828" s="15" t="str">
        <f t="shared" si="158"/>
        <v>中级专属强化石</v>
      </c>
      <c r="U828" s="15">
        <f t="shared" si="159"/>
        <v>8</v>
      </c>
      <c r="V828" s="15" t="str">
        <f t="shared" si="160"/>
        <v>高级专属强化石</v>
      </c>
      <c r="W828" s="15">
        <f t="shared" si="161"/>
        <v>3</v>
      </c>
      <c r="X828" s="15">
        <f t="shared" si="162"/>
        <v>0.1</v>
      </c>
      <c r="Y828" s="15">
        <f t="shared" si="163"/>
        <v>1</v>
      </c>
      <c r="Z828" s="15">
        <f t="shared" si="164"/>
        <v>30</v>
      </c>
      <c r="AA828" s="15">
        <f t="shared" si="165"/>
        <v>0.50670000000000004</v>
      </c>
    </row>
    <row r="829" spans="13:27" ht="16.5" x14ac:dyDescent="0.2">
      <c r="M829" s="15">
        <v>750</v>
      </c>
      <c r="N829" s="15">
        <f t="shared" si="154"/>
        <v>15</v>
      </c>
      <c r="O829" s="15">
        <f>INDEX(卡牌消耗!$H$13:$H$33,世界BOSS专属武器!N829)</f>
        <v>1501015</v>
      </c>
      <c r="P829" s="49" t="s">
        <v>480</v>
      </c>
      <c r="Q829" s="15">
        <f t="shared" si="155"/>
        <v>35</v>
      </c>
      <c r="R829" s="49" t="str">
        <f t="shared" si="156"/>
        <v>金币</v>
      </c>
      <c r="S829" s="15">
        <f t="shared" si="157"/>
        <v>10000</v>
      </c>
      <c r="T829" s="15" t="str">
        <f t="shared" si="158"/>
        <v>中级专属强化石</v>
      </c>
      <c r="U829" s="15">
        <f t="shared" si="159"/>
        <v>8</v>
      </c>
      <c r="V829" s="15" t="str">
        <f t="shared" si="160"/>
        <v>高级专属强化石</v>
      </c>
      <c r="W829" s="15">
        <f t="shared" si="161"/>
        <v>3</v>
      </c>
      <c r="X829" s="15">
        <f t="shared" si="162"/>
        <v>0.1</v>
      </c>
      <c r="Y829" s="15">
        <f t="shared" si="163"/>
        <v>1</v>
      </c>
      <c r="Z829" s="15">
        <f t="shared" si="164"/>
        <v>30</v>
      </c>
      <c r="AA829" s="15">
        <f t="shared" si="165"/>
        <v>0.5333</v>
      </c>
    </row>
    <row r="830" spans="13:27" ht="16.5" x14ac:dyDescent="0.2">
      <c r="M830" s="15">
        <v>751</v>
      </c>
      <c r="N830" s="15">
        <f t="shared" si="154"/>
        <v>15</v>
      </c>
      <c r="O830" s="15">
        <f>INDEX(卡牌消耗!$H$13:$H$33,世界BOSS专属武器!N830)</f>
        <v>1501015</v>
      </c>
      <c r="P830" s="49" t="s">
        <v>480</v>
      </c>
      <c r="Q830" s="15">
        <f t="shared" si="155"/>
        <v>36</v>
      </c>
      <c r="R830" s="49" t="str">
        <f t="shared" si="156"/>
        <v>金币</v>
      </c>
      <c r="S830" s="15">
        <f t="shared" si="157"/>
        <v>10000</v>
      </c>
      <c r="T830" s="15" t="str">
        <f t="shared" si="158"/>
        <v>中级专属强化石</v>
      </c>
      <c r="U830" s="15">
        <f t="shared" si="159"/>
        <v>8</v>
      </c>
      <c r="V830" s="15" t="str">
        <f t="shared" si="160"/>
        <v>高级专属强化石</v>
      </c>
      <c r="W830" s="15">
        <f t="shared" si="161"/>
        <v>3</v>
      </c>
      <c r="X830" s="15">
        <f t="shared" si="162"/>
        <v>0.1</v>
      </c>
      <c r="Y830" s="15">
        <f t="shared" si="163"/>
        <v>1</v>
      </c>
      <c r="Z830" s="15">
        <f t="shared" si="164"/>
        <v>30</v>
      </c>
      <c r="AA830" s="15">
        <f t="shared" si="165"/>
        <v>0.56000000000000005</v>
      </c>
    </row>
    <row r="831" spans="13:27" ht="16.5" x14ac:dyDescent="0.2">
      <c r="M831" s="15">
        <v>752</v>
      </c>
      <c r="N831" s="15">
        <f t="shared" si="154"/>
        <v>15</v>
      </c>
      <c r="O831" s="15">
        <f>INDEX(卡牌消耗!$H$13:$H$33,世界BOSS专属武器!N831)</f>
        <v>1501015</v>
      </c>
      <c r="P831" s="49" t="s">
        <v>480</v>
      </c>
      <c r="Q831" s="15">
        <f t="shared" si="155"/>
        <v>37</v>
      </c>
      <c r="R831" s="49" t="str">
        <f t="shared" si="156"/>
        <v>金币</v>
      </c>
      <c r="S831" s="15">
        <f t="shared" si="157"/>
        <v>10000</v>
      </c>
      <c r="T831" s="15" t="str">
        <f t="shared" si="158"/>
        <v>中级专属强化石</v>
      </c>
      <c r="U831" s="15">
        <f t="shared" si="159"/>
        <v>8</v>
      </c>
      <c r="V831" s="15" t="str">
        <f t="shared" si="160"/>
        <v>高级专属强化石</v>
      </c>
      <c r="W831" s="15">
        <f t="shared" si="161"/>
        <v>3</v>
      </c>
      <c r="X831" s="15">
        <f t="shared" si="162"/>
        <v>0.1</v>
      </c>
      <c r="Y831" s="15">
        <f t="shared" si="163"/>
        <v>1</v>
      </c>
      <c r="Z831" s="15">
        <f t="shared" si="164"/>
        <v>30</v>
      </c>
      <c r="AA831" s="15">
        <f t="shared" si="165"/>
        <v>0.5867</v>
      </c>
    </row>
    <row r="832" spans="13:27" ht="16.5" x14ac:dyDescent="0.2">
      <c r="M832" s="15">
        <v>753</v>
      </c>
      <c r="N832" s="15">
        <f t="shared" si="154"/>
        <v>15</v>
      </c>
      <c r="O832" s="15">
        <f>INDEX(卡牌消耗!$H$13:$H$33,世界BOSS专属武器!N832)</f>
        <v>1501015</v>
      </c>
      <c r="P832" s="49" t="s">
        <v>480</v>
      </c>
      <c r="Q832" s="15">
        <f t="shared" si="155"/>
        <v>38</v>
      </c>
      <c r="R832" s="49" t="str">
        <f t="shared" si="156"/>
        <v>金币</v>
      </c>
      <c r="S832" s="15">
        <f t="shared" si="157"/>
        <v>10000</v>
      </c>
      <c r="T832" s="15" t="str">
        <f t="shared" si="158"/>
        <v>中级专属强化石</v>
      </c>
      <c r="U832" s="15">
        <f t="shared" si="159"/>
        <v>8</v>
      </c>
      <c r="V832" s="15" t="str">
        <f t="shared" si="160"/>
        <v>高级专属强化石</v>
      </c>
      <c r="W832" s="15">
        <f t="shared" si="161"/>
        <v>3</v>
      </c>
      <c r="X832" s="15">
        <f t="shared" si="162"/>
        <v>0.1</v>
      </c>
      <c r="Y832" s="15">
        <f t="shared" si="163"/>
        <v>1</v>
      </c>
      <c r="Z832" s="15">
        <f t="shared" si="164"/>
        <v>30</v>
      </c>
      <c r="AA832" s="15">
        <f t="shared" si="165"/>
        <v>0.61329999999999996</v>
      </c>
    </row>
    <row r="833" spans="13:27" ht="16.5" x14ac:dyDescent="0.2">
      <c r="M833" s="15">
        <v>754</v>
      </c>
      <c r="N833" s="15">
        <f t="shared" si="154"/>
        <v>15</v>
      </c>
      <c r="O833" s="15">
        <f>INDEX(卡牌消耗!$H$13:$H$33,世界BOSS专属武器!N833)</f>
        <v>1501015</v>
      </c>
      <c r="P833" s="49" t="s">
        <v>480</v>
      </c>
      <c r="Q833" s="15">
        <f t="shared" si="155"/>
        <v>39</v>
      </c>
      <c r="R833" s="49" t="str">
        <f t="shared" si="156"/>
        <v>金币</v>
      </c>
      <c r="S833" s="15">
        <f t="shared" si="157"/>
        <v>10000</v>
      </c>
      <c r="T833" s="15" t="str">
        <f t="shared" si="158"/>
        <v>中级专属强化石</v>
      </c>
      <c r="U833" s="15">
        <f t="shared" si="159"/>
        <v>8</v>
      </c>
      <c r="V833" s="15" t="str">
        <f t="shared" si="160"/>
        <v>高级专属强化石</v>
      </c>
      <c r="W833" s="15">
        <f t="shared" si="161"/>
        <v>3</v>
      </c>
      <c r="X833" s="15">
        <f t="shared" si="162"/>
        <v>0.1</v>
      </c>
      <c r="Y833" s="15">
        <f t="shared" si="163"/>
        <v>1</v>
      </c>
      <c r="Z833" s="15">
        <f t="shared" si="164"/>
        <v>30</v>
      </c>
      <c r="AA833" s="15">
        <f t="shared" si="165"/>
        <v>0.64</v>
      </c>
    </row>
    <row r="834" spans="13:27" ht="16.5" x14ac:dyDescent="0.2">
      <c r="M834" s="15">
        <v>755</v>
      </c>
      <c r="N834" s="15">
        <f t="shared" si="154"/>
        <v>15</v>
      </c>
      <c r="O834" s="15">
        <f>INDEX(卡牌消耗!$H$13:$H$33,世界BOSS专属武器!N834)</f>
        <v>1501015</v>
      </c>
      <c r="P834" s="49" t="s">
        <v>480</v>
      </c>
      <c r="Q834" s="15">
        <f t="shared" si="155"/>
        <v>40</v>
      </c>
      <c r="R834" s="49" t="str">
        <f t="shared" si="156"/>
        <v>金币</v>
      </c>
      <c r="S834" s="15">
        <f t="shared" si="157"/>
        <v>20000</v>
      </c>
      <c r="T834" s="15" t="str">
        <f t="shared" si="158"/>
        <v>高级专属强化石</v>
      </c>
      <c r="U834" s="15">
        <f t="shared" si="159"/>
        <v>5</v>
      </c>
      <c r="V834" s="15" t="str">
        <f t="shared" si="160"/>
        <v>[x]</v>
      </c>
      <c r="W834" s="15" t="str">
        <f t="shared" si="161"/>
        <v>[x]</v>
      </c>
      <c r="X834" s="15">
        <f t="shared" si="162"/>
        <v>0.1</v>
      </c>
      <c r="Y834" s="15">
        <f t="shared" si="163"/>
        <v>1</v>
      </c>
      <c r="Z834" s="15">
        <f t="shared" si="164"/>
        <v>35</v>
      </c>
      <c r="AA834" s="15">
        <f t="shared" si="165"/>
        <v>0.66669999999999996</v>
      </c>
    </row>
    <row r="835" spans="13:27" ht="16.5" x14ac:dyDescent="0.2">
      <c r="M835" s="15">
        <v>756</v>
      </c>
      <c r="N835" s="15">
        <f t="shared" si="154"/>
        <v>15</v>
      </c>
      <c r="O835" s="15">
        <f>INDEX(卡牌消耗!$H$13:$H$33,世界BOSS专属武器!N835)</f>
        <v>1501015</v>
      </c>
      <c r="P835" s="49" t="s">
        <v>480</v>
      </c>
      <c r="Q835" s="15">
        <f t="shared" si="155"/>
        <v>41</v>
      </c>
      <c r="R835" s="49" t="str">
        <f t="shared" si="156"/>
        <v>金币</v>
      </c>
      <c r="S835" s="15">
        <f t="shared" si="157"/>
        <v>20000</v>
      </c>
      <c r="T835" s="15" t="str">
        <f t="shared" si="158"/>
        <v>高级专属强化石</v>
      </c>
      <c r="U835" s="15">
        <f t="shared" si="159"/>
        <v>5</v>
      </c>
      <c r="V835" s="15" t="str">
        <f t="shared" si="160"/>
        <v>[x]</v>
      </c>
      <c r="W835" s="15" t="str">
        <f t="shared" si="161"/>
        <v>[x]</v>
      </c>
      <c r="X835" s="15">
        <f t="shared" si="162"/>
        <v>0.1</v>
      </c>
      <c r="Y835" s="15">
        <f t="shared" si="163"/>
        <v>1</v>
      </c>
      <c r="Z835" s="15">
        <f t="shared" si="164"/>
        <v>40</v>
      </c>
      <c r="AA835" s="15">
        <f t="shared" si="165"/>
        <v>0.7</v>
      </c>
    </row>
    <row r="836" spans="13:27" ht="16.5" x14ac:dyDescent="0.2">
      <c r="M836" s="15">
        <v>757</v>
      </c>
      <c r="N836" s="15">
        <f t="shared" si="154"/>
        <v>15</v>
      </c>
      <c r="O836" s="15">
        <f>INDEX(卡牌消耗!$H$13:$H$33,世界BOSS专属武器!N836)</f>
        <v>1501015</v>
      </c>
      <c r="P836" s="49" t="s">
        <v>480</v>
      </c>
      <c r="Q836" s="15">
        <f t="shared" si="155"/>
        <v>42</v>
      </c>
      <c r="R836" s="49" t="str">
        <f t="shared" si="156"/>
        <v>金币</v>
      </c>
      <c r="S836" s="15">
        <f t="shared" si="157"/>
        <v>20000</v>
      </c>
      <c r="T836" s="15" t="str">
        <f t="shared" si="158"/>
        <v>高级专属强化石</v>
      </c>
      <c r="U836" s="15">
        <f t="shared" si="159"/>
        <v>5</v>
      </c>
      <c r="V836" s="15" t="str">
        <f t="shared" si="160"/>
        <v>[x]</v>
      </c>
      <c r="W836" s="15" t="str">
        <f t="shared" si="161"/>
        <v>[x]</v>
      </c>
      <c r="X836" s="15">
        <f t="shared" si="162"/>
        <v>0.1</v>
      </c>
      <c r="Y836" s="15">
        <f t="shared" si="163"/>
        <v>1</v>
      </c>
      <c r="Z836" s="15">
        <f t="shared" si="164"/>
        <v>45</v>
      </c>
      <c r="AA836" s="15">
        <f t="shared" si="165"/>
        <v>0.73329999999999995</v>
      </c>
    </row>
    <row r="837" spans="13:27" ht="16.5" x14ac:dyDescent="0.2">
      <c r="M837" s="15">
        <v>758</v>
      </c>
      <c r="N837" s="15">
        <f t="shared" si="154"/>
        <v>15</v>
      </c>
      <c r="O837" s="15">
        <f>INDEX(卡牌消耗!$H$13:$H$33,世界BOSS专属武器!N837)</f>
        <v>1501015</v>
      </c>
      <c r="P837" s="49" t="s">
        <v>480</v>
      </c>
      <c r="Q837" s="15">
        <f t="shared" si="155"/>
        <v>43</v>
      </c>
      <c r="R837" s="49" t="str">
        <f t="shared" si="156"/>
        <v>金币</v>
      </c>
      <c r="S837" s="15">
        <f t="shared" si="157"/>
        <v>20000</v>
      </c>
      <c r="T837" s="15" t="str">
        <f t="shared" si="158"/>
        <v>高级专属强化石</v>
      </c>
      <c r="U837" s="15">
        <f t="shared" si="159"/>
        <v>5</v>
      </c>
      <c r="V837" s="15" t="str">
        <f t="shared" si="160"/>
        <v>[x]</v>
      </c>
      <c r="W837" s="15" t="str">
        <f t="shared" si="161"/>
        <v>[x]</v>
      </c>
      <c r="X837" s="15">
        <f t="shared" si="162"/>
        <v>0.1</v>
      </c>
      <c r="Y837" s="15">
        <f t="shared" si="163"/>
        <v>1</v>
      </c>
      <c r="Z837" s="15">
        <f t="shared" si="164"/>
        <v>50</v>
      </c>
      <c r="AA837" s="15">
        <f t="shared" si="165"/>
        <v>0.76670000000000005</v>
      </c>
    </row>
    <row r="838" spans="13:27" ht="16.5" x14ac:dyDescent="0.2">
      <c r="M838" s="15">
        <v>759</v>
      </c>
      <c r="N838" s="15">
        <f t="shared" si="154"/>
        <v>15</v>
      </c>
      <c r="O838" s="15">
        <f>INDEX(卡牌消耗!$H$13:$H$33,世界BOSS专属武器!N838)</f>
        <v>1501015</v>
      </c>
      <c r="P838" s="49" t="s">
        <v>480</v>
      </c>
      <c r="Q838" s="15">
        <f t="shared" si="155"/>
        <v>44</v>
      </c>
      <c r="R838" s="49" t="str">
        <f t="shared" si="156"/>
        <v>金币</v>
      </c>
      <c r="S838" s="15">
        <f t="shared" si="157"/>
        <v>20000</v>
      </c>
      <c r="T838" s="15" t="str">
        <f t="shared" si="158"/>
        <v>高级专属强化石</v>
      </c>
      <c r="U838" s="15">
        <f t="shared" si="159"/>
        <v>5</v>
      </c>
      <c r="V838" s="15" t="str">
        <f t="shared" si="160"/>
        <v>[x]</v>
      </c>
      <c r="W838" s="15" t="str">
        <f t="shared" si="161"/>
        <v>[x]</v>
      </c>
      <c r="X838" s="15">
        <f t="shared" si="162"/>
        <v>0.1</v>
      </c>
      <c r="Y838" s="15">
        <f t="shared" si="163"/>
        <v>1</v>
      </c>
      <c r="Z838" s="15">
        <f t="shared" si="164"/>
        <v>55</v>
      </c>
      <c r="AA838" s="15">
        <f t="shared" si="165"/>
        <v>0.8</v>
      </c>
    </row>
    <row r="839" spans="13:27" ht="16.5" x14ac:dyDescent="0.2">
      <c r="M839" s="15">
        <v>760</v>
      </c>
      <c r="N839" s="15">
        <f t="shared" si="154"/>
        <v>15</v>
      </c>
      <c r="O839" s="15">
        <f>INDEX(卡牌消耗!$H$13:$H$33,世界BOSS专属武器!N839)</f>
        <v>1501015</v>
      </c>
      <c r="P839" s="49" t="s">
        <v>480</v>
      </c>
      <c r="Q839" s="15">
        <f t="shared" si="155"/>
        <v>45</v>
      </c>
      <c r="R839" s="49" t="str">
        <f t="shared" si="156"/>
        <v>金币</v>
      </c>
      <c r="S839" s="15">
        <f t="shared" si="157"/>
        <v>20000</v>
      </c>
      <c r="T839" s="15" t="str">
        <f t="shared" si="158"/>
        <v>高级专属强化石</v>
      </c>
      <c r="U839" s="15">
        <f t="shared" si="159"/>
        <v>6</v>
      </c>
      <c r="V839" s="15" t="str">
        <f t="shared" si="160"/>
        <v>[x]</v>
      </c>
      <c r="W839" s="15" t="str">
        <f t="shared" si="161"/>
        <v>[x]</v>
      </c>
      <c r="X839" s="15">
        <f t="shared" si="162"/>
        <v>0.1</v>
      </c>
      <c r="Y839" s="15">
        <f t="shared" si="163"/>
        <v>1</v>
      </c>
      <c r="Z839" s="15">
        <f t="shared" si="164"/>
        <v>60</v>
      </c>
      <c r="AA839" s="15">
        <f t="shared" si="165"/>
        <v>0.83330000000000004</v>
      </c>
    </row>
    <row r="840" spans="13:27" ht="16.5" x14ac:dyDescent="0.2">
      <c r="M840" s="15">
        <v>761</v>
      </c>
      <c r="N840" s="15">
        <f t="shared" si="154"/>
        <v>15</v>
      </c>
      <c r="O840" s="15">
        <f>INDEX(卡牌消耗!$H$13:$H$33,世界BOSS专属武器!N840)</f>
        <v>1501015</v>
      </c>
      <c r="P840" s="49" t="s">
        <v>480</v>
      </c>
      <c r="Q840" s="15">
        <f t="shared" si="155"/>
        <v>46</v>
      </c>
      <c r="R840" s="49" t="str">
        <f t="shared" si="156"/>
        <v>金币</v>
      </c>
      <c r="S840" s="15">
        <f t="shared" si="157"/>
        <v>20000</v>
      </c>
      <c r="T840" s="15" t="str">
        <f t="shared" si="158"/>
        <v>高级专属强化石</v>
      </c>
      <c r="U840" s="15">
        <f t="shared" si="159"/>
        <v>7</v>
      </c>
      <c r="V840" s="15" t="str">
        <f t="shared" si="160"/>
        <v>[x]</v>
      </c>
      <c r="W840" s="15" t="str">
        <f t="shared" si="161"/>
        <v>[x]</v>
      </c>
      <c r="X840" s="15">
        <f t="shared" si="162"/>
        <v>0.1</v>
      </c>
      <c r="Y840" s="15">
        <f t="shared" si="163"/>
        <v>1</v>
      </c>
      <c r="Z840" s="15">
        <f t="shared" si="164"/>
        <v>70</v>
      </c>
      <c r="AA840" s="15">
        <f t="shared" si="165"/>
        <v>0.86670000000000003</v>
      </c>
    </row>
    <row r="841" spans="13:27" ht="16.5" x14ac:dyDescent="0.2">
      <c r="M841" s="15">
        <v>762</v>
      </c>
      <c r="N841" s="15">
        <f t="shared" si="154"/>
        <v>15</v>
      </c>
      <c r="O841" s="15">
        <f>INDEX(卡牌消耗!$H$13:$H$33,世界BOSS专属武器!N841)</f>
        <v>1501015</v>
      </c>
      <c r="P841" s="49" t="s">
        <v>480</v>
      </c>
      <c r="Q841" s="15">
        <f t="shared" si="155"/>
        <v>47</v>
      </c>
      <c r="R841" s="49" t="str">
        <f t="shared" si="156"/>
        <v>金币</v>
      </c>
      <c r="S841" s="15">
        <f t="shared" si="157"/>
        <v>20000</v>
      </c>
      <c r="T841" s="15" t="str">
        <f t="shared" si="158"/>
        <v>高级专属强化石</v>
      </c>
      <c r="U841" s="15">
        <f t="shared" si="159"/>
        <v>8</v>
      </c>
      <c r="V841" s="15" t="str">
        <f t="shared" si="160"/>
        <v>[x]</v>
      </c>
      <c r="W841" s="15" t="str">
        <f t="shared" si="161"/>
        <v>[x]</v>
      </c>
      <c r="X841" s="15">
        <f t="shared" si="162"/>
        <v>0.1</v>
      </c>
      <c r="Y841" s="15">
        <f t="shared" si="163"/>
        <v>1</v>
      </c>
      <c r="Z841" s="15">
        <f t="shared" si="164"/>
        <v>80</v>
      </c>
      <c r="AA841" s="15">
        <f t="shared" si="165"/>
        <v>0.9</v>
      </c>
    </row>
    <row r="842" spans="13:27" ht="16.5" x14ac:dyDescent="0.2">
      <c r="M842" s="15">
        <v>763</v>
      </c>
      <c r="N842" s="15">
        <f t="shared" si="154"/>
        <v>15</v>
      </c>
      <c r="O842" s="15">
        <f>INDEX(卡牌消耗!$H$13:$H$33,世界BOSS专属武器!N842)</f>
        <v>1501015</v>
      </c>
      <c r="P842" s="49" t="s">
        <v>480</v>
      </c>
      <c r="Q842" s="15">
        <f t="shared" si="155"/>
        <v>48</v>
      </c>
      <c r="R842" s="49" t="str">
        <f t="shared" si="156"/>
        <v>金币</v>
      </c>
      <c r="S842" s="15">
        <f t="shared" si="157"/>
        <v>20000</v>
      </c>
      <c r="T842" s="15" t="str">
        <f t="shared" si="158"/>
        <v>高级专属强化石</v>
      </c>
      <c r="U842" s="15">
        <f t="shared" si="159"/>
        <v>9</v>
      </c>
      <c r="V842" s="15" t="str">
        <f t="shared" si="160"/>
        <v>[x]</v>
      </c>
      <c r="W842" s="15" t="str">
        <f t="shared" si="161"/>
        <v>[x]</v>
      </c>
      <c r="X842" s="15">
        <f t="shared" si="162"/>
        <v>0.1</v>
      </c>
      <c r="Y842" s="15">
        <f t="shared" si="163"/>
        <v>1</v>
      </c>
      <c r="Z842" s="15">
        <f t="shared" si="164"/>
        <v>100</v>
      </c>
      <c r="AA842" s="15">
        <f t="shared" si="165"/>
        <v>0.93330000000000002</v>
      </c>
    </row>
    <row r="843" spans="13:27" ht="16.5" x14ac:dyDescent="0.2">
      <c r="M843" s="15">
        <v>764</v>
      </c>
      <c r="N843" s="15">
        <f t="shared" si="154"/>
        <v>15</v>
      </c>
      <c r="O843" s="15">
        <f>INDEX(卡牌消耗!$H$13:$H$33,世界BOSS专属武器!N843)</f>
        <v>1501015</v>
      </c>
      <c r="P843" s="49" t="s">
        <v>480</v>
      </c>
      <c r="Q843" s="15">
        <f t="shared" si="155"/>
        <v>49</v>
      </c>
      <c r="R843" s="49" t="str">
        <f t="shared" si="156"/>
        <v>金币</v>
      </c>
      <c r="S843" s="15">
        <f t="shared" si="157"/>
        <v>20000</v>
      </c>
      <c r="T843" s="15" t="str">
        <f t="shared" si="158"/>
        <v>高级专属强化石</v>
      </c>
      <c r="U843" s="15">
        <f t="shared" si="159"/>
        <v>10</v>
      </c>
      <c r="V843" s="15" t="str">
        <f t="shared" si="160"/>
        <v>[x]</v>
      </c>
      <c r="W843" s="15" t="str">
        <f t="shared" si="161"/>
        <v>[x]</v>
      </c>
      <c r="X843" s="15">
        <f t="shared" si="162"/>
        <v>0.1</v>
      </c>
      <c r="Y843" s="15">
        <f t="shared" si="163"/>
        <v>1</v>
      </c>
      <c r="Z843" s="15">
        <f t="shared" si="164"/>
        <v>120</v>
      </c>
      <c r="AA843" s="15">
        <f t="shared" si="165"/>
        <v>0.9667</v>
      </c>
    </row>
    <row r="844" spans="13:27" ht="16.5" x14ac:dyDescent="0.2">
      <c r="M844" s="15">
        <v>765</v>
      </c>
      <c r="N844" s="15">
        <f t="shared" si="154"/>
        <v>15</v>
      </c>
      <c r="O844" s="15">
        <f>INDEX(卡牌消耗!$H$13:$H$33,世界BOSS专属武器!N844)</f>
        <v>1501015</v>
      </c>
      <c r="P844" s="49" t="s">
        <v>480</v>
      </c>
      <c r="Q844" s="15">
        <f t="shared" si="155"/>
        <v>50</v>
      </c>
      <c r="R844" s="49" t="str">
        <f t="shared" si="156"/>
        <v>金币</v>
      </c>
      <c r="S844" s="15">
        <f t="shared" si="157"/>
        <v>20000</v>
      </c>
      <c r="T844" s="15" t="str">
        <f t="shared" si="158"/>
        <v>高级专属强化石</v>
      </c>
      <c r="U844" s="15">
        <f t="shared" si="159"/>
        <v>15</v>
      </c>
      <c r="V844" s="15" t="str">
        <f t="shared" si="160"/>
        <v>[x]</v>
      </c>
      <c r="W844" s="15" t="str">
        <f t="shared" si="161"/>
        <v>[x]</v>
      </c>
      <c r="X844" s="15">
        <f t="shared" si="162"/>
        <v>0.1</v>
      </c>
      <c r="Y844" s="15">
        <f t="shared" si="163"/>
        <v>1</v>
      </c>
      <c r="Z844" s="15">
        <f t="shared" si="164"/>
        <v>150</v>
      </c>
      <c r="AA844" s="15">
        <f t="shared" si="165"/>
        <v>1</v>
      </c>
    </row>
    <row r="845" spans="13:27" ht="16.5" x14ac:dyDescent="0.2">
      <c r="M845" s="15">
        <v>766</v>
      </c>
      <c r="N845" s="15">
        <f t="shared" si="154"/>
        <v>16</v>
      </c>
      <c r="O845" s="15">
        <f>INDEX(卡牌消耗!$H$13:$H$33,世界BOSS专属武器!N845)</f>
        <v>1501016</v>
      </c>
      <c r="P845" s="49" t="s">
        <v>480</v>
      </c>
      <c r="Q845" s="15">
        <f t="shared" si="155"/>
        <v>0</v>
      </c>
      <c r="R845" s="49" t="str">
        <f t="shared" si="156"/>
        <v>[x]</v>
      </c>
      <c r="S845" s="15" t="str">
        <f t="shared" si="157"/>
        <v>[x]</v>
      </c>
      <c r="T845" s="15" t="str">
        <f t="shared" si="158"/>
        <v>[x]</v>
      </c>
      <c r="U845" s="15" t="str">
        <f t="shared" si="159"/>
        <v>[x]</v>
      </c>
      <c r="V845" s="15" t="str">
        <f t="shared" si="160"/>
        <v>[x]</v>
      </c>
      <c r="W845" s="15" t="str">
        <f t="shared" si="161"/>
        <v>[x]</v>
      </c>
      <c r="X845" s="15" t="str">
        <f t="shared" si="162"/>
        <v>[x]</v>
      </c>
      <c r="Y845" s="15" t="str">
        <f t="shared" si="163"/>
        <v>[x]</v>
      </c>
      <c r="Z845" s="15" t="str">
        <f t="shared" si="164"/>
        <v>[x]</v>
      </c>
      <c r="AA845" s="15" t="str">
        <f t="shared" si="165"/>
        <v>[x]</v>
      </c>
    </row>
    <row r="846" spans="13:27" ht="16.5" x14ac:dyDescent="0.2">
      <c r="M846" s="15">
        <v>767</v>
      </c>
      <c r="N846" s="15">
        <f t="shared" si="154"/>
        <v>16</v>
      </c>
      <c r="O846" s="15">
        <f>INDEX(卡牌消耗!$H$13:$H$33,世界BOSS专属武器!N846)</f>
        <v>1501016</v>
      </c>
      <c r="P846" s="49" t="s">
        <v>480</v>
      </c>
      <c r="Q846" s="15">
        <f t="shared" si="155"/>
        <v>1</v>
      </c>
      <c r="R846" s="49" t="str">
        <f t="shared" si="156"/>
        <v>金币</v>
      </c>
      <c r="S846" s="15">
        <f t="shared" si="157"/>
        <v>100</v>
      </c>
      <c r="T846" s="15" t="str">
        <f t="shared" si="158"/>
        <v>低级专属强化石</v>
      </c>
      <c r="U846" s="15">
        <f t="shared" si="159"/>
        <v>1</v>
      </c>
      <c r="V846" s="15" t="str">
        <f t="shared" si="160"/>
        <v>[x]</v>
      </c>
      <c r="W846" s="15" t="str">
        <f t="shared" si="161"/>
        <v>[x]</v>
      </c>
      <c r="X846" s="15">
        <f t="shared" si="162"/>
        <v>1</v>
      </c>
      <c r="Y846" s="15">
        <f t="shared" si="163"/>
        <v>1</v>
      </c>
      <c r="Z846" s="15">
        <f t="shared" si="164"/>
        <v>1</v>
      </c>
      <c r="AA846" s="15">
        <f t="shared" si="165"/>
        <v>6.7000000000000002E-3</v>
      </c>
    </row>
    <row r="847" spans="13:27" ht="16.5" x14ac:dyDescent="0.2">
      <c r="M847" s="15">
        <v>768</v>
      </c>
      <c r="N847" s="15">
        <f t="shared" si="154"/>
        <v>16</v>
      </c>
      <c r="O847" s="15">
        <f>INDEX(卡牌消耗!$H$13:$H$33,世界BOSS专属武器!N847)</f>
        <v>1501016</v>
      </c>
      <c r="P847" s="49" t="s">
        <v>480</v>
      </c>
      <c r="Q847" s="15">
        <f t="shared" si="155"/>
        <v>2</v>
      </c>
      <c r="R847" s="49" t="str">
        <f t="shared" si="156"/>
        <v>金币</v>
      </c>
      <c r="S847" s="15">
        <f t="shared" si="157"/>
        <v>200</v>
      </c>
      <c r="T847" s="15" t="str">
        <f t="shared" si="158"/>
        <v>低级专属强化石</v>
      </c>
      <c r="U847" s="15">
        <f t="shared" si="159"/>
        <v>1</v>
      </c>
      <c r="V847" s="15" t="str">
        <f t="shared" si="160"/>
        <v>[x]</v>
      </c>
      <c r="W847" s="15" t="str">
        <f t="shared" si="161"/>
        <v>[x]</v>
      </c>
      <c r="X847" s="15">
        <f t="shared" si="162"/>
        <v>0.5</v>
      </c>
      <c r="Y847" s="15">
        <f t="shared" si="163"/>
        <v>1</v>
      </c>
      <c r="Z847" s="15">
        <f t="shared" si="164"/>
        <v>2</v>
      </c>
      <c r="AA847" s="15">
        <f t="shared" si="165"/>
        <v>1.3299999999999999E-2</v>
      </c>
    </row>
    <row r="848" spans="13:27" ht="16.5" x14ac:dyDescent="0.2">
      <c r="M848" s="15">
        <v>769</v>
      </c>
      <c r="N848" s="15">
        <f t="shared" si="154"/>
        <v>16</v>
      </c>
      <c r="O848" s="15">
        <f>INDEX(卡牌消耗!$H$13:$H$33,世界BOSS专属武器!N848)</f>
        <v>1501016</v>
      </c>
      <c r="P848" s="49" t="s">
        <v>480</v>
      </c>
      <c r="Q848" s="15">
        <f t="shared" si="155"/>
        <v>3</v>
      </c>
      <c r="R848" s="49" t="str">
        <f t="shared" si="156"/>
        <v>金币</v>
      </c>
      <c r="S848" s="15">
        <f t="shared" si="157"/>
        <v>300</v>
      </c>
      <c r="T848" s="15" t="str">
        <f t="shared" si="158"/>
        <v>低级专属强化石</v>
      </c>
      <c r="U848" s="15">
        <f t="shared" si="159"/>
        <v>2</v>
      </c>
      <c r="V848" s="15" t="str">
        <f t="shared" si="160"/>
        <v>[x]</v>
      </c>
      <c r="W848" s="15" t="str">
        <f t="shared" si="161"/>
        <v>[x]</v>
      </c>
      <c r="X848" s="15">
        <f t="shared" si="162"/>
        <v>0.48</v>
      </c>
      <c r="Y848" s="15">
        <f t="shared" si="163"/>
        <v>1</v>
      </c>
      <c r="Z848" s="15">
        <f t="shared" si="164"/>
        <v>3</v>
      </c>
      <c r="AA848" s="15">
        <f t="shared" si="165"/>
        <v>0.02</v>
      </c>
    </row>
    <row r="849" spans="13:27" ht="16.5" x14ac:dyDescent="0.2">
      <c r="M849" s="15">
        <v>770</v>
      </c>
      <c r="N849" s="15">
        <f t="shared" ref="N849:N912" si="166">INT((M849-1)/51)+1</f>
        <v>16</v>
      </c>
      <c r="O849" s="15">
        <f>INDEX(卡牌消耗!$H$13:$H$33,世界BOSS专属武器!N849)</f>
        <v>1501016</v>
      </c>
      <c r="P849" s="49" t="s">
        <v>480</v>
      </c>
      <c r="Q849" s="15">
        <f t="shared" ref="Q849:Q912" si="167">MOD(M849-1,51)</f>
        <v>4</v>
      </c>
      <c r="R849" s="49" t="str">
        <f t="shared" ref="R849:R912" si="168">IF(Q849&gt;0,"金币","[x]")</f>
        <v>金币</v>
      </c>
      <c r="S849" s="15">
        <f t="shared" ref="S849:S912" si="169">IF(Q849&gt;0,INDEX($V$27:$V$76,Q849),"[x]")</f>
        <v>400</v>
      </c>
      <c r="T849" s="15" t="str">
        <f t="shared" ref="T849:T912" si="170">IF(Q849&gt;0,INDEX($W$27:$W$76,Q849),"[x]")</f>
        <v>低级专属强化石</v>
      </c>
      <c r="U849" s="15">
        <f t="shared" ref="U849:U912" si="171">IF(Q849&gt;0,INDEX($AA$27:$AF$76,Q849,INDEX($Y$27:$Y$76,Q849)),"[x]")</f>
        <v>3</v>
      </c>
      <c r="V849" s="15" t="str">
        <f t="shared" ref="V849:V912" si="172">IF(AND(Q849&gt;=20,Q849&lt;40),INDEX($X$27:$X$76,Q849),"[x]")</f>
        <v>[x]</v>
      </c>
      <c r="W849" s="15" t="str">
        <f t="shared" ref="W849:W912" si="173">IF(AND(Q849&gt;=20,Q849&lt;40),INDEX($AA$27:$AF$76,Q849,INDEX($Z$27:$Z$76,Q849)),"[x]")</f>
        <v>[x]</v>
      </c>
      <c r="X849" s="15">
        <f t="shared" ref="X849:X912" si="174">IF(Q849&gt;0,INDEX($T$27:$T$76,Q849),"[x]")</f>
        <v>0.46</v>
      </c>
      <c r="Y849" s="15">
        <f t="shared" ref="Y849:Y912" si="175">IF(Q849&gt;0,1,"[x]")</f>
        <v>1</v>
      </c>
      <c r="Z849" s="15">
        <f t="shared" ref="Z849:Z912" si="176">IF(Q849&gt;0,INDEX($AG$27:$AG$76,Q849),"[x]")</f>
        <v>3</v>
      </c>
      <c r="AA849" s="15">
        <f t="shared" ref="AA849:AA912" si="177">IF(Q849&gt;0,INDEX($AL$27:$AL$76,Q849),"[x]")</f>
        <v>2.6700000000000002E-2</v>
      </c>
    </row>
    <row r="850" spans="13:27" ht="16.5" x14ac:dyDescent="0.2">
      <c r="M850" s="15">
        <v>771</v>
      </c>
      <c r="N850" s="15">
        <f t="shared" si="166"/>
        <v>16</v>
      </c>
      <c r="O850" s="15">
        <f>INDEX(卡牌消耗!$H$13:$H$33,世界BOSS专属武器!N850)</f>
        <v>1501016</v>
      </c>
      <c r="P850" s="49" t="s">
        <v>480</v>
      </c>
      <c r="Q850" s="15">
        <f t="shared" si="167"/>
        <v>5</v>
      </c>
      <c r="R850" s="49" t="str">
        <f t="shared" si="168"/>
        <v>金币</v>
      </c>
      <c r="S850" s="15">
        <f t="shared" si="169"/>
        <v>500</v>
      </c>
      <c r="T850" s="15" t="str">
        <f t="shared" si="170"/>
        <v>低级专属强化石</v>
      </c>
      <c r="U850" s="15">
        <f t="shared" si="171"/>
        <v>4</v>
      </c>
      <c r="V850" s="15" t="str">
        <f t="shared" si="172"/>
        <v>[x]</v>
      </c>
      <c r="W850" s="15" t="str">
        <f t="shared" si="173"/>
        <v>[x]</v>
      </c>
      <c r="X850" s="15">
        <f t="shared" si="174"/>
        <v>0.44</v>
      </c>
      <c r="Y850" s="15">
        <f t="shared" si="175"/>
        <v>1</v>
      </c>
      <c r="Z850" s="15">
        <f t="shared" si="176"/>
        <v>3</v>
      </c>
      <c r="AA850" s="15">
        <f t="shared" si="177"/>
        <v>3.3300000000000003E-2</v>
      </c>
    </row>
    <row r="851" spans="13:27" ht="16.5" x14ac:dyDescent="0.2">
      <c r="M851" s="15">
        <v>772</v>
      </c>
      <c r="N851" s="15">
        <f t="shared" si="166"/>
        <v>16</v>
      </c>
      <c r="O851" s="15">
        <f>INDEX(卡牌消耗!$H$13:$H$33,世界BOSS专属武器!N851)</f>
        <v>1501016</v>
      </c>
      <c r="P851" s="49" t="s">
        <v>480</v>
      </c>
      <c r="Q851" s="15">
        <f t="shared" si="167"/>
        <v>6</v>
      </c>
      <c r="R851" s="49" t="str">
        <f t="shared" si="168"/>
        <v>金币</v>
      </c>
      <c r="S851" s="15">
        <f t="shared" si="169"/>
        <v>600</v>
      </c>
      <c r="T851" s="15" t="str">
        <f t="shared" si="170"/>
        <v>低级专属强化石</v>
      </c>
      <c r="U851" s="15">
        <f t="shared" si="171"/>
        <v>5</v>
      </c>
      <c r="V851" s="15" t="str">
        <f t="shared" si="172"/>
        <v>[x]</v>
      </c>
      <c r="W851" s="15" t="str">
        <f t="shared" si="173"/>
        <v>[x]</v>
      </c>
      <c r="X851" s="15">
        <f t="shared" si="174"/>
        <v>0.42</v>
      </c>
      <c r="Y851" s="15">
        <f t="shared" si="175"/>
        <v>1</v>
      </c>
      <c r="Z851" s="15">
        <f t="shared" si="176"/>
        <v>4</v>
      </c>
      <c r="AA851" s="15">
        <f t="shared" si="177"/>
        <v>0.04</v>
      </c>
    </row>
    <row r="852" spans="13:27" ht="16.5" x14ac:dyDescent="0.2">
      <c r="M852" s="15">
        <v>773</v>
      </c>
      <c r="N852" s="15">
        <f t="shared" si="166"/>
        <v>16</v>
      </c>
      <c r="O852" s="15">
        <f>INDEX(卡牌消耗!$H$13:$H$33,世界BOSS专属武器!N852)</f>
        <v>1501016</v>
      </c>
      <c r="P852" s="49" t="s">
        <v>480</v>
      </c>
      <c r="Q852" s="15">
        <f t="shared" si="167"/>
        <v>7</v>
      </c>
      <c r="R852" s="49" t="str">
        <f t="shared" si="168"/>
        <v>金币</v>
      </c>
      <c r="S852" s="15">
        <f t="shared" si="169"/>
        <v>700</v>
      </c>
      <c r="T852" s="15" t="str">
        <f t="shared" si="170"/>
        <v>低级专属强化石</v>
      </c>
      <c r="U852" s="15">
        <f t="shared" si="171"/>
        <v>5</v>
      </c>
      <c r="V852" s="15" t="str">
        <f t="shared" si="172"/>
        <v>[x]</v>
      </c>
      <c r="W852" s="15" t="str">
        <f t="shared" si="173"/>
        <v>[x]</v>
      </c>
      <c r="X852" s="15">
        <f t="shared" si="174"/>
        <v>0.4</v>
      </c>
      <c r="Y852" s="15">
        <f t="shared" si="175"/>
        <v>1</v>
      </c>
      <c r="Z852" s="15">
        <f t="shared" si="176"/>
        <v>4</v>
      </c>
      <c r="AA852" s="15">
        <f t="shared" si="177"/>
        <v>4.6699999999999998E-2</v>
      </c>
    </row>
    <row r="853" spans="13:27" ht="16.5" x14ac:dyDescent="0.2">
      <c r="M853" s="15">
        <v>774</v>
      </c>
      <c r="N853" s="15">
        <f t="shared" si="166"/>
        <v>16</v>
      </c>
      <c r="O853" s="15">
        <f>INDEX(卡牌消耗!$H$13:$H$33,世界BOSS专属武器!N853)</f>
        <v>1501016</v>
      </c>
      <c r="P853" s="49" t="s">
        <v>480</v>
      </c>
      <c r="Q853" s="15">
        <f t="shared" si="167"/>
        <v>8</v>
      </c>
      <c r="R853" s="49" t="str">
        <f t="shared" si="168"/>
        <v>金币</v>
      </c>
      <c r="S853" s="15">
        <f t="shared" si="169"/>
        <v>800</v>
      </c>
      <c r="T853" s="15" t="str">
        <f t="shared" si="170"/>
        <v>低级专属强化石</v>
      </c>
      <c r="U853" s="15">
        <f t="shared" si="171"/>
        <v>5</v>
      </c>
      <c r="V853" s="15" t="str">
        <f t="shared" si="172"/>
        <v>[x]</v>
      </c>
      <c r="W853" s="15" t="str">
        <f t="shared" si="173"/>
        <v>[x]</v>
      </c>
      <c r="X853" s="15">
        <f t="shared" si="174"/>
        <v>0.38</v>
      </c>
      <c r="Y853" s="15">
        <f t="shared" si="175"/>
        <v>1</v>
      </c>
      <c r="Z853" s="15">
        <f t="shared" si="176"/>
        <v>5</v>
      </c>
      <c r="AA853" s="15">
        <f t="shared" si="177"/>
        <v>5.33E-2</v>
      </c>
    </row>
    <row r="854" spans="13:27" ht="16.5" x14ac:dyDescent="0.2">
      <c r="M854" s="15">
        <v>775</v>
      </c>
      <c r="N854" s="15">
        <f t="shared" si="166"/>
        <v>16</v>
      </c>
      <c r="O854" s="15">
        <f>INDEX(卡牌消耗!$H$13:$H$33,世界BOSS专属武器!N854)</f>
        <v>1501016</v>
      </c>
      <c r="P854" s="49" t="s">
        <v>480</v>
      </c>
      <c r="Q854" s="15">
        <f t="shared" si="167"/>
        <v>9</v>
      </c>
      <c r="R854" s="49" t="str">
        <f t="shared" si="168"/>
        <v>金币</v>
      </c>
      <c r="S854" s="15">
        <f t="shared" si="169"/>
        <v>900</v>
      </c>
      <c r="T854" s="15" t="str">
        <f t="shared" si="170"/>
        <v>低级专属强化石</v>
      </c>
      <c r="U854" s="15">
        <f t="shared" si="171"/>
        <v>5</v>
      </c>
      <c r="V854" s="15" t="str">
        <f t="shared" si="172"/>
        <v>[x]</v>
      </c>
      <c r="W854" s="15" t="str">
        <f t="shared" si="173"/>
        <v>[x]</v>
      </c>
      <c r="X854" s="15">
        <f t="shared" si="174"/>
        <v>0.36</v>
      </c>
      <c r="Y854" s="15">
        <f t="shared" si="175"/>
        <v>1</v>
      </c>
      <c r="Z854" s="15">
        <f t="shared" si="176"/>
        <v>5</v>
      </c>
      <c r="AA854" s="15">
        <f t="shared" si="177"/>
        <v>0.06</v>
      </c>
    </row>
    <row r="855" spans="13:27" ht="16.5" x14ac:dyDescent="0.2">
      <c r="M855" s="15">
        <v>776</v>
      </c>
      <c r="N855" s="15">
        <f t="shared" si="166"/>
        <v>16</v>
      </c>
      <c r="O855" s="15">
        <f>INDEX(卡牌消耗!$H$13:$H$33,世界BOSS专属武器!N855)</f>
        <v>1501016</v>
      </c>
      <c r="P855" s="49" t="s">
        <v>480</v>
      </c>
      <c r="Q855" s="15">
        <f t="shared" si="167"/>
        <v>10</v>
      </c>
      <c r="R855" s="49" t="str">
        <f t="shared" si="168"/>
        <v>金币</v>
      </c>
      <c r="S855" s="15">
        <f t="shared" si="169"/>
        <v>1000</v>
      </c>
      <c r="T855" s="15" t="str">
        <f t="shared" si="170"/>
        <v>低级专属强化石</v>
      </c>
      <c r="U855" s="15">
        <f t="shared" si="171"/>
        <v>7</v>
      </c>
      <c r="V855" s="15" t="str">
        <f t="shared" si="172"/>
        <v>[x]</v>
      </c>
      <c r="W855" s="15" t="str">
        <f t="shared" si="173"/>
        <v>[x]</v>
      </c>
      <c r="X855" s="15">
        <f t="shared" si="174"/>
        <v>0.35</v>
      </c>
      <c r="Y855" s="15">
        <f t="shared" si="175"/>
        <v>1</v>
      </c>
      <c r="Z855" s="15">
        <f t="shared" si="176"/>
        <v>5</v>
      </c>
      <c r="AA855" s="15">
        <f t="shared" si="177"/>
        <v>6.6699999999999995E-2</v>
      </c>
    </row>
    <row r="856" spans="13:27" ht="16.5" x14ac:dyDescent="0.2">
      <c r="M856" s="15">
        <v>777</v>
      </c>
      <c r="N856" s="15">
        <f t="shared" si="166"/>
        <v>16</v>
      </c>
      <c r="O856" s="15">
        <f>INDEX(卡牌消耗!$H$13:$H$33,世界BOSS专属武器!N856)</f>
        <v>1501016</v>
      </c>
      <c r="P856" s="49" t="s">
        <v>480</v>
      </c>
      <c r="Q856" s="15">
        <f t="shared" si="167"/>
        <v>11</v>
      </c>
      <c r="R856" s="49" t="str">
        <f t="shared" si="168"/>
        <v>金币</v>
      </c>
      <c r="S856" s="15">
        <f t="shared" si="169"/>
        <v>1000</v>
      </c>
      <c r="T856" s="15" t="str">
        <f t="shared" si="170"/>
        <v>低级专属强化石</v>
      </c>
      <c r="U856" s="15">
        <f t="shared" si="171"/>
        <v>7</v>
      </c>
      <c r="V856" s="15" t="str">
        <f t="shared" si="172"/>
        <v>[x]</v>
      </c>
      <c r="W856" s="15" t="str">
        <f t="shared" si="173"/>
        <v>[x]</v>
      </c>
      <c r="X856" s="15">
        <f t="shared" si="174"/>
        <v>0.33</v>
      </c>
      <c r="Y856" s="15">
        <f t="shared" si="175"/>
        <v>1</v>
      </c>
      <c r="Z856" s="15">
        <f t="shared" si="176"/>
        <v>6</v>
      </c>
      <c r="AA856" s="15">
        <f t="shared" si="177"/>
        <v>0.08</v>
      </c>
    </row>
    <row r="857" spans="13:27" ht="16.5" x14ac:dyDescent="0.2">
      <c r="M857" s="15">
        <v>778</v>
      </c>
      <c r="N857" s="15">
        <f t="shared" si="166"/>
        <v>16</v>
      </c>
      <c r="O857" s="15">
        <f>INDEX(卡牌消耗!$H$13:$H$33,世界BOSS专属武器!N857)</f>
        <v>1501016</v>
      </c>
      <c r="P857" s="49" t="s">
        <v>480</v>
      </c>
      <c r="Q857" s="15">
        <f t="shared" si="167"/>
        <v>12</v>
      </c>
      <c r="R857" s="49" t="str">
        <f t="shared" si="168"/>
        <v>金币</v>
      </c>
      <c r="S857" s="15">
        <f t="shared" si="169"/>
        <v>1000</v>
      </c>
      <c r="T857" s="15" t="str">
        <f t="shared" si="170"/>
        <v>低级专属强化石</v>
      </c>
      <c r="U857" s="15">
        <f t="shared" si="171"/>
        <v>7</v>
      </c>
      <c r="V857" s="15" t="str">
        <f t="shared" si="172"/>
        <v>[x]</v>
      </c>
      <c r="W857" s="15" t="str">
        <f t="shared" si="173"/>
        <v>[x]</v>
      </c>
      <c r="X857" s="15">
        <f t="shared" si="174"/>
        <v>0.31</v>
      </c>
      <c r="Y857" s="15">
        <f t="shared" si="175"/>
        <v>1</v>
      </c>
      <c r="Z857" s="15">
        <f t="shared" si="176"/>
        <v>6</v>
      </c>
      <c r="AA857" s="15">
        <f t="shared" si="177"/>
        <v>9.3299999999999994E-2</v>
      </c>
    </row>
    <row r="858" spans="13:27" ht="16.5" x14ac:dyDescent="0.2">
      <c r="M858" s="15">
        <v>779</v>
      </c>
      <c r="N858" s="15">
        <f t="shared" si="166"/>
        <v>16</v>
      </c>
      <c r="O858" s="15">
        <f>INDEX(卡牌消耗!$H$13:$H$33,世界BOSS专属武器!N858)</f>
        <v>1501016</v>
      </c>
      <c r="P858" s="49" t="s">
        <v>480</v>
      </c>
      <c r="Q858" s="15">
        <f t="shared" si="167"/>
        <v>13</v>
      </c>
      <c r="R858" s="49" t="str">
        <f t="shared" si="168"/>
        <v>金币</v>
      </c>
      <c r="S858" s="15">
        <f t="shared" si="169"/>
        <v>1000</v>
      </c>
      <c r="T858" s="15" t="str">
        <f t="shared" si="170"/>
        <v>低级专属强化石</v>
      </c>
      <c r="U858" s="15">
        <f t="shared" si="171"/>
        <v>7</v>
      </c>
      <c r="V858" s="15" t="str">
        <f t="shared" si="172"/>
        <v>[x]</v>
      </c>
      <c r="W858" s="15" t="str">
        <f t="shared" si="173"/>
        <v>[x]</v>
      </c>
      <c r="X858" s="15">
        <f t="shared" si="174"/>
        <v>0.28999999999999998</v>
      </c>
      <c r="Y858" s="15">
        <f t="shared" si="175"/>
        <v>1</v>
      </c>
      <c r="Z858" s="15">
        <f t="shared" si="176"/>
        <v>7</v>
      </c>
      <c r="AA858" s="15">
        <f t="shared" si="177"/>
        <v>0.1067</v>
      </c>
    </row>
    <row r="859" spans="13:27" ht="16.5" x14ac:dyDescent="0.2">
      <c r="M859" s="15">
        <v>780</v>
      </c>
      <c r="N859" s="15">
        <f t="shared" si="166"/>
        <v>16</v>
      </c>
      <c r="O859" s="15">
        <f>INDEX(卡牌消耗!$H$13:$H$33,世界BOSS专属武器!N859)</f>
        <v>1501016</v>
      </c>
      <c r="P859" s="49" t="s">
        <v>480</v>
      </c>
      <c r="Q859" s="15">
        <f t="shared" si="167"/>
        <v>14</v>
      </c>
      <c r="R859" s="49" t="str">
        <f t="shared" si="168"/>
        <v>金币</v>
      </c>
      <c r="S859" s="15">
        <f t="shared" si="169"/>
        <v>1000</v>
      </c>
      <c r="T859" s="15" t="str">
        <f t="shared" si="170"/>
        <v>低级专属强化石</v>
      </c>
      <c r="U859" s="15">
        <f t="shared" si="171"/>
        <v>7</v>
      </c>
      <c r="V859" s="15" t="str">
        <f t="shared" si="172"/>
        <v>[x]</v>
      </c>
      <c r="W859" s="15" t="str">
        <f t="shared" si="173"/>
        <v>[x]</v>
      </c>
      <c r="X859" s="15">
        <f t="shared" si="174"/>
        <v>0.27</v>
      </c>
      <c r="Y859" s="15">
        <f t="shared" si="175"/>
        <v>1</v>
      </c>
      <c r="Z859" s="15">
        <f t="shared" si="176"/>
        <v>7</v>
      </c>
      <c r="AA859" s="15">
        <f t="shared" si="177"/>
        <v>0.12</v>
      </c>
    </row>
    <row r="860" spans="13:27" ht="16.5" x14ac:dyDescent="0.2">
      <c r="M860" s="15">
        <v>781</v>
      </c>
      <c r="N860" s="15">
        <f t="shared" si="166"/>
        <v>16</v>
      </c>
      <c r="O860" s="15">
        <f>INDEX(卡牌消耗!$H$13:$H$33,世界BOSS专属武器!N860)</f>
        <v>1501016</v>
      </c>
      <c r="P860" s="49" t="s">
        <v>480</v>
      </c>
      <c r="Q860" s="15">
        <f t="shared" si="167"/>
        <v>15</v>
      </c>
      <c r="R860" s="49" t="str">
        <f t="shared" si="168"/>
        <v>金币</v>
      </c>
      <c r="S860" s="15">
        <f t="shared" si="169"/>
        <v>1000</v>
      </c>
      <c r="T860" s="15" t="str">
        <f t="shared" si="170"/>
        <v>低级专属强化石</v>
      </c>
      <c r="U860" s="15">
        <f t="shared" si="171"/>
        <v>10</v>
      </c>
      <c r="V860" s="15" t="str">
        <f t="shared" si="172"/>
        <v>[x]</v>
      </c>
      <c r="W860" s="15" t="str">
        <f t="shared" si="173"/>
        <v>[x]</v>
      </c>
      <c r="X860" s="15">
        <f t="shared" si="174"/>
        <v>0.25</v>
      </c>
      <c r="Y860" s="15">
        <f t="shared" si="175"/>
        <v>1</v>
      </c>
      <c r="Z860" s="15">
        <f t="shared" si="176"/>
        <v>8</v>
      </c>
      <c r="AA860" s="15">
        <f t="shared" si="177"/>
        <v>0.1333</v>
      </c>
    </row>
    <row r="861" spans="13:27" ht="16.5" x14ac:dyDescent="0.2">
      <c r="M861" s="15">
        <v>782</v>
      </c>
      <c r="N861" s="15">
        <f t="shared" si="166"/>
        <v>16</v>
      </c>
      <c r="O861" s="15">
        <f>INDEX(卡牌消耗!$H$13:$H$33,世界BOSS专属武器!N861)</f>
        <v>1501016</v>
      </c>
      <c r="P861" s="49" t="s">
        <v>480</v>
      </c>
      <c r="Q861" s="15">
        <f t="shared" si="167"/>
        <v>16</v>
      </c>
      <c r="R861" s="49" t="str">
        <f t="shared" si="168"/>
        <v>金币</v>
      </c>
      <c r="S861" s="15">
        <f t="shared" si="169"/>
        <v>1000</v>
      </c>
      <c r="T861" s="15" t="str">
        <f t="shared" si="170"/>
        <v>低级专属强化石</v>
      </c>
      <c r="U861" s="15">
        <f t="shared" si="171"/>
        <v>10</v>
      </c>
      <c r="V861" s="15" t="str">
        <f t="shared" si="172"/>
        <v>[x]</v>
      </c>
      <c r="W861" s="15" t="str">
        <f t="shared" si="173"/>
        <v>[x]</v>
      </c>
      <c r="X861" s="15">
        <f t="shared" si="174"/>
        <v>0.23</v>
      </c>
      <c r="Y861" s="15">
        <f t="shared" si="175"/>
        <v>1</v>
      </c>
      <c r="Z861" s="15">
        <f t="shared" si="176"/>
        <v>9</v>
      </c>
      <c r="AA861" s="15">
        <f t="shared" si="177"/>
        <v>0.1467</v>
      </c>
    </row>
    <row r="862" spans="13:27" ht="16.5" x14ac:dyDescent="0.2">
      <c r="M862" s="15">
        <v>783</v>
      </c>
      <c r="N862" s="15">
        <f t="shared" si="166"/>
        <v>16</v>
      </c>
      <c r="O862" s="15">
        <f>INDEX(卡牌消耗!$H$13:$H$33,世界BOSS专属武器!N862)</f>
        <v>1501016</v>
      </c>
      <c r="P862" s="49" t="s">
        <v>480</v>
      </c>
      <c r="Q862" s="15">
        <f t="shared" si="167"/>
        <v>17</v>
      </c>
      <c r="R862" s="49" t="str">
        <f t="shared" si="168"/>
        <v>金币</v>
      </c>
      <c r="S862" s="15">
        <f t="shared" si="169"/>
        <v>1000</v>
      </c>
      <c r="T862" s="15" t="str">
        <f t="shared" si="170"/>
        <v>低级专属强化石</v>
      </c>
      <c r="U862" s="15">
        <f t="shared" si="171"/>
        <v>10</v>
      </c>
      <c r="V862" s="15" t="str">
        <f t="shared" si="172"/>
        <v>[x]</v>
      </c>
      <c r="W862" s="15" t="str">
        <f t="shared" si="173"/>
        <v>[x]</v>
      </c>
      <c r="X862" s="15">
        <f t="shared" si="174"/>
        <v>0.21</v>
      </c>
      <c r="Y862" s="15">
        <f t="shared" si="175"/>
        <v>1</v>
      </c>
      <c r="Z862" s="15">
        <f t="shared" si="176"/>
        <v>10</v>
      </c>
      <c r="AA862" s="15">
        <f t="shared" si="177"/>
        <v>0.16</v>
      </c>
    </row>
    <row r="863" spans="13:27" ht="16.5" x14ac:dyDescent="0.2">
      <c r="M863" s="15">
        <v>784</v>
      </c>
      <c r="N863" s="15">
        <f t="shared" si="166"/>
        <v>16</v>
      </c>
      <c r="O863" s="15">
        <f>INDEX(卡牌消耗!$H$13:$H$33,世界BOSS专属武器!N863)</f>
        <v>1501016</v>
      </c>
      <c r="P863" s="49" t="s">
        <v>480</v>
      </c>
      <c r="Q863" s="15">
        <f t="shared" si="167"/>
        <v>18</v>
      </c>
      <c r="R863" s="49" t="str">
        <f t="shared" si="168"/>
        <v>金币</v>
      </c>
      <c r="S863" s="15">
        <f t="shared" si="169"/>
        <v>1000</v>
      </c>
      <c r="T863" s="15" t="str">
        <f t="shared" si="170"/>
        <v>低级专属强化石</v>
      </c>
      <c r="U863" s="15">
        <f t="shared" si="171"/>
        <v>10</v>
      </c>
      <c r="V863" s="15" t="str">
        <f t="shared" si="172"/>
        <v>[x]</v>
      </c>
      <c r="W863" s="15" t="str">
        <f t="shared" si="173"/>
        <v>[x]</v>
      </c>
      <c r="X863" s="15">
        <f t="shared" si="174"/>
        <v>0.19</v>
      </c>
      <c r="Y863" s="15">
        <f t="shared" si="175"/>
        <v>1</v>
      </c>
      <c r="Z863" s="15">
        <f t="shared" si="176"/>
        <v>11</v>
      </c>
      <c r="AA863" s="15">
        <f t="shared" si="177"/>
        <v>0.17330000000000001</v>
      </c>
    </row>
    <row r="864" spans="13:27" ht="16.5" x14ac:dyDescent="0.2">
      <c r="M864" s="15">
        <v>785</v>
      </c>
      <c r="N864" s="15">
        <f t="shared" si="166"/>
        <v>16</v>
      </c>
      <c r="O864" s="15">
        <f>INDEX(卡牌消耗!$H$13:$H$33,世界BOSS专属武器!N864)</f>
        <v>1501016</v>
      </c>
      <c r="P864" s="49" t="s">
        <v>480</v>
      </c>
      <c r="Q864" s="15">
        <f t="shared" si="167"/>
        <v>19</v>
      </c>
      <c r="R864" s="49" t="str">
        <f t="shared" si="168"/>
        <v>金币</v>
      </c>
      <c r="S864" s="15">
        <f t="shared" si="169"/>
        <v>1000</v>
      </c>
      <c r="T864" s="15" t="str">
        <f t="shared" si="170"/>
        <v>低级专属强化石</v>
      </c>
      <c r="U864" s="15">
        <f t="shared" si="171"/>
        <v>10</v>
      </c>
      <c r="V864" s="15" t="str">
        <f t="shared" si="172"/>
        <v>[x]</v>
      </c>
      <c r="W864" s="15" t="str">
        <f t="shared" si="173"/>
        <v>[x]</v>
      </c>
      <c r="X864" s="15">
        <f t="shared" si="174"/>
        <v>0.17</v>
      </c>
      <c r="Y864" s="15">
        <f t="shared" si="175"/>
        <v>1</v>
      </c>
      <c r="Z864" s="15">
        <f t="shared" si="176"/>
        <v>12</v>
      </c>
      <c r="AA864" s="15">
        <f t="shared" si="177"/>
        <v>0.1867</v>
      </c>
    </row>
    <row r="865" spans="13:27" ht="16.5" x14ac:dyDescent="0.2">
      <c r="M865" s="15">
        <v>786</v>
      </c>
      <c r="N865" s="15">
        <f t="shared" si="166"/>
        <v>16</v>
      </c>
      <c r="O865" s="15">
        <f>INDEX(卡牌消耗!$H$13:$H$33,世界BOSS专属武器!N865)</f>
        <v>1501016</v>
      </c>
      <c r="P865" s="49" t="s">
        <v>480</v>
      </c>
      <c r="Q865" s="15">
        <f t="shared" si="167"/>
        <v>20</v>
      </c>
      <c r="R865" s="49" t="str">
        <f t="shared" si="168"/>
        <v>金币</v>
      </c>
      <c r="S865" s="15">
        <f t="shared" si="169"/>
        <v>5000</v>
      </c>
      <c r="T865" s="15" t="str">
        <f t="shared" si="170"/>
        <v>低级专属强化石</v>
      </c>
      <c r="U865" s="15">
        <f t="shared" si="171"/>
        <v>15</v>
      </c>
      <c r="V865" s="15" t="str">
        <f t="shared" si="172"/>
        <v>中级专属强化石</v>
      </c>
      <c r="W865" s="15">
        <f t="shared" si="173"/>
        <v>7</v>
      </c>
      <c r="X865" s="15">
        <f t="shared" si="174"/>
        <v>0.15</v>
      </c>
      <c r="Y865" s="15">
        <f t="shared" si="175"/>
        <v>1</v>
      </c>
      <c r="Z865" s="15">
        <f t="shared" si="176"/>
        <v>15</v>
      </c>
      <c r="AA865" s="15">
        <f t="shared" si="177"/>
        <v>0.2</v>
      </c>
    </row>
    <row r="866" spans="13:27" ht="16.5" x14ac:dyDescent="0.2">
      <c r="M866" s="15">
        <v>787</v>
      </c>
      <c r="N866" s="15">
        <f t="shared" si="166"/>
        <v>16</v>
      </c>
      <c r="O866" s="15">
        <f>INDEX(卡牌消耗!$H$13:$H$33,世界BOSS专属武器!N866)</f>
        <v>1501016</v>
      </c>
      <c r="P866" s="49" t="s">
        <v>480</v>
      </c>
      <c r="Q866" s="15">
        <f t="shared" si="167"/>
        <v>21</v>
      </c>
      <c r="R866" s="49" t="str">
        <f t="shared" si="168"/>
        <v>金币</v>
      </c>
      <c r="S866" s="15">
        <f t="shared" si="169"/>
        <v>5000</v>
      </c>
      <c r="T866" s="15" t="str">
        <f t="shared" si="170"/>
        <v>低级专属强化石</v>
      </c>
      <c r="U866" s="15">
        <f t="shared" si="171"/>
        <v>15</v>
      </c>
      <c r="V866" s="15" t="str">
        <f t="shared" si="172"/>
        <v>中级专属强化石</v>
      </c>
      <c r="W866" s="15">
        <f t="shared" si="173"/>
        <v>7</v>
      </c>
      <c r="X866" s="15">
        <f t="shared" si="174"/>
        <v>0.15</v>
      </c>
      <c r="Y866" s="15">
        <f t="shared" si="175"/>
        <v>1</v>
      </c>
      <c r="Z866" s="15">
        <f t="shared" si="176"/>
        <v>15</v>
      </c>
      <c r="AA866" s="15">
        <f t="shared" si="177"/>
        <v>0.22</v>
      </c>
    </row>
    <row r="867" spans="13:27" ht="16.5" x14ac:dyDescent="0.2">
      <c r="M867" s="15">
        <v>788</v>
      </c>
      <c r="N867" s="15">
        <f t="shared" si="166"/>
        <v>16</v>
      </c>
      <c r="O867" s="15">
        <f>INDEX(卡牌消耗!$H$13:$H$33,世界BOSS专属武器!N867)</f>
        <v>1501016</v>
      </c>
      <c r="P867" s="49" t="s">
        <v>480</v>
      </c>
      <c r="Q867" s="15">
        <f t="shared" si="167"/>
        <v>22</v>
      </c>
      <c r="R867" s="49" t="str">
        <f t="shared" si="168"/>
        <v>金币</v>
      </c>
      <c r="S867" s="15">
        <f t="shared" si="169"/>
        <v>5000</v>
      </c>
      <c r="T867" s="15" t="str">
        <f t="shared" si="170"/>
        <v>低级专属强化石</v>
      </c>
      <c r="U867" s="15">
        <f t="shared" si="171"/>
        <v>15</v>
      </c>
      <c r="V867" s="15" t="str">
        <f t="shared" si="172"/>
        <v>中级专属强化石</v>
      </c>
      <c r="W867" s="15">
        <f t="shared" si="173"/>
        <v>7</v>
      </c>
      <c r="X867" s="15">
        <f t="shared" si="174"/>
        <v>0.15</v>
      </c>
      <c r="Y867" s="15">
        <f t="shared" si="175"/>
        <v>1</v>
      </c>
      <c r="Z867" s="15">
        <f t="shared" si="176"/>
        <v>15</v>
      </c>
      <c r="AA867" s="15">
        <f t="shared" si="177"/>
        <v>0.24</v>
      </c>
    </row>
    <row r="868" spans="13:27" ht="16.5" x14ac:dyDescent="0.2">
      <c r="M868" s="15">
        <v>789</v>
      </c>
      <c r="N868" s="15">
        <f t="shared" si="166"/>
        <v>16</v>
      </c>
      <c r="O868" s="15">
        <f>INDEX(卡牌消耗!$H$13:$H$33,世界BOSS专属武器!N868)</f>
        <v>1501016</v>
      </c>
      <c r="P868" s="49" t="s">
        <v>480</v>
      </c>
      <c r="Q868" s="15">
        <f t="shared" si="167"/>
        <v>23</v>
      </c>
      <c r="R868" s="49" t="str">
        <f t="shared" si="168"/>
        <v>金币</v>
      </c>
      <c r="S868" s="15">
        <f t="shared" si="169"/>
        <v>5000</v>
      </c>
      <c r="T868" s="15" t="str">
        <f t="shared" si="170"/>
        <v>低级专属强化石</v>
      </c>
      <c r="U868" s="15">
        <f t="shared" si="171"/>
        <v>15</v>
      </c>
      <c r="V868" s="15" t="str">
        <f t="shared" si="172"/>
        <v>中级专属强化石</v>
      </c>
      <c r="W868" s="15">
        <f t="shared" si="173"/>
        <v>7</v>
      </c>
      <c r="X868" s="15">
        <f t="shared" si="174"/>
        <v>0.15</v>
      </c>
      <c r="Y868" s="15">
        <f t="shared" si="175"/>
        <v>1</v>
      </c>
      <c r="Z868" s="15">
        <f t="shared" si="176"/>
        <v>18</v>
      </c>
      <c r="AA868" s="15">
        <f t="shared" si="177"/>
        <v>0.26</v>
      </c>
    </row>
    <row r="869" spans="13:27" ht="16.5" x14ac:dyDescent="0.2">
      <c r="M869" s="15">
        <v>790</v>
      </c>
      <c r="N869" s="15">
        <f t="shared" si="166"/>
        <v>16</v>
      </c>
      <c r="O869" s="15">
        <f>INDEX(卡牌消耗!$H$13:$H$33,世界BOSS专属武器!N869)</f>
        <v>1501016</v>
      </c>
      <c r="P869" s="49" t="s">
        <v>480</v>
      </c>
      <c r="Q869" s="15">
        <f t="shared" si="167"/>
        <v>24</v>
      </c>
      <c r="R869" s="49" t="str">
        <f t="shared" si="168"/>
        <v>金币</v>
      </c>
      <c r="S869" s="15">
        <f t="shared" si="169"/>
        <v>5000</v>
      </c>
      <c r="T869" s="15" t="str">
        <f t="shared" si="170"/>
        <v>低级专属强化石</v>
      </c>
      <c r="U869" s="15">
        <f t="shared" si="171"/>
        <v>15</v>
      </c>
      <c r="V869" s="15" t="str">
        <f t="shared" si="172"/>
        <v>中级专属强化石</v>
      </c>
      <c r="W869" s="15">
        <f t="shared" si="173"/>
        <v>7</v>
      </c>
      <c r="X869" s="15">
        <f t="shared" si="174"/>
        <v>0.15</v>
      </c>
      <c r="Y869" s="15">
        <f t="shared" si="175"/>
        <v>1</v>
      </c>
      <c r="Z869" s="15">
        <f t="shared" si="176"/>
        <v>18</v>
      </c>
      <c r="AA869" s="15">
        <f t="shared" si="177"/>
        <v>0.28000000000000003</v>
      </c>
    </row>
    <row r="870" spans="13:27" ht="16.5" x14ac:dyDescent="0.2">
      <c r="M870" s="15">
        <v>791</v>
      </c>
      <c r="N870" s="15">
        <f t="shared" si="166"/>
        <v>16</v>
      </c>
      <c r="O870" s="15">
        <f>INDEX(卡牌消耗!$H$13:$H$33,世界BOSS专属武器!N870)</f>
        <v>1501016</v>
      </c>
      <c r="P870" s="49" t="s">
        <v>480</v>
      </c>
      <c r="Q870" s="15">
        <f t="shared" si="167"/>
        <v>25</v>
      </c>
      <c r="R870" s="49" t="str">
        <f t="shared" si="168"/>
        <v>金币</v>
      </c>
      <c r="S870" s="15">
        <f t="shared" si="169"/>
        <v>5000</v>
      </c>
      <c r="T870" s="15" t="str">
        <f t="shared" si="170"/>
        <v>低级专属强化石</v>
      </c>
      <c r="U870" s="15">
        <f t="shared" si="171"/>
        <v>15</v>
      </c>
      <c r="V870" s="15" t="str">
        <f t="shared" si="172"/>
        <v>中级专属强化石</v>
      </c>
      <c r="W870" s="15">
        <f t="shared" si="173"/>
        <v>7</v>
      </c>
      <c r="X870" s="15">
        <f t="shared" si="174"/>
        <v>0.15</v>
      </c>
      <c r="Y870" s="15">
        <f t="shared" si="175"/>
        <v>1</v>
      </c>
      <c r="Z870" s="15">
        <f t="shared" si="176"/>
        <v>18</v>
      </c>
      <c r="AA870" s="15">
        <f t="shared" si="177"/>
        <v>0.3</v>
      </c>
    </row>
    <row r="871" spans="13:27" ht="16.5" x14ac:dyDescent="0.2">
      <c r="M871" s="15">
        <v>792</v>
      </c>
      <c r="N871" s="15">
        <f t="shared" si="166"/>
        <v>16</v>
      </c>
      <c r="O871" s="15">
        <f>INDEX(卡牌消耗!$H$13:$H$33,世界BOSS专属武器!N871)</f>
        <v>1501016</v>
      </c>
      <c r="P871" s="49" t="s">
        <v>480</v>
      </c>
      <c r="Q871" s="15">
        <f t="shared" si="167"/>
        <v>26</v>
      </c>
      <c r="R871" s="49" t="str">
        <f t="shared" si="168"/>
        <v>金币</v>
      </c>
      <c r="S871" s="15">
        <f t="shared" si="169"/>
        <v>5000</v>
      </c>
      <c r="T871" s="15" t="str">
        <f t="shared" si="170"/>
        <v>低级专属强化石</v>
      </c>
      <c r="U871" s="15">
        <f t="shared" si="171"/>
        <v>15</v>
      </c>
      <c r="V871" s="15" t="str">
        <f t="shared" si="172"/>
        <v>中级专属强化石</v>
      </c>
      <c r="W871" s="15">
        <f t="shared" si="173"/>
        <v>7</v>
      </c>
      <c r="X871" s="15">
        <f t="shared" si="174"/>
        <v>0.15</v>
      </c>
      <c r="Y871" s="15">
        <f t="shared" si="175"/>
        <v>1</v>
      </c>
      <c r="Z871" s="15">
        <f t="shared" si="176"/>
        <v>21</v>
      </c>
      <c r="AA871" s="15">
        <f t="shared" si="177"/>
        <v>0.32</v>
      </c>
    </row>
    <row r="872" spans="13:27" ht="16.5" x14ac:dyDescent="0.2">
      <c r="M872" s="15">
        <v>793</v>
      </c>
      <c r="N872" s="15">
        <f t="shared" si="166"/>
        <v>16</v>
      </c>
      <c r="O872" s="15">
        <f>INDEX(卡牌消耗!$H$13:$H$33,世界BOSS专属武器!N872)</f>
        <v>1501016</v>
      </c>
      <c r="P872" s="49" t="s">
        <v>480</v>
      </c>
      <c r="Q872" s="15">
        <f t="shared" si="167"/>
        <v>27</v>
      </c>
      <c r="R872" s="49" t="str">
        <f t="shared" si="168"/>
        <v>金币</v>
      </c>
      <c r="S872" s="15">
        <f t="shared" si="169"/>
        <v>5000</v>
      </c>
      <c r="T872" s="15" t="str">
        <f t="shared" si="170"/>
        <v>低级专属强化石</v>
      </c>
      <c r="U872" s="15">
        <f t="shared" si="171"/>
        <v>15</v>
      </c>
      <c r="V872" s="15" t="str">
        <f t="shared" si="172"/>
        <v>中级专属强化石</v>
      </c>
      <c r="W872" s="15">
        <f t="shared" si="173"/>
        <v>7</v>
      </c>
      <c r="X872" s="15">
        <f t="shared" si="174"/>
        <v>0.15</v>
      </c>
      <c r="Y872" s="15">
        <f t="shared" si="175"/>
        <v>1</v>
      </c>
      <c r="Z872" s="15">
        <f t="shared" si="176"/>
        <v>22</v>
      </c>
      <c r="AA872" s="15">
        <f t="shared" si="177"/>
        <v>0.34</v>
      </c>
    </row>
    <row r="873" spans="13:27" ht="16.5" x14ac:dyDescent="0.2">
      <c r="M873" s="15">
        <v>794</v>
      </c>
      <c r="N873" s="15">
        <f t="shared" si="166"/>
        <v>16</v>
      </c>
      <c r="O873" s="15">
        <f>INDEX(卡牌消耗!$H$13:$H$33,世界BOSS专属武器!N873)</f>
        <v>1501016</v>
      </c>
      <c r="P873" s="49" t="s">
        <v>480</v>
      </c>
      <c r="Q873" s="15">
        <f t="shared" si="167"/>
        <v>28</v>
      </c>
      <c r="R873" s="49" t="str">
        <f t="shared" si="168"/>
        <v>金币</v>
      </c>
      <c r="S873" s="15">
        <f t="shared" si="169"/>
        <v>5000</v>
      </c>
      <c r="T873" s="15" t="str">
        <f t="shared" si="170"/>
        <v>低级专属强化石</v>
      </c>
      <c r="U873" s="15">
        <f t="shared" si="171"/>
        <v>15</v>
      </c>
      <c r="V873" s="15" t="str">
        <f t="shared" si="172"/>
        <v>中级专属强化石</v>
      </c>
      <c r="W873" s="15">
        <f t="shared" si="173"/>
        <v>7</v>
      </c>
      <c r="X873" s="15">
        <f t="shared" si="174"/>
        <v>0.15</v>
      </c>
      <c r="Y873" s="15">
        <f t="shared" si="175"/>
        <v>1</v>
      </c>
      <c r="Z873" s="15">
        <f t="shared" si="176"/>
        <v>23</v>
      </c>
      <c r="AA873" s="15">
        <f t="shared" si="177"/>
        <v>0.36</v>
      </c>
    </row>
    <row r="874" spans="13:27" ht="16.5" x14ac:dyDescent="0.2">
      <c r="M874" s="15">
        <v>795</v>
      </c>
      <c r="N874" s="15">
        <f t="shared" si="166"/>
        <v>16</v>
      </c>
      <c r="O874" s="15">
        <f>INDEX(卡牌消耗!$H$13:$H$33,世界BOSS专属武器!N874)</f>
        <v>1501016</v>
      </c>
      <c r="P874" s="49" t="s">
        <v>480</v>
      </c>
      <c r="Q874" s="15">
        <f t="shared" si="167"/>
        <v>29</v>
      </c>
      <c r="R874" s="49" t="str">
        <f t="shared" si="168"/>
        <v>金币</v>
      </c>
      <c r="S874" s="15">
        <f t="shared" si="169"/>
        <v>5000</v>
      </c>
      <c r="T874" s="15" t="str">
        <f t="shared" si="170"/>
        <v>低级专属强化石</v>
      </c>
      <c r="U874" s="15">
        <f t="shared" si="171"/>
        <v>15</v>
      </c>
      <c r="V874" s="15" t="str">
        <f t="shared" si="172"/>
        <v>中级专属强化石</v>
      </c>
      <c r="W874" s="15">
        <f t="shared" si="173"/>
        <v>7</v>
      </c>
      <c r="X874" s="15">
        <f t="shared" si="174"/>
        <v>0.15</v>
      </c>
      <c r="Y874" s="15">
        <f t="shared" si="175"/>
        <v>1</v>
      </c>
      <c r="Z874" s="15">
        <f t="shared" si="176"/>
        <v>25</v>
      </c>
      <c r="AA874" s="15">
        <f t="shared" si="177"/>
        <v>0.38</v>
      </c>
    </row>
    <row r="875" spans="13:27" ht="16.5" x14ac:dyDescent="0.2">
      <c r="M875" s="15">
        <v>796</v>
      </c>
      <c r="N875" s="15">
        <f t="shared" si="166"/>
        <v>16</v>
      </c>
      <c r="O875" s="15">
        <f>INDEX(卡牌消耗!$H$13:$H$33,世界BOSS专属武器!N875)</f>
        <v>1501016</v>
      </c>
      <c r="P875" s="49" t="s">
        <v>480</v>
      </c>
      <c r="Q875" s="15">
        <f t="shared" si="167"/>
        <v>30</v>
      </c>
      <c r="R875" s="49" t="str">
        <f t="shared" si="168"/>
        <v>金币</v>
      </c>
      <c r="S875" s="15">
        <f t="shared" si="169"/>
        <v>10000</v>
      </c>
      <c r="T875" s="15" t="str">
        <f t="shared" si="170"/>
        <v>中级专属强化石</v>
      </c>
      <c r="U875" s="15">
        <f t="shared" si="171"/>
        <v>8</v>
      </c>
      <c r="V875" s="15" t="str">
        <f t="shared" si="172"/>
        <v>高级专属强化石</v>
      </c>
      <c r="W875" s="15">
        <f t="shared" si="173"/>
        <v>3</v>
      </c>
      <c r="X875" s="15">
        <f t="shared" si="174"/>
        <v>0.1</v>
      </c>
      <c r="Y875" s="15">
        <f t="shared" si="175"/>
        <v>1</v>
      </c>
      <c r="Z875" s="15">
        <f t="shared" si="176"/>
        <v>30</v>
      </c>
      <c r="AA875" s="15">
        <f t="shared" si="177"/>
        <v>0.4</v>
      </c>
    </row>
    <row r="876" spans="13:27" ht="16.5" x14ac:dyDescent="0.2">
      <c r="M876" s="15">
        <v>797</v>
      </c>
      <c r="N876" s="15">
        <f t="shared" si="166"/>
        <v>16</v>
      </c>
      <c r="O876" s="15">
        <f>INDEX(卡牌消耗!$H$13:$H$33,世界BOSS专属武器!N876)</f>
        <v>1501016</v>
      </c>
      <c r="P876" s="49" t="s">
        <v>480</v>
      </c>
      <c r="Q876" s="15">
        <f t="shared" si="167"/>
        <v>31</v>
      </c>
      <c r="R876" s="49" t="str">
        <f t="shared" si="168"/>
        <v>金币</v>
      </c>
      <c r="S876" s="15">
        <f t="shared" si="169"/>
        <v>10000</v>
      </c>
      <c r="T876" s="15" t="str">
        <f t="shared" si="170"/>
        <v>中级专属强化石</v>
      </c>
      <c r="U876" s="15">
        <f t="shared" si="171"/>
        <v>8</v>
      </c>
      <c r="V876" s="15" t="str">
        <f t="shared" si="172"/>
        <v>高级专属强化石</v>
      </c>
      <c r="W876" s="15">
        <f t="shared" si="173"/>
        <v>3</v>
      </c>
      <c r="X876" s="15">
        <f t="shared" si="174"/>
        <v>0.1</v>
      </c>
      <c r="Y876" s="15">
        <f t="shared" si="175"/>
        <v>1</v>
      </c>
      <c r="Z876" s="15">
        <f t="shared" si="176"/>
        <v>30</v>
      </c>
      <c r="AA876" s="15">
        <f t="shared" si="177"/>
        <v>0.42670000000000002</v>
      </c>
    </row>
    <row r="877" spans="13:27" ht="16.5" x14ac:dyDescent="0.2">
      <c r="M877" s="15">
        <v>798</v>
      </c>
      <c r="N877" s="15">
        <f t="shared" si="166"/>
        <v>16</v>
      </c>
      <c r="O877" s="15">
        <f>INDEX(卡牌消耗!$H$13:$H$33,世界BOSS专属武器!N877)</f>
        <v>1501016</v>
      </c>
      <c r="P877" s="49" t="s">
        <v>480</v>
      </c>
      <c r="Q877" s="15">
        <f t="shared" si="167"/>
        <v>32</v>
      </c>
      <c r="R877" s="49" t="str">
        <f t="shared" si="168"/>
        <v>金币</v>
      </c>
      <c r="S877" s="15">
        <f t="shared" si="169"/>
        <v>10000</v>
      </c>
      <c r="T877" s="15" t="str">
        <f t="shared" si="170"/>
        <v>中级专属强化石</v>
      </c>
      <c r="U877" s="15">
        <f t="shared" si="171"/>
        <v>8</v>
      </c>
      <c r="V877" s="15" t="str">
        <f t="shared" si="172"/>
        <v>高级专属强化石</v>
      </c>
      <c r="W877" s="15">
        <f t="shared" si="173"/>
        <v>3</v>
      </c>
      <c r="X877" s="15">
        <f t="shared" si="174"/>
        <v>0.1</v>
      </c>
      <c r="Y877" s="15">
        <f t="shared" si="175"/>
        <v>1</v>
      </c>
      <c r="Z877" s="15">
        <f t="shared" si="176"/>
        <v>30</v>
      </c>
      <c r="AA877" s="15">
        <f t="shared" si="177"/>
        <v>0.45329999999999998</v>
      </c>
    </row>
    <row r="878" spans="13:27" ht="16.5" x14ac:dyDescent="0.2">
      <c r="M878" s="15">
        <v>799</v>
      </c>
      <c r="N878" s="15">
        <f t="shared" si="166"/>
        <v>16</v>
      </c>
      <c r="O878" s="15">
        <f>INDEX(卡牌消耗!$H$13:$H$33,世界BOSS专属武器!N878)</f>
        <v>1501016</v>
      </c>
      <c r="P878" s="49" t="s">
        <v>480</v>
      </c>
      <c r="Q878" s="15">
        <f t="shared" si="167"/>
        <v>33</v>
      </c>
      <c r="R878" s="49" t="str">
        <f t="shared" si="168"/>
        <v>金币</v>
      </c>
      <c r="S878" s="15">
        <f t="shared" si="169"/>
        <v>10000</v>
      </c>
      <c r="T878" s="15" t="str">
        <f t="shared" si="170"/>
        <v>中级专属强化石</v>
      </c>
      <c r="U878" s="15">
        <f t="shared" si="171"/>
        <v>8</v>
      </c>
      <c r="V878" s="15" t="str">
        <f t="shared" si="172"/>
        <v>高级专属强化石</v>
      </c>
      <c r="W878" s="15">
        <f t="shared" si="173"/>
        <v>3</v>
      </c>
      <c r="X878" s="15">
        <f t="shared" si="174"/>
        <v>0.1</v>
      </c>
      <c r="Y878" s="15">
        <f t="shared" si="175"/>
        <v>1</v>
      </c>
      <c r="Z878" s="15">
        <f t="shared" si="176"/>
        <v>30</v>
      </c>
      <c r="AA878" s="15">
        <f t="shared" si="177"/>
        <v>0.48</v>
      </c>
    </row>
    <row r="879" spans="13:27" ht="16.5" x14ac:dyDescent="0.2">
      <c r="M879" s="15">
        <v>800</v>
      </c>
      <c r="N879" s="15">
        <f t="shared" si="166"/>
        <v>16</v>
      </c>
      <c r="O879" s="15">
        <f>INDEX(卡牌消耗!$H$13:$H$33,世界BOSS专属武器!N879)</f>
        <v>1501016</v>
      </c>
      <c r="P879" s="49" t="s">
        <v>480</v>
      </c>
      <c r="Q879" s="15">
        <f t="shared" si="167"/>
        <v>34</v>
      </c>
      <c r="R879" s="49" t="str">
        <f t="shared" si="168"/>
        <v>金币</v>
      </c>
      <c r="S879" s="15">
        <f t="shared" si="169"/>
        <v>10000</v>
      </c>
      <c r="T879" s="15" t="str">
        <f t="shared" si="170"/>
        <v>中级专属强化石</v>
      </c>
      <c r="U879" s="15">
        <f t="shared" si="171"/>
        <v>8</v>
      </c>
      <c r="V879" s="15" t="str">
        <f t="shared" si="172"/>
        <v>高级专属强化石</v>
      </c>
      <c r="W879" s="15">
        <f t="shared" si="173"/>
        <v>3</v>
      </c>
      <c r="X879" s="15">
        <f t="shared" si="174"/>
        <v>0.1</v>
      </c>
      <c r="Y879" s="15">
        <f t="shared" si="175"/>
        <v>1</v>
      </c>
      <c r="Z879" s="15">
        <f t="shared" si="176"/>
        <v>30</v>
      </c>
      <c r="AA879" s="15">
        <f t="shared" si="177"/>
        <v>0.50670000000000004</v>
      </c>
    </row>
    <row r="880" spans="13:27" ht="16.5" x14ac:dyDescent="0.2">
      <c r="M880" s="15">
        <v>801</v>
      </c>
      <c r="N880" s="15">
        <f t="shared" si="166"/>
        <v>16</v>
      </c>
      <c r="O880" s="15">
        <f>INDEX(卡牌消耗!$H$13:$H$33,世界BOSS专属武器!N880)</f>
        <v>1501016</v>
      </c>
      <c r="P880" s="49" t="s">
        <v>480</v>
      </c>
      <c r="Q880" s="15">
        <f t="shared" si="167"/>
        <v>35</v>
      </c>
      <c r="R880" s="49" t="str">
        <f t="shared" si="168"/>
        <v>金币</v>
      </c>
      <c r="S880" s="15">
        <f t="shared" si="169"/>
        <v>10000</v>
      </c>
      <c r="T880" s="15" t="str">
        <f t="shared" si="170"/>
        <v>中级专属强化石</v>
      </c>
      <c r="U880" s="15">
        <f t="shared" si="171"/>
        <v>8</v>
      </c>
      <c r="V880" s="15" t="str">
        <f t="shared" si="172"/>
        <v>高级专属强化石</v>
      </c>
      <c r="W880" s="15">
        <f t="shared" si="173"/>
        <v>3</v>
      </c>
      <c r="X880" s="15">
        <f t="shared" si="174"/>
        <v>0.1</v>
      </c>
      <c r="Y880" s="15">
        <f t="shared" si="175"/>
        <v>1</v>
      </c>
      <c r="Z880" s="15">
        <f t="shared" si="176"/>
        <v>30</v>
      </c>
      <c r="AA880" s="15">
        <f t="shared" si="177"/>
        <v>0.5333</v>
      </c>
    </row>
    <row r="881" spans="13:27" ht="16.5" x14ac:dyDescent="0.2">
      <c r="M881" s="15">
        <v>802</v>
      </c>
      <c r="N881" s="15">
        <f t="shared" si="166"/>
        <v>16</v>
      </c>
      <c r="O881" s="15">
        <f>INDEX(卡牌消耗!$H$13:$H$33,世界BOSS专属武器!N881)</f>
        <v>1501016</v>
      </c>
      <c r="P881" s="49" t="s">
        <v>480</v>
      </c>
      <c r="Q881" s="15">
        <f t="shared" si="167"/>
        <v>36</v>
      </c>
      <c r="R881" s="49" t="str">
        <f t="shared" si="168"/>
        <v>金币</v>
      </c>
      <c r="S881" s="15">
        <f t="shared" si="169"/>
        <v>10000</v>
      </c>
      <c r="T881" s="15" t="str">
        <f t="shared" si="170"/>
        <v>中级专属强化石</v>
      </c>
      <c r="U881" s="15">
        <f t="shared" si="171"/>
        <v>8</v>
      </c>
      <c r="V881" s="15" t="str">
        <f t="shared" si="172"/>
        <v>高级专属强化石</v>
      </c>
      <c r="W881" s="15">
        <f t="shared" si="173"/>
        <v>3</v>
      </c>
      <c r="X881" s="15">
        <f t="shared" si="174"/>
        <v>0.1</v>
      </c>
      <c r="Y881" s="15">
        <f t="shared" si="175"/>
        <v>1</v>
      </c>
      <c r="Z881" s="15">
        <f t="shared" si="176"/>
        <v>30</v>
      </c>
      <c r="AA881" s="15">
        <f t="shared" si="177"/>
        <v>0.56000000000000005</v>
      </c>
    </row>
    <row r="882" spans="13:27" ht="16.5" x14ac:dyDescent="0.2">
      <c r="M882" s="15">
        <v>803</v>
      </c>
      <c r="N882" s="15">
        <f t="shared" si="166"/>
        <v>16</v>
      </c>
      <c r="O882" s="15">
        <f>INDEX(卡牌消耗!$H$13:$H$33,世界BOSS专属武器!N882)</f>
        <v>1501016</v>
      </c>
      <c r="P882" s="49" t="s">
        <v>480</v>
      </c>
      <c r="Q882" s="15">
        <f t="shared" si="167"/>
        <v>37</v>
      </c>
      <c r="R882" s="49" t="str">
        <f t="shared" si="168"/>
        <v>金币</v>
      </c>
      <c r="S882" s="15">
        <f t="shared" si="169"/>
        <v>10000</v>
      </c>
      <c r="T882" s="15" t="str">
        <f t="shared" si="170"/>
        <v>中级专属强化石</v>
      </c>
      <c r="U882" s="15">
        <f t="shared" si="171"/>
        <v>8</v>
      </c>
      <c r="V882" s="15" t="str">
        <f t="shared" si="172"/>
        <v>高级专属强化石</v>
      </c>
      <c r="W882" s="15">
        <f t="shared" si="173"/>
        <v>3</v>
      </c>
      <c r="X882" s="15">
        <f t="shared" si="174"/>
        <v>0.1</v>
      </c>
      <c r="Y882" s="15">
        <f t="shared" si="175"/>
        <v>1</v>
      </c>
      <c r="Z882" s="15">
        <f t="shared" si="176"/>
        <v>30</v>
      </c>
      <c r="AA882" s="15">
        <f t="shared" si="177"/>
        <v>0.5867</v>
      </c>
    </row>
    <row r="883" spans="13:27" ht="16.5" x14ac:dyDescent="0.2">
      <c r="M883" s="15">
        <v>804</v>
      </c>
      <c r="N883" s="15">
        <f t="shared" si="166"/>
        <v>16</v>
      </c>
      <c r="O883" s="15">
        <f>INDEX(卡牌消耗!$H$13:$H$33,世界BOSS专属武器!N883)</f>
        <v>1501016</v>
      </c>
      <c r="P883" s="49" t="s">
        <v>480</v>
      </c>
      <c r="Q883" s="15">
        <f t="shared" si="167"/>
        <v>38</v>
      </c>
      <c r="R883" s="49" t="str">
        <f t="shared" si="168"/>
        <v>金币</v>
      </c>
      <c r="S883" s="15">
        <f t="shared" si="169"/>
        <v>10000</v>
      </c>
      <c r="T883" s="15" t="str">
        <f t="shared" si="170"/>
        <v>中级专属强化石</v>
      </c>
      <c r="U883" s="15">
        <f t="shared" si="171"/>
        <v>8</v>
      </c>
      <c r="V883" s="15" t="str">
        <f t="shared" si="172"/>
        <v>高级专属强化石</v>
      </c>
      <c r="W883" s="15">
        <f t="shared" si="173"/>
        <v>3</v>
      </c>
      <c r="X883" s="15">
        <f t="shared" si="174"/>
        <v>0.1</v>
      </c>
      <c r="Y883" s="15">
        <f t="shared" si="175"/>
        <v>1</v>
      </c>
      <c r="Z883" s="15">
        <f t="shared" si="176"/>
        <v>30</v>
      </c>
      <c r="AA883" s="15">
        <f t="shared" si="177"/>
        <v>0.61329999999999996</v>
      </c>
    </row>
    <row r="884" spans="13:27" ht="16.5" x14ac:dyDescent="0.2">
      <c r="M884" s="15">
        <v>805</v>
      </c>
      <c r="N884" s="15">
        <f t="shared" si="166"/>
        <v>16</v>
      </c>
      <c r="O884" s="15">
        <f>INDEX(卡牌消耗!$H$13:$H$33,世界BOSS专属武器!N884)</f>
        <v>1501016</v>
      </c>
      <c r="P884" s="49" t="s">
        <v>480</v>
      </c>
      <c r="Q884" s="15">
        <f t="shared" si="167"/>
        <v>39</v>
      </c>
      <c r="R884" s="49" t="str">
        <f t="shared" si="168"/>
        <v>金币</v>
      </c>
      <c r="S884" s="15">
        <f t="shared" si="169"/>
        <v>10000</v>
      </c>
      <c r="T884" s="15" t="str">
        <f t="shared" si="170"/>
        <v>中级专属强化石</v>
      </c>
      <c r="U884" s="15">
        <f t="shared" si="171"/>
        <v>8</v>
      </c>
      <c r="V884" s="15" t="str">
        <f t="shared" si="172"/>
        <v>高级专属强化石</v>
      </c>
      <c r="W884" s="15">
        <f t="shared" si="173"/>
        <v>3</v>
      </c>
      <c r="X884" s="15">
        <f t="shared" si="174"/>
        <v>0.1</v>
      </c>
      <c r="Y884" s="15">
        <f t="shared" si="175"/>
        <v>1</v>
      </c>
      <c r="Z884" s="15">
        <f t="shared" si="176"/>
        <v>30</v>
      </c>
      <c r="AA884" s="15">
        <f t="shared" si="177"/>
        <v>0.64</v>
      </c>
    </row>
    <row r="885" spans="13:27" ht="16.5" x14ac:dyDescent="0.2">
      <c r="M885" s="15">
        <v>806</v>
      </c>
      <c r="N885" s="15">
        <f t="shared" si="166"/>
        <v>16</v>
      </c>
      <c r="O885" s="15">
        <f>INDEX(卡牌消耗!$H$13:$H$33,世界BOSS专属武器!N885)</f>
        <v>1501016</v>
      </c>
      <c r="P885" s="49" t="s">
        <v>480</v>
      </c>
      <c r="Q885" s="15">
        <f t="shared" si="167"/>
        <v>40</v>
      </c>
      <c r="R885" s="49" t="str">
        <f t="shared" si="168"/>
        <v>金币</v>
      </c>
      <c r="S885" s="15">
        <f t="shared" si="169"/>
        <v>20000</v>
      </c>
      <c r="T885" s="15" t="str">
        <f t="shared" si="170"/>
        <v>高级专属强化石</v>
      </c>
      <c r="U885" s="15">
        <f t="shared" si="171"/>
        <v>5</v>
      </c>
      <c r="V885" s="15" t="str">
        <f t="shared" si="172"/>
        <v>[x]</v>
      </c>
      <c r="W885" s="15" t="str">
        <f t="shared" si="173"/>
        <v>[x]</v>
      </c>
      <c r="X885" s="15">
        <f t="shared" si="174"/>
        <v>0.1</v>
      </c>
      <c r="Y885" s="15">
        <f t="shared" si="175"/>
        <v>1</v>
      </c>
      <c r="Z885" s="15">
        <f t="shared" si="176"/>
        <v>35</v>
      </c>
      <c r="AA885" s="15">
        <f t="shared" si="177"/>
        <v>0.66669999999999996</v>
      </c>
    </row>
    <row r="886" spans="13:27" ht="16.5" x14ac:dyDescent="0.2">
      <c r="M886" s="15">
        <v>807</v>
      </c>
      <c r="N886" s="15">
        <f t="shared" si="166"/>
        <v>16</v>
      </c>
      <c r="O886" s="15">
        <f>INDEX(卡牌消耗!$H$13:$H$33,世界BOSS专属武器!N886)</f>
        <v>1501016</v>
      </c>
      <c r="P886" s="49" t="s">
        <v>480</v>
      </c>
      <c r="Q886" s="15">
        <f t="shared" si="167"/>
        <v>41</v>
      </c>
      <c r="R886" s="49" t="str">
        <f t="shared" si="168"/>
        <v>金币</v>
      </c>
      <c r="S886" s="15">
        <f t="shared" si="169"/>
        <v>20000</v>
      </c>
      <c r="T886" s="15" t="str">
        <f t="shared" si="170"/>
        <v>高级专属强化石</v>
      </c>
      <c r="U886" s="15">
        <f t="shared" si="171"/>
        <v>5</v>
      </c>
      <c r="V886" s="15" t="str">
        <f t="shared" si="172"/>
        <v>[x]</v>
      </c>
      <c r="W886" s="15" t="str">
        <f t="shared" si="173"/>
        <v>[x]</v>
      </c>
      <c r="X886" s="15">
        <f t="shared" si="174"/>
        <v>0.1</v>
      </c>
      <c r="Y886" s="15">
        <f t="shared" si="175"/>
        <v>1</v>
      </c>
      <c r="Z886" s="15">
        <f t="shared" si="176"/>
        <v>40</v>
      </c>
      <c r="AA886" s="15">
        <f t="shared" si="177"/>
        <v>0.7</v>
      </c>
    </row>
    <row r="887" spans="13:27" ht="16.5" x14ac:dyDescent="0.2">
      <c r="M887" s="15">
        <v>808</v>
      </c>
      <c r="N887" s="15">
        <f t="shared" si="166"/>
        <v>16</v>
      </c>
      <c r="O887" s="15">
        <f>INDEX(卡牌消耗!$H$13:$H$33,世界BOSS专属武器!N887)</f>
        <v>1501016</v>
      </c>
      <c r="P887" s="49" t="s">
        <v>480</v>
      </c>
      <c r="Q887" s="15">
        <f t="shared" si="167"/>
        <v>42</v>
      </c>
      <c r="R887" s="49" t="str">
        <f t="shared" si="168"/>
        <v>金币</v>
      </c>
      <c r="S887" s="15">
        <f t="shared" si="169"/>
        <v>20000</v>
      </c>
      <c r="T887" s="15" t="str">
        <f t="shared" si="170"/>
        <v>高级专属强化石</v>
      </c>
      <c r="U887" s="15">
        <f t="shared" si="171"/>
        <v>5</v>
      </c>
      <c r="V887" s="15" t="str">
        <f t="shared" si="172"/>
        <v>[x]</v>
      </c>
      <c r="W887" s="15" t="str">
        <f t="shared" si="173"/>
        <v>[x]</v>
      </c>
      <c r="X887" s="15">
        <f t="shared" si="174"/>
        <v>0.1</v>
      </c>
      <c r="Y887" s="15">
        <f t="shared" si="175"/>
        <v>1</v>
      </c>
      <c r="Z887" s="15">
        <f t="shared" si="176"/>
        <v>45</v>
      </c>
      <c r="AA887" s="15">
        <f t="shared" si="177"/>
        <v>0.73329999999999995</v>
      </c>
    </row>
    <row r="888" spans="13:27" ht="16.5" x14ac:dyDescent="0.2">
      <c r="M888" s="15">
        <v>809</v>
      </c>
      <c r="N888" s="15">
        <f t="shared" si="166"/>
        <v>16</v>
      </c>
      <c r="O888" s="15">
        <f>INDEX(卡牌消耗!$H$13:$H$33,世界BOSS专属武器!N888)</f>
        <v>1501016</v>
      </c>
      <c r="P888" s="49" t="s">
        <v>480</v>
      </c>
      <c r="Q888" s="15">
        <f t="shared" si="167"/>
        <v>43</v>
      </c>
      <c r="R888" s="49" t="str">
        <f t="shared" si="168"/>
        <v>金币</v>
      </c>
      <c r="S888" s="15">
        <f t="shared" si="169"/>
        <v>20000</v>
      </c>
      <c r="T888" s="15" t="str">
        <f t="shared" si="170"/>
        <v>高级专属强化石</v>
      </c>
      <c r="U888" s="15">
        <f t="shared" si="171"/>
        <v>5</v>
      </c>
      <c r="V888" s="15" t="str">
        <f t="shared" si="172"/>
        <v>[x]</v>
      </c>
      <c r="W888" s="15" t="str">
        <f t="shared" si="173"/>
        <v>[x]</v>
      </c>
      <c r="X888" s="15">
        <f t="shared" si="174"/>
        <v>0.1</v>
      </c>
      <c r="Y888" s="15">
        <f t="shared" si="175"/>
        <v>1</v>
      </c>
      <c r="Z888" s="15">
        <f t="shared" si="176"/>
        <v>50</v>
      </c>
      <c r="AA888" s="15">
        <f t="shared" si="177"/>
        <v>0.76670000000000005</v>
      </c>
    </row>
    <row r="889" spans="13:27" ht="16.5" x14ac:dyDescent="0.2">
      <c r="M889" s="15">
        <v>810</v>
      </c>
      <c r="N889" s="15">
        <f t="shared" si="166"/>
        <v>16</v>
      </c>
      <c r="O889" s="15">
        <f>INDEX(卡牌消耗!$H$13:$H$33,世界BOSS专属武器!N889)</f>
        <v>1501016</v>
      </c>
      <c r="P889" s="49" t="s">
        <v>480</v>
      </c>
      <c r="Q889" s="15">
        <f t="shared" si="167"/>
        <v>44</v>
      </c>
      <c r="R889" s="49" t="str">
        <f t="shared" si="168"/>
        <v>金币</v>
      </c>
      <c r="S889" s="15">
        <f t="shared" si="169"/>
        <v>20000</v>
      </c>
      <c r="T889" s="15" t="str">
        <f t="shared" si="170"/>
        <v>高级专属强化石</v>
      </c>
      <c r="U889" s="15">
        <f t="shared" si="171"/>
        <v>5</v>
      </c>
      <c r="V889" s="15" t="str">
        <f t="shared" si="172"/>
        <v>[x]</v>
      </c>
      <c r="W889" s="15" t="str">
        <f t="shared" si="173"/>
        <v>[x]</v>
      </c>
      <c r="X889" s="15">
        <f t="shared" si="174"/>
        <v>0.1</v>
      </c>
      <c r="Y889" s="15">
        <f t="shared" si="175"/>
        <v>1</v>
      </c>
      <c r="Z889" s="15">
        <f t="shared" si="176"/>
        <v>55</v>
      </c>
      <c r="AA889" s="15">
        <f t="shared" si="177"/>
        <v>0.8</v>
      </c>
    </row>
    <row r="890" spans="13:27" ht="16.5" x14ac:dyDescent="0.2">
      <c r="M890" s="15">
        <v>811</v>
      </c>
      <c r="N890" s="15">
        <f t="shared" si="166"/>
        <v>16</v>
      </c>
      <c r="O890" s="15">
        <f>INDEX(卡牌消耗!$H$13:$H$33,世界BOSS专属武器!N890)</f>
        <v>1501016</v>
      </c>
      <c r="P890" s="49" t="s">
        <v>480</v>
      </c>
      <c r="Q890" s="15">
        <f t="shared" si="167"/>
        <v>45</v>
      </c>
      <c r="R890" s="49" t="str">
        <f t="shared" si="168"/>
        <v>金币</v>
      </c>
      <c r="S890" s="15">
        <f t="shared" si="169"/>
        <v>20000</v>
      </c>
      <c r="T890" s="15" t="str">
        <f t="shared" si="170"/>
        <v>高级专属强化石</v>
      </c>
      <c r="U890" s="15">
        <f t="shared" si="171"/>
        <v>6</v>
      </c>
      <c r="V890" s="15" t="str">
        <f t="shared" si="172"/>
        <v>[x]</v>
      </c>
      <c r="W890" s="15" t="str">
        <f t="shared" si="173"/>
        <v>[x]</v>
      </c>
      <c r="X890" s="15">
        <f t="shared" si="174"/>
        <v>0.1</v>
      </c>
      <c r="Y890" s="15">
        <f t="shared" si="175"/>
        <v>1</v>
      </c>
      <c r="Z890" s="15">
        <f t="shared" si="176"/>
        <v>60</v>
      </c>
      <c r="AA890" s="15">
        <f t="shared" si="177"/>
        <v>0.83330000000000004</v>
      </c>
    </row>
    <row r="891" spans="13:27" ht="16.5" x14ac:dyDescent="0.2">
      <c r="M891" s="15">
        <v>812</v>
      </c>
      <c r="N891" s="15">
        <f t="shared" si="166"/>
        <v>16</v>
      </c>
      <c r="O891" s="15">
        <f>INDEX(卡牌消耗!$H$13:$H$33,世界BOSS专属武器!N891)</f>
        <v>1501016</v>
      </c>
      <c r="P891" s="49" t="s">
        <v>480</v>
      </c>
      <c r="Q891" s="15">
        <f t="shared" si="167"/>
        <v>46</v>
      </c>
      <c r="R891" s="49" t="str">
        <f t="shared" si="168"/>
        <v>金币</v>
      </c>
      <c r="S891" s="15">
        <f t="shared" si="169"/>
        <v>20000</v>
      </c>
      <c r="T891" s="15" t="str">
        <f t="shared" si="170"/>
        <v>高级专属强化石</v>
      </c>
      <c r="U891" s="15">
        <f t="shared" si="171"/>
        <v>7</v>
      </c>
      <c r="V891" s="15" t="str">
        <f t="shared" si="172"/>
        <v>[x]</v>
      </c>
      <c r="W891" s="15" t="str">
        <f t="shared" si="173"/>
        <v>[x]</v>
      </c>
      <c r="X891" s="15">
        <f t="shared" si="174"/>
        <v>0.1</v>
      </c>
      <c r="Y891" s="15">
        <f t="shared" si="175"/>
        <v>1</v>
      </c>
      <c r="Z891" s="15">
        <f t="shared" si="176"/>
        <v>70</v>
      </c>
      <c r="AA891" s="15">
        <f t="shared" si="177"/>
        <v>0.86670000000000003</v>
      </c>
    </row>
    <row r="892" spans="13:27" ht="16.5" x14ac:dyDescent="0.2">
      <c r="M892" s="15">
        <v>813</v>
      </c>
      <c r="N892" s="15">
        <f t="shared" si="166"/>
        <v>16</v>
      </c>
      <c r="O892" s="15">
        <f>INDEX(卡牌消耗!$H$13:$H$33,世界BOSS专属武器!N892)</f>
        <v>1501016</v>
      </c>
      <c r="P892" s="49" t="s">
        <v>480</v>
      </c>
      <c r="Q892" s="15">
        <f t="shared" si="167"/>
        <v>47</v>
      </c>
      <c r="R892" s="49" t="str">
        <f t="shared" si="168"/>
        <v>金币</v>
      </c>
      <c r="S892" s="15">
        <f t="shared" si="169"/>
        <v>20000</v>
      </c>
      <c r="T892" s="15" t="str">
        <f t="shared" si="170"/>
        <v>高级专属强化石</v>
      </c>
      <c r="U892" s="15">
        <f t="shared" si="171"/>
        <v>8</v>
      </c>
      <c r="V892" s="15" t="str">
        <f t="shared" si="172"/>
        <v>[x]</v>
      </c>
      <c r="W892" s="15" t="str">
        <f t="shared" si="173"/>
        <v>[x]</v>
      </c>
      <c r="X892" s="15">
        <f t="shared" si="174"/>
        <v>0.1</v>
      </c>
      <c r="Y892" s="15">
        <f t="shared" si="175"/>
        <v>1</v>
      </c>
      <c r="Z892" s="15">
        <f t="shared" si="176"/>
        <v>80</v>
      </c>
      <c r="AA892" s="15">
        <f t="shared" si="177"/>
        <v>0.9</v>
      </c>
    </row>
    <row r="893" spans="13:27" ht="16.5" x14ac:dyDescent="0.2">
      <c r="M893" s="15">
        <v>814</v>
      </c>
      <c r="N893" s="15">
        <f t="shared" si="166"/>
        <v>16</v>
      </c>
      <c r="O893" s="15">
        <f>INDEX(卡牌消耗!$H$13:$H$33,世界BOSS专属武器!N893)</f>
        <v>1501016</v>
      </c>
      <c r="P893" s="49" t="s">
        <v>480</v>
      </c>
      <c r="Q893" s="15">
        <f t="shared" si="167"/>
        <v>48</v>
      </c>
      <c r="R893" s="49" t="str">
        <f t="shared" si="168"/>
        <v>金币</v>
      </c>
      <c r="S893" s="15">
        <f t="shared" si="169"/>
        <v>20000</v>
      </c>
      <c r="T893" s="15" t="str">
        <f t="shared" si="170"/>
        <v>高级专属强化石</v>
      </c>
      <c r="U893" s="15">
        <f t="shared" si="171"/>
        <v>9</v>
      </c>
      <c r="V893" s="15" t="str">
        <f t="shared" si="172"/>
        <v>[x]</v>
      </c>
      <c r="W893" s="15" t="str">
        <f t="shared" si="173"/>
        <v>[x]</v>
      </c>
      <c r="X893" s="15">
        <f t="shared" si="174"/>
        <v>0.1</v>
      </c>
      <c r="Y893" s="15">
        <f t="shared" si="175"/>
        <v>1</v>
      </c>
      <c r="Z893" s="15">
        <f t="shared" si="176"/>
        <v>100</v>
      </c>
      <c r="AA893" s="15">
        <f t="shared" si="177"/>
        <v>0.93330000000000002</v>
      </c>
    </row>
    <row r="894" spans="13:27" ht="16.5" x14ac:dyDescent="0.2">
      <c r="M894" s="15">
        <v>815</v>
      </c>
      <c r="N894" s="15">
        <f t="shared" si="166"/>
        <v>16</v>
      </c>
      <c r="O894" s="15">
        <f>INDEX(卡牌消耗!$H$13:$H$33,世界BOSS专属武器!N894)</f>
        <v>1501016</v>
      </c>
      <c r="P894" s="49" t="s">
        <v>480</v>
      </c>
      <c r="Q894" s="15">
        <f t="shared" si="167"/>
        <v>49</v>
      </c>
      <c r="R894" s="49" t="str">
        <f t="shared" si="168"/>
        <v>金币</v>
      </c>
      <c r="S894" s="15">
        <f t="shared" si="169"/>
        <v>20000</v>
      </c>
      <c r="T894" s="15" t="str">
        <f t="shared" si="170"/>
        <v>高级专属强化石</v>
      </c>
      <c r="U894" s="15">
        <f t="shared" si="171"/>
        <v>10</v>
      </c>
      <c r="V894" s="15" t="str">
        <f t="shared" si="172"/>
        <v>[x]</v>
      </c>
      <c r="W894" s="15" t="str">
        <f t="shared" si="173"/>
        <v>[x]</v>
      </c>
      <c r="X894" s="15">
        <f t="shared" si="174"/>
        <v>0.1</v>
      </c>
      <c r="Y894" s="15">
        <f t="shared" si="175"/>
        <v>1</v>
      </c>
      <c r="Z894" s="15">
        <f t="shared" si="176"/>
        <v>120</v>
      </c>
      <c r="AA894" s="15">
        <f t="shared" si="177"/>
        <v>0.9667</v>
      </c>
    </row>
    <row r="895" spans="13:27" ht="16.5" x14ac:dyDescent="0.2">
      <c r="M895" s="15">
        <v>816</v>
      </c>
      <c r="N895" s="15">
        <f t="shared" si="166"/>
        <v>16</v>
      </c>
      <c r="O895" s="15">
        <f>INDEX(卡牌消耗!$H$13:$H$33,世界BOSS专属武器!N895)</f>
        <v>1501016</v>
      </c>
      <c r="P895" s="49" t="s">
        <v>480</v>
      </c>
      <c r="Q895" s="15">
        <f t="shared" si="167"/>
        <v>50</v>
      </c>
      <c r="R895" s="49" t="str">
        <f t="shared" si="168"/>
        <v>金币</v>
      </c>
      <c r="S895" s="15">
        <f t="shared" si="169"/>
        <v>20000</v>
      </c>
      <c r="T895" s="15" t="str">
        <f t="shared" si="170"/>
        <v>高级专属强化石</v>
      </c>
      <c r="U895" s="15">
        <f t="shared" si="171"/>
        <v>15</v>
      </c>
      <c r="V895" s="15" t="str">
        <f t="shared" si="172"/>
        <v>[x]</v>
      </c>
      <c r="W895" s="15" t="str">
        <f t="shared" si="173"/>
        <v>[x]</v>
      </c>
      <c r="X895" s="15">
        <f t="shared" si="174"/>
        <v>0.1</v>
      </c>
      <c r="Y895" s="15">
        <f t="shared" si="175"/>
        <v>1</v>
      </c>
      <c r="Z895" s="15">
        <f t="shared" si="176"/>
        <v>150</v>
      </c>
      <c r="AA895" s="15">
        <f t="shared" si="177"/>
        <v>1</v>
      </c>
    </row>
    <row r="896" spans="13:27" ht="16.5" x14ac:dyDescent="0.2">
      <c r="M896" s="15">
        <v>817</v>
      </c>
      <c r="N896" s="15">
        <f t="shared" si="166"/>
        <v>17</v>
      </c>
      <c r="O896" s="15">
        <f>INDEX(卡牌消耗!$H$13:$H$33,世界BOSS专属武器!N896)</f>
        <v>1501017</v>
      </c>
      <c r="P896" s="49" t="s">
        <v>480</v>
      </c>
      <c r="Q896" s="15">
        <f t="shared" si="167"/>
        <v>0</v>
      </c>
      <c r="R896" s="49" t="str">
        <f t="shared" si="168"/>
        <v>[x]</v>
      </c>
      <c r="S896" s="15" t="str">
        <f t="shared" si="169"/>
        <v>[x]</v>
      </c>
      <c r="T896" s="15" t="str">
        <f t="shared" si="170"/>
        <v>[x]</v>
      </c>
      <c r="U896" s="15" t="str">
        <f t="shared" si="171"/>
        <v>[x]</v>
      </c>
      <c r="V896" s="15" t="str">
        <f t="shared" si="172"/>
        <v>[x]</v>
      </c>
      <c r="W896" s="15" t="str">
        <f t="shared" si="173"/>
        <v>[x]</v>
      </c>
      <c r="X896" s="15" t="str">
        <f t="shared" si="174"/>
        <v>[x]</v>
      </c>
      <c r="Y896" s="15" t="str">
        <f t="shared" si="175"/>
        <v>[x]</v>
      </c>
      <c r="Z896" s="15" t="str">
        <f t="shared" si="176"/>
        <v>[x]</v>
      </c>
      <c r="AA896" s="15" t="str">
        <f t="shared" si="177"/>
        <v>[x]</v>
      </c>
    </row>
    <row r="897" spans="13:27" ht="16.5" x14ac:dyDescent="0.2">
      <c r="M897" s="15">
        <v>818</v>
      </c>
      <c r="N897" s="15">
        <f t="shared" si="166"/>
        <v>17</v>
      </c>
      <c r="O897" s="15">
        <f>INDEX(卡牌消耗!$H$13:$H$33,世界BOSS专属武器!N897)</f>
        <v>1501017</v>
      </c>
      <c r="P897" s="49" t="s">
        <v>480</v>
      </c>
      <c r="Q897" s="15">
        <f t="shared" si="167"/>
        <v>1</v>
      </c>
      <c r="R897" s="49" t="str">
        <f t="shared" si="168"/>
        <v>金币</v>
      </c>
      <c r="S897" s="15">
        <f t="shared" si="169"/>
        <v>100</v>
      </c>
      <c r="T897" s="15" t="str">
        <f t="shared" si="170"/>
        <v>低级专属强化石</v>
      </c>
      <c r="U897" s="15">
        <f t="shared" si="171"/>
        <v>1</v>
      </c>
      <c r="V897" s="15" t="str">
        <f t="shared" si="172"/>
        <v>[x]</v>
      </c>
      <c r="W897" s="15" t="str">
        <f t="shared" si="173"/>
        <v>[x]</v>
      </c>
      <c r="X897" s="15">
        <f t="shared" si="174"/>
        <v>1</v>
      </c>
      <c r="Y897" s="15">
        <f t="shared" si="175"/>
        <v>1</v>
      </c>
      <c r="Z897" s="15">
        <f t="shared" si="176"/>
        <v>1</v>
      </c>
      <c r="AA897" s="15">
        <f t="shared" si="177"/>
        <v>6.7000000000000002E-3</v>
      </c>
    </row>
    <row r="898" spans="13:27" ht="16.5" x14ac:dyDescent="0.2">
      <c r="M898" s="15">
        <v>819</v>
      </c>
      <c r="N898" s="15">
        <f t="shared" si="166"/>
        <v>17</v>
      </c>
      <c r="O898" s="15">
        <f>INDEX(卡牌消耗!$H$13:$H$33,世界BOSS专属武器!N898)</f>
        <v>1501017</v>
      </c>
      <c r="P898" s="49" t="s">
        <v>480</v>
      </c>
      <c r="Q898" s="15">
        <f t="shared" si="167"/>
        <v>2</v>
      </c>
      <c r="R898" s="49" t="str">
        <f t="shared" si="168"/>
        <v>金币</v>
      </c>
      <c r="S898" s="15">
        <f t="shared" si="169"/>
        <v>200</v>
      </c>
      <c r="T898" s="15" t="str">
        <f t="shared" si="170"/>
        <v>低级专属强化石</v>
      </c>
      <c r="U898" s="15">
        <f t="shared" si="171"/>
        <v>1</v>
      </c>
      <c r="V898" s="15" t="str">
        <f t="shared" si="172"/>
        <v>[x]</v>
      </c>
      <c r="W898" s="15" t="str">
        <f t="shared" si="173"/>
        <v>[x]</v>
      </c>
      <c r="X898" s="15">
        <f t="shared" si="174"/>
        <v>0.5</v>
      </c>
      <c r="Y898" s="15">
        <f t="shared" si="175"/>
        <v>1</v>
      </c>
      <c r="Z898" s="15">
        <f t="shared" si="176"/>
        <v>2</v>
      </c>
      <c r="AA898" s="15">
        <f t="shared" si="177"/>
        <v>1.3299999999999999E-2</v>
      </c>
    </row>
    <row r="899" spans="13:27" ht="16.5" x14ac:dyDescent="0.2">
      <c r="M899" s="15">
        <v>820</v>
      </c>
      <c r="N899" s="15">
        <f t="shared" si="166"/>
        <v>17</v>
      </c>
      <c r="O899" s="15">
        <f>INDEX(卡牌消耗!$H$13:$H$33,世界BOSS专属武器!N899)</f>
        <v>1501017</v>
      </c>
      <c r="P899" s="49" t="s">
        <v>480</v>
      </c>
      <c r="Q899" s="15">
        <f t="shared" si="167"/>
        <v>3</v>
      </c>
      <c r="R899" s="49" t="str">
        <f t="shared" si="168"/>
        <v>金币</v>
      </c>
      <c r="S899" s="15">
        <f t="shared" si="169"/>
        <v>300</v>
      </c>
      <c r="T899" s="15" t="str">
        <f t="shared" si="170"/>
        <v>低级专属强化石</v>
      </c>
      <c r="U899" s="15">
        <f t="shared" si="171"/>
        <v>2</v>
      </c>
      <c r="V899" s="15" t="str">
        <f t="shared" si="172"/>
        <v>[x]</v>
      </c>
      <c r="W899" s="15" t="str">
        <f t="shared" si="173"/>
        <v>[x]</v>
      </c>
      <c r="X899" s="15">
        <f t="shared" si="174"/>
        <v>0.48</v>
      </c>
      <c r="Y899" s="15">
        <f t="shared" si="175"/>
        <v>1</v>
      </c>
      <c r="Z899" s="15">
        <f t="shared" si="176"/>
        <v>3</v>
      </c>
      <c r="AA899" s="15">
        <f t="shared" si="177"/>
        <v>0.02</v>
      </c>
    </row>
    <row r="900" spans="13:27" ht="16.5" x14ac:dyDescent="0.2">
      <c r="M900" s="15">
        <v>821</v>
      </c>
      <c r="N900" s="15">
        <f t="shared" si="166"/>
        <v>17</v>
      </c>
      <c r="O900" s="15">
        <f>INDEX(卡牌消耗!$H$13:$H$33,世界BOSS专属武器!N900)</f>
        <v>1501017</v>
      </c>
      <c r="P900" s="49" t="s">
        <v>480</v>
      </c>
      <c r="Q900" s="15">
        <f t="shared" si="167"/>
        <v>4</v>
      </c>
      <c r="R900" s="49" t="str">
        <f t="shared" si="168"/>
        <v>金币</v>
      </c>
      <c r="S900" s="15">
        <f t="shared" si="169"/>
        <v>400</v>
      </c>
      <c r="T900" s="15" t="str">
        <f t="shared" si="170"/>
        <v>低级专属强化石</v>
      </c>
      <c r="U900" s="15">
        <f t="shared" si="171"/>
        <v>3</v>
      </c>
      <c r="V900" s="15" t="str">
        <f t="shared" si="172"/>
        <v>[x]</v>
      </c>
      <c r="W900" s="15" t="str">
        <f t="shared" si="173"/>
        <v>[x]</v>
      </c>
      <c r="X900" s="15">
        <f t="shared" si="174"/>
        <v>0.46</v>
      </c>
      <c r="Y900" s="15">
        <f t="shared" si="175"/>
        <v>1</v>
      </c>
      <c r="Z900" s="15">
        <f t="shared" si="176"/>
        <v>3</v>
      </c>
      <c r="AA900" s="15">
        <f t="shared" si="177"/>
        <v>2.6700000000000002E-2</v>
      </c>
    </row>
    <row r="901" spans="13:27" ht="16.5" x14ac:dyDescent="0.2">
      <c r="M901" s="15">
        <v>822</v>
      </c>
      <c r="N901" s="15">
        <f t="shared" si="166"/>
        <v>17</v>
      </c>
      <c r="O901" s="15">
        <f>INDEX(卡牌消耗!$H$13:$H$33,世界BOSS专属武器!N901)</f>
        <v>1501017</v>
      </c>
      <c r="P901" s="49" t="s">
        <v>480</v>
      </c>
      <c r="Q901" s="15">
        <f t="shared" si="167"/>
        <v>5</v>
      </c>
      <c r="R901" s="49" t="str">
        <f t="shared" si="168"/>
        <v>金币</v>
      </c>
      <c r="S901" s="15">
        <f t="shared" si="169"/>
        <v>500</v>
      </c>
      <c r="T901" s="15" t="str">
        <f t="shared" si="170"/>
        <v>低级专属强化石</v>
      </c>
      <c r="U901" s="15">
        <f t="shared" si="171"/>
        <v>4</v>
      </c>
      <c r="V901" s="15" t="str">
        <f t="shared" si="172"/>
        <v>[x]</v>
      </c>
      <c r="W901" s="15" t="str">
        <f t="shared" si="173"/>
        <v>[x]</v>
      </c>
      <c r="X901" s="15">
        <f t="shared" si="174"/>
        <v>0.44</v>
      </c>
      <c r="Y901" s="15">
        <f t="shared" si="175"/>
        <v>1</v>
      </c>
      <c r="Z901" s="15">
        <f t="shared" si="176"/>
        <v>3</v>
      </c>
      <c r="AA901" s="15">
        <f t="shared" si="177"/>
        <v>3.3300000000000003E-2</v>
      </c>
    </row>
    <row r="902" spans="13:27" ht="16.5" x14ac:dyDescent="0.2">
      <c r="M902" s="15">
        <v>823</v>
      </c>
      <c r="N902" s="15">
        <f t="shared" si="166"/>
        <v>17</v>
      </c>
      <c r="O902" s="15">
        <f>INDEX(卡牌消耗!$H$13:$H$33,世界BOSS专属武器!N902)</f>
        <v>1501017</v>
      </c>
      <c r="P902" s="49" t="s">
        <v>480</v>
      </c>
      <c r="Q902" s="15">
        <f t="shared" si="167"/>
        <v>6</v>
      </c>
      <c r="R902" s="49" t="str">
        <f t="shared" si="168"/>
        <v>金币</v>
      </c>
      <c r="S902" s="15">
        <f t="shared" si="169"/>
        <v>600</v>
      </c>
      <c r="T902" s="15" t="str">
        <f t="shared" si="170"/>
        <v>低级专属强化石</v>
      </c>
      <c r="U902" s="15">
        <f t="shared" si="171"/>
        <v>5</v>
      </c>
      <c r="V902" s="15" t="str">
        <f t="shared" si="172"/>
        <v>[x]</v>
      </c>
      <c r="W902" s="15" t="str">
        <f t="shared" si="173"/>
        <v>[x]</v>
      </c>
      <c r="X902" s="15">
        <f t="shared" si="174"/>
        <v>0.42</v>
      </c>
      <c r="Y902" s="15">
        <f t="shared" si="175"/>
        <v>1</v>
      </c>
      <c r="Z902" s="15">
        <f t="shared" si="176"/>
        <v>4</v>
      </c>
      <c r="AA902" s="15">
        <f t="shared" si="177"/>
        <v>0.04</v>
      </c>
    </row>
    <row r="903" spans="13:27" ht="16.5" x14ac:dyDescent="0.2">
      <c r="M903" s="15">
        <v>824</v>
      </c>
      <c r="N903" s="15">
        <f t="shared" si="166"/>
        <v>17</v>
      </c>
      <c r="O903" s="15">
        <f>INDEX(卡牌消耗!$H$13:$H$33,世界BOSS专属武器!N903)</f>
        <v>1501017</v>
      </c>
      <c r="P903" s="49" t="s">
        <v>480</v>
      </c>
      <c r="Q903" s="15">
        <f t="shared" si="167"/>
        <v>7</v>
      </c>
      <c r="R903" s="49" t="str">
        <f t="shared" si="168"/>
        <v>金币</v>
      </c>
      <c r="S903" s="15">
        <f t="shared" si="169"/>
        <v>700</v>
      </c>
      <c r="T903" s="15" t="str">
        <f t="shared" si="170"/>
        <v>低级专属强化石</v>
      </c>
      <c r="U903" s="15">
        <f t="shared" si="171"/>
        <v>5</v>
      </c>
      <c r="V903" s="15" t="str">
        <f t="shared" si="172"/>
        <v>[x]</v>
      </c>
      <c r="W903" s="15" t="str">
        <f t="shared" si="173"/>
        <v>[x]</v>
      </c>
      <c r="X903" s="15">
        <f t="shared" si="174"/>
        <v>0.4</v>
      </c>
      <c r="Y903" s="15">
        <f t="shared" si="175"/>
        <v>1</v>
      </c>
      <c r="Z903" s="15">
        <f t="shared" si="176"/>
        <v>4</v>
      </c>
      <c r="AA903" s="15">
        <f t="shared" si="177"/>
        <v>4.6699999999999998E-2</v>
      </c>
    </row>
    <row r="904" spans="13:27" ht="16.5" x14ac:dyDescent="0.2">
      <c r="M904" s="15">
        <v>825</v>
      </c>
      <c r="N904" s="15">
        <f t="shared" si="166"/>
        <v>17</v>
      </c>
      <c r="O904" s="15">
        <f>INDEX(卡牌消耗!$H$13:$H$33,世界BOSS专属武器!N904)</f>
        <v>1501017</v>
      </c>
      <c r="P904" s="49" t="s">
        <v>480</v>
      </c>
      <c r="Q904" s="15">
        <f t="shared" si="167"/>
        <v>8</v>
      </c>
      <c r="R904" s="49" t="str">
        <f t="shared" si="168"/>
        <v>金币</v>
      </c>
      <c r="S904" s="15">
        <f t="shared" si="169"/>
        <v>800</v>
      </c>
      <c r="T904" s="15" t="str">
        <f t="shared" si="170"/>
        <v>低级专属强化石</v>
      </c>
      <c r="U904" s="15">
        <f t="shared" si="171"/>
        <v>5</v>
      </c>
      <c r="V904" s="15" t="str">
        <f t="shared" si="172"/>
        <v>[x]</v>
      </c>
      <c r="W904" s="15" t="str">
        <f t="shared" si="173"/>
        <v>[x]</v>
      </c>
      <c r="X904" s="15">
        <f t="shared" si="174"/>
        <v>0.38</v>
      </c>
      <c r="Y904" s="15">
        <f t="shared" si="175"/>
        <v>1</v>
      </c>
      <c r="Z904" s="15">
        <f t="shared" si="176"/>
        <v>5</v>
      </c>
      <c r="AA904" s="15">
        <f t="shared" si="177"/>
        <v>5.33E-2</v>
      </c>
    </row>
    <row r="905" spans="13:27" ht="16.5" x14ac:dyDescent="0.2">
      <c r="M905" s="15">
        <v>826</v>
      </c>
      <c r="N905" s="15">
        <f t="shared" si="166"/>
        <v>17</v>
      </c>
      <c r="O905" s="15">
        <f>INDEX(卡牌消耗!$H$13:$H$33,世界BOSS专属武器!N905)</f>
        <v>1501017</v>
      </c>
      <c r="P905" s="49" t="s">
        <v>480</v>
      </c>
      <c r="Q905" s="15">
        <f t="shared" si="167"/>
        <v>9</v>
      </c>
      <c r="R905" s="49" t="str">
        <f t="shared" si="168"/>
        <v>金币</v>
      </c>
      <c r="S905" s="15">
        <f t="shared" si="169"/>
        <v>900</v>
      </c>
      <c r="T905" s="15" t="str">
        <f t="shared" si="170"/>
        <v>低级专属强化石</v>
      </c>
      <c r="U905" s="15">
        <f t="shared" si="171"/>
        <v>5</v>
      </c>
      <c r="V905" s="15" t="str">
        <f t="shared" si="172"/>
        <v>[x]</v>
      </c>
      <c r="W905" s="15" t="str">
        <f t="shared" si="173"/>
        <v>[x]</v>
      </c>
      <c r="X905" s="15">
        <f t="shared" si="174"/>
        <v>0.36</v>
      </c>
      <c r="Y905" s="15">
        <f t="shared" si="175"/>
        <v>1</v>
      </c>
      <c r="Z905" s="15">
        <f t="shared" si="176"/>
        <v>5</v>
      </c>
      <c r="AA905" s="15">
        <f t="shared" si="177"/>
        <v>0.06</v>
      </c>
    </row>
    <row r="906" spans="13:27" ht="16.5" x14ac:dyDescent="0.2">
      <c r="M906" s="15">
        <v>827</v>
      </c>
      <c r="N906" s="15">
        <f t="shared" si="166"/>
        <v>17</v>
      </c>
      <c r="O906" s="15">
        <f>INDEX(卡牌消耗!$H$13:$H$33,世界BOSS专属武器!N906)</f>
        <v>1501017</v>
      </c>
      <c r="P906" s="49" t="s">
        <v>480</v>
      </c>
      <c r="Q906" s="15">
        <f t="shared" si="167"/>
        <v>10</v>
      </c>
      <c r="R906" s="49" t="str">
        <f t="shared" si="168"/>
        <v>金币</v>
      </c>
      <c r="S906" s="15">
        <f t="shared" si="169"/>
        <v>1000</v>
      </c>
      <c r="T906" s="15" t="str">
        <f t="shared" si="170"/>
        <v>低级专属强化石</v>
      </c>
      <c r="U906" s="15">
        <f t="shared" si="171"/>
        <v>7</v>
      </c>
      <c r="V906" s="15" t="str">
        <f t="shared" si="172"/>
        <v>[x]</v>
      </c>
      <c r="W906" s="15" t="str">
        <f t="shared" si="173"/>
        <v>[x]</v>
      </c>
      <c r="X906" s="15">
        <f t="shared" si="174"/>
        <v>0.35</v>
      </c>
      <c r="Y906" s="15">
        <f t="shared" si="175"/>
        <v>1</v>
      </c>
      <c r="Z906" s="15">
        <f t="shared" si="176"/>
        <v>5</v>
      </c>
      <c r="AA906" s="15">
        <f t="shared" si="177"/>
        <v>6.6699999999999995E-2</v>
      </c>
    </row>
    <row r="907" spans="13:27" ht="16.5" x14ac:dyDescent="0.2">
      <c r="M907" s="15">
        <v>828</v>
      </c>
      <c r="N907" s="15">
        <f t="shared" si="166"/>
        <v>17</v>
      </c>
      <c r="O907" s="15">
        <f>INDEX(卡牌消耗!$H$13:$H$33,世界BOSS专属武器!N907)</f>
        <v>1501017</v>
      </c>
      <c r="P907" s="49" t="s">
        <v>480</v>
      </c>
      <c r="Q907" s="15">
        <f t="shared" si="167"/>
        <v>11</v>
      </c>
      <c r="R907" s="49" t="str">
        <f t="shared" si="168"/>
        <v>金币</v>
      </c>
      <c r="S907" s="15">
        <f t="shared" si="169"/>
        <v>1000</v>
      </c>
      <c r="T907" s="15" t="str">
        <f t="shared" si="170"/>
        <v>低级专属强化石</v>
      </c>
      <c r="U907" s="15">
        <f t="shared" si="171"/>
        <v>7</v>
      </c>
      <c r="V907" s="15" t="str">
        <f t="shared" si="172"/>
        <v>[x]</v>
      </c>
      <c r="W907" s="15" t="str">
        <f t="shared" si="173"/>
        <v>[x]</v>
      </c>
      <c r="X907" s="15">
        <f t="shared" si="174"/>
        <v>0.33</v>
      </c>
      <c r="Y907" s="15">
        <f t="shared" si="175"/>
        <v>1</v>
      </c>
      <c r="Z907" s="15">
        <f t="shared" si="176"/>
        <v>6</v>
      </c>
      <c r="AA907" s="15">
        <f t="shared" si="177"/>
        <v>0.08</v>
      </c>
    </row>
    <row r="908" spans="13:27" ht="16.5" x14ac:dyDescent="0.2">
      <c r="M908" s="15">
        <v>829</v>
      </c>
      <c r="N908" s="15">
        <f t="shared" si="166"/>
        <v>17</v>
      </c>
      <c r="O908" s="15">
        <f>INDEX(卡牌消耗!$H$13:$H$33,世界BOSS专属武器!N908)</f>
        <v>1501017</v>
      </c>
      <c r="P908" s="49" t="s">
        <v>480</v>
      </c>
      <c r="Q908" s="15">
        <f t="shared" si="167"/>
        <v>12</v>
      </c>
      <c r="R908" s="49" t="str">
        <f t="shared" si="168"/>
        <v>金币</v>
      </c>
      <c r="S908" s="15">
        <f t="shared" si="169"/>
        <v>1000</v>
      </c>
      <c r="T908" s="15" t="str">
        <f t="shared" si="170"/>
        <v>低级专属强化石</v>
      </c>
      <c r="U908" s="15">
        <f t="shared" si="171"/>
        <v>7</v>
      </c>
      <c r="V908" s="15" t="str">
        <f t="shared" si="172"/>
        <v>[x]</v>
      </c>
      <c r="W908" s="15" t="str">
        <f t="shared" si="173"/>
        <v>[x]</v>
      </c>
      <c r="X908" s="15">
        <f t="shared" si="174"/>
        <v>0.31</v>
      </c>
      <c r="Y908" s="15">
        <f t="shared" si="175"/>
        <v>1</v>
      </c>
      <c r="Z908" s="15">
        <f t="shared" si="176"/>
        <v>6</v>
      </c>
      <c r="AA908" s="15">
        <f t="shared" si="177"/>
        <v>9.3299999999999994E-2</v>
      </c>
    </row>
    <row r="909" spans="13:27" ht="16.5" x14ac:dyDescent="0.2">
      <c r="M909" s="15">
        <v>830</v>
      </c>
      <c r="N909" s="15">
        <f t="shared" si="166"/>
        <v>17</v>
      </c>
      <c r="O909" s="15">
        <f>INDEX(卡牌消耗!$H$13:$H$33,世界BOSS专属武器!N909)</f>
        <v>1501017</v>
      </c>
      <c r="P909" s="49" t="s">
        <v>480</v>
      </c>
      <c r="Q909" s="15">
        <f t="shared" si="167"/>
        <v>13</v>
      </c>
      <c r="R909" s="49" t="str">
        <f t="shared" si="168"/>
        <v>金币</v>
      </c>
      <c r="S909" s="15">
        <f t="shared" si="169"/>
        <v>1000</v>
      </c>
      <c r="T909" s="15" t="str">
        <f t="shared" si="170"/>
        <v>低级专属强化石</v>
      </c>
      <c r="U909" s="15">
        <f t="shared" si="171"/>
        <v>7</v>
      </c>
      <c r="V909" s="15" t="str">
        <f t="shared" si="172"/>
        <v>[x]</v>
      </c>
      <c r="W909" s="15" t="str">
        <f t="shared" si="173"/>
        <v>[x]</v>
      </c>
      <c r="X909" s="15">
        <f t="shared" si="174"/>
        <v>0.28999999999999998</v>
      </c>
      <c r="Y909" s="15">
        <f t="shared" si="175"/>
        <v>1</v>
      </c>
      <c r="Z909" s="15">
        <f t="shared" si="176"/>
        <v>7</v>
      </c>
      <c r="AA909" s="15">
        <f t="shared" si="177"/>
        <v>0.1067</v>
      </c>
    </row>
    <row r="910" spans="13:27" ht="16.5" x14ac:dyDescent="0.2">
      <c r="M910" s="15">
        <v>831</v>
      </c>
      <c r="N910" s="15">
        <f t="shared" si="166"/>
        <v>17</v>
      </c>
      <c r="O910" s="15">
        <f>INDEX(卡牌消耗!$H$13:$H$33,世界BOSS专属武器!N910)</f>
        <v>1501017</v>
      </c>
      <c r="P910" s="49" t="s">
        <v>480</v>
      </c>
      <c r="Q910" s="15">
        <f t="shared" si="167"/>
        <v>14</v>
      </c>
      <c r="R910" s="49" t="str">
        <f t="shared" si="168"/>
        <v>金币</v>
      </c>
      <c r="S910" s="15">
        <f t="shared" si="169"/>
        <v>1000</v>
      </c>
      <c r="T910" s="15" t="str">
        <f t="shared" si="170"/>
        <v>低级专属强化石</v>
      </c>
      <c r="U910" s="15">
        <f t="shared" si="171"/>
        <v>7</v>
      </c>
      <c r="V910" s="15" t="str">
        <f t="shared" si="172"/>
        <v>[x]</v>
      </c>
      <c r="W910" s="15" t="str">
        <f t="shared" si="173"/>
        <v>[x]</v>
      </c>
      <c r="X910" s="15">
        <f t="shared" si="174"/>
        <v>0.27</v>
      </c>
      <c r="Y910" s="15">
        <f t="shared" si="175"/>
        <v>1</v>
      </c>
      <c r="Z910" s="15">
        <f t="shared" si="176"/>
        <v>7</v>
      </c>
      <c r="AA910" s="15">
        <f t="shared" si="177"/>
        <v>0.12</v>
      </c>
    </row>
    <row r="911" spans="13:27" ht="16.5" x14ac:dyDescent="0.2">
      <c r="M911" s="15">
        <v>832</v>
      </c>
      <c r="N911" s="15">
        <f t="shared" si="166"/>
        <v>17</v>
      </c>
      <c r="O911" s="15">
        <f>INDEX(卡牌消耗!$H$13:$H$33,世界BOSS专属武器!N911)</f>
        <v>1501017</v>
      </c>
      <c r="P911" s="49" t="s">
        <v>480</v>
      </c>
      <c r="Q911" s="15">
        <f t="shared" si="167"/>
        <v>15</v>
      </c>
      <c r="R911" s="49" t="str">
        <f t="shared" si="168"/>
        <v>金币</v>
      </c>
      <c r="S911" s="15">
        <f t="shared" si="169"/>
        <v>1000</v>
      </c>
      <c r="T911" s="15" t="str">
        <f t="shared" si="170"/>
        <v>低级专属强化石</v>
      </c>
      <c r="U911" s="15">
        <f t="shared" si="171"/>
        <v>10</v>
      </c>
      <c r="V911" s="15" t="str">
        <f t="shared" si="172"/>
        <v>[x]</v>
      </c>
      <c r="W911" s="15" t="str">
        <f t="shared" si="173"/>
        <v>[x]</v>
      </c>
      <c r="X911" s="15">
        <f t="shared" si="174"/>
        <v>0.25</v>
      </c>
      <c r="Y911" s="15">
        <f t="shared" si="175"/>
        <v>1</v>
      </c>
      <c r="Z911" s="15">
        <f t="shared" si="176"/>
        <v>8</v>
      </c>
      <c r="AA911" s="15">
        <f t="shared" si="177"/>
        <v>0.1333</v>
      </c>
    </row>
    <row r="912" spans="13:27" ht="16.5" x14ac:dyDescent="0.2">
      <c r="M912" s="15">
        <v>833</v>
      </c>
      <c r="N912" s="15">
        <f t="shared" si="166"/>
        <v>17</v>
      </c>
      <c r="O912" s="15">
        <f>INDEX(卡牌消耗!$H$13:$H$33,世界BOSS专属武器!N912)</f>
        <v>1501017</v>
      </c>
      <c r="P912" s="49" t="s">
        <v>480</v>
      </c>
      <c r="Q912" s="15">
        <f t="shared" si="167"/>
        <v>16</v>
      </c>
      <c r="R912" s="49" t="str">
        <f t="shared" si="168"/>
        <v>金币</v>
      </c>
      <c r="S912" s="15">
        <f t="shared" si="169"/>
        <v>1000</v>
      </c>
      <c r="T912" s="15" t="str">
        <f t="shared" si="170"/>
        <v>低级专属强化石</v>
      </c>
      <c r="U912" s="15">
        <f t="shared" si="171"/>
        <v>10</v>
      </c>
      <c r="V912" s="15" t="str">
        <f t="shared" si="172"/>
        <v>[x]</v>
      </c>
      <c r="W912" s="15" t="str">
        <f t="shared" si="173"/>
        <v>[x]</v>
      </c>
      <c r="X912" s="15">
        <f t="shared" si="174"/>
        <v>0.23</v>
      </c>
      <c r="Y912" s="15">
        <f t="shared" si="175"/>
        <v>1</v>
      </c>
      <c r="Z912" s="15">
        <f t="shared" si="176"/>
        <v>9</v>
      </c>
      <c r="AA912" s="15">
        <f t="shared" si="177"/>
        <v>0.1467</v>
      </c>
    </row>
    <row r="913" spans="13:27" ht="16.5" x14ac:dyDescent="0.2">
      <c r="M913" s="15">
        <v>834</v>
      </c>
      <c r="N913" s="15">
        <f t="shared" ref="N913:N976" si="178">INT((M913-1)/51)+1</f>
        <v>17</v>
      </c>
      <c r="O913" s="15">
        <f>INDEX(卡牌消耗!$H$13:$H$33,世界BOSS专属武器!N913)</f>
        <v>1501017</v>
      </c>
      <c r="P913" s="49" t="s">
        <v>480</v>
      </c>
      <c r="Q913" s="15">
        <f t="shared" ref="Q913:Q976" si="179">MOD(M913-1,51)</f>
        <v>17</v>
      </c>
      <c r="R913" s="49" t="str">
        <f t="shared" ref="R913:R976" si="180">IF(Q913&gt;0,"金币","[x]")</f>
        <v>金币</v>
      </c>
      <c r="S913" s="15">
        <f t="shared" ref="S913:S976" si="181">IF(Q913&gt;0,INDEX($V$27:$V$76,Q913),"[x]")</f>
        <v>1000</v>
      </c>
      <c r="T913" s="15" t="str">
        <f t="shared" ref="T913:T976" si="182">IF(Q913&gt;0,INDEX($W$27:$W$76,Q913),"[x]")</f>
        <v>低级专属强化石</v>
      </c>
      <c r="U913" s="15">
        <f t="shared" ref="U913:U976" si="183">IF(Q913&gt;0,INDEX($AA$27:$AF$76,Q913,INDEX($Y$27:$Y$76,Q913)),"[x]")</f>
        <v>10</v>
      </c>
      <c r="V913" s="15" t="str">
        <f t="shared" ref="V913:V976" si="184">IF(AND(Q913&gt;=20,Q913&lt;40),INDEX($X$27:$X$76,Q913),"[x]")</f>
        <v>[x]</v>
      </c>
      <c r="W913" s="15" t="str">
        <f t="shared" ref="W913:W976" si="185">IF(AND(Q913&gt;=20,Q913&lt;40),INDEX($AA$27:$AF$76,Q913,INDEX($Z$27:$Z$76,Q913)),"[x]")</f>
        <v>[x]</v>
      </c>
      <c r="X913" s="15">
        <f t="shared" ref="X913:X976" si="186">IF(Q913&gt;0,INDEX($T$27:$T$76,Q913),"[x]")</f>
        <v>0.21</v>
      </c>
      <c r="Y913" s="15">
        <f t="shared" ref="Y913:Y976" si="187">IF(Q913&gt;0,1,"[x]")</f>
        <v>1</v>
      </c>
      <c r="Z913" s="15">
        <f t="shared" ref="Z913:Z976" si="188">IF(Q913&gt;0,INDEX($AG$27:$AG$76,Q913),"[x]")</f>
        <v>10</v>
      </c>
      <c r="AA913" s="15">
        <f t="shared" ref="AA913:AA976" si="189">IF(Q913&gt;0,INDEX($AL$27:$AL$76,Q913),"[x]")</f>
        <v>0.16</v>
      </c>
    </row>
    <row r="914" spans="13:27" ht="16.5" x14ac:dyDescent="0.2">
      <c r="M914" s="15">
        <v>835</v>
      </c>
      <c r="N914" s="15">
        <f t="shared" si="178"/>
        <v>17</v>
      </c>
      <c r="O914" s="15">
        <f>INDEX(卡牌消耗!$H$13:$H$33,世界BOSS专属武器!N914)</f>
        <v>1501017</v>
      </c>
      <c r="P914" s="49" t="s">
        <v>480</v>
      </c>
      <c r="Q914" s="15">
        <f t="shared" si="179"/>
        <v>18</v>
      </c>
      <c r="R914" s="49" t="str">
        <f t="shared" si="180"/>
        <v>金币</v>
      </c>
      <c r="S914" s="15">
        <f t="shared" si="181"/>
        <v>1000</v>
      </c>
      <c r="T914" s="15" t="str">
        <f t="shared" si="182"/>
        <v>低级专属强化石</v>
      </c>
      <c r="U914" s="15">
        <f t="shared" si="183"/>
        <v>10</v>
      </c>
      <c r="V914" s="15" t="str">
        <f t="shared" si="184"/>
        <v>[x]</v>
      </c>
      <c r="W914" s="15" t="str">
        <f t="shared" si="185"/>
        <v>[x]</v>
      </c>
      <c r="X914" s="15">
        <f t="shared" si="186"/>
        <v>0.19</v>
      </c>
      <c r="Y914" s="15">
        <f t="shared" si="187"/>
        <v>1</v>
      </c>
      <c r="Z914" s="15">
        <f t="shared" si="188"/>
        <v>11</v>
      </c>
      <c r="AA914" s="15">
        <f t="shared" si="189"/>
        <v>0.17330000000000001</v>
      </c>
    </row>
    <row r="915" spans="13:27" ht="16.5" x14ac:dyDescent="0.2">
      <c r="M915" s="15">
        <v>836</v>
      </c>
      <c r="N915" s="15">
        <f t="shared" si="178"/>
        <v>17</v>
      </c>
      <c r="O915" s="15">
        <f>INDEX(卡牌消耗!$H$13:$H$33,世界BOSS专属武器!N915)</f>
        <v>1501017</v>
      </c>
      <c r="P915" s="49" t="s">
        <v>480</v>
      </c>
      <c r="Q915" s="15">
        <f t="shared" si="179"/>
        <v>19</v>
      </c>
      <c r="R915" s="49" t="str">
        <f t="shared" si="180"/>
        <v>金币</v>
      </c>
      <c r="S915" s="15">
        <f t="shared" si="181"/>
        <v>1000</v>
      </c>
      <c r="T915" s="15" t="str">
        <f t="shared" si="182"/>
        <v>低级专属强化石</v>
      </c>
      <c r="U915" s="15">
        <f t="shared" si="183"/>
        <v>10</v>
      </c>
      <c r="V915" s="15" t="str">
        <f t="shared" si="184"/>
        <v>[x]</v>
      </c>
      <c r="W915" s="15" t="str">
        <f t="shared" si="185"/>
        <v>[x]</v>
      </c>
      <c r="X915" s="15">
        <f t="shared" si="186"/>
        <v>0.17</v>
      </c>
      <c r="Y915" s="15">
        <f t="shared" si="187"/>
        <v>1</v>
      </c>
      <c r="Z915" s="15">
        <f t="shared" si="188"/>
        <v>12</v>
      </c>
      <c r="AA915" s="15">
        <f t="shared" si="189"/>
        <v>0.1867</v>
      </c>
    </row>
    <row r="916" spans="13:27" ht="16.5" x14ac:dyDescent="0.2">
      <c r="M916" s="15">
        <v>837</v>
      </c>
      <c r="N916" s="15">
        <f t="shared" si="178"/>
        <v>17</v>
      </c>
      <c r="O916" s="15">
        <f>INDEX(卡牌消耗!$H$13:$H$33,世界BOSS专属武器!N916)</f>
        <v>1501017</v>
      </c>
      <c r="P916" s="49" t="s">
        <v>480</v>
      </c>
      <c r="Q916" s="15">
        <f t="shared" si="179"/>
        <v>20</v>
      </c>
      <c r="R916" s="49" t="str">
        <f t="shared" si="180"/>
        <v>金币</v>
      </c>
      <c r="S916" s="15">
        <f t="shared" si="181"/>
        <v>5000</v>
      </c>
      <c r="T916" s="15" t="str">
        <f t="shared" si="182"/>
        <v>低级专属强化石</v>
      </c>
      <c r="U916" s="15">
        <f t="shared" si="183"/>
        <v>15</v>
      </c>
      <c r="V916" s="15" t="str">
        <f t="shared" si="184"/>
        <v>中级专属强化石</v>
      </c>
      <c r="W916" s="15">
        <f t="shared" si="185"/>
        <v>7</v>
      </c>
      <c r="X916" s="15">
        <f t="shared" si="186"/>
        <v>0.15</v>
      </c>
      <c r="Y916" s="15">
        <f t="shared" si="187"/>
        <v>1</v>
      </c>
      <c r="Z916" s="15">
        <f t="shared" si="188"/>
        <v>15</v>
      </c>
      <c r="AA916" s="15">
        <f t="shared" si="189"/>
        <v>0.2</v>
      </c>
    </row>
    <row r="917" spans="13:27" ht="16.5" x14ac:dyDescent="0.2">
      <c r="M917" s="15">
        <v>838</v>
      </c>
      <c r="N917" s="15">
        <f t="shared" si="178"/>
        <v>17</v>
      </c>
      <c r="O917" s="15">
        <f>INDEX(卡牌消耗!$H$13:$H$33,世界BOSS专属武器!N917)</f>
        <v>1501017</v>
      </c>
      <c r="P917" s="49" t="s">
        <v>480</v>
      </c>
      <c r="Q917" s="15">
        <f t="shared" si="179"/>
        <v>21</v>
      </c>
      <c r="R917" s="49" t="str">
        <f t="shared" si="180"/>
        <v>金币</v>
      </c>
      <c r="S917" s="15">
        <f t="shared" si="181"/>
        <v>5000</v>
      </c>
      <c r="T917" s="15" t="str">
        <f t="shared" si="182"/>
        <v>低级专属强化石</v>
      </c>
      <c r="U917" s="15">
        <f t="shared" si="183"/>
        <v>15</v>
      </c>
      <c r="V917" s="15" t="str">
        <f t="shared" si="184"/>
        <v>中级专属强化石</v>
      </c>
      <c r="W917" s="15">
        <f t="shared" si="185"/>
        <v>7</v>
      </c>
      <c r="X917" s="15">
        <f t="shared" si="186"/>
        <v>0.15</v>
      </c>
      <c r="Y917" s="15">
        <f t="shared" si="187"/>
        <v>1</v>
      </c>
      <c r="Z917" s="15">
        <f t="shared" si="188"/>
        <v>15</v>
      </c>
      <c r="AA917" s="15">
        <f t="shared" si="189"/>
        <v>0.22</v>
      </c>
    </row>
    <row r="918" spans="13:27" ht="16.5" x14ac:dyDescent="0.2">
      <c r="M918" s="15">
        <v>839</v>
      </c>
      <c r="N918" s="15">
        <f t="shared" si="178"/>
        <v>17</v>
      </c>
      <c r="O918" s="15">
        <f>INDEX(卡牌消耗!$H$13:$H$33,世界BOSS专属武器!N918)</f>
        <v>1501017</v>
      </c>
      <c r="P918" s="49" t="s">
        <v>480</v>
      </c>
      <c r="Q918" s="15">
        <f t="shared" si="179"/>
        <v>22</v>
      </c>
      <c r="R918" s="49" t="str">
        <f t="shared" si="180"/>
        <v>金币</v>
      </c>
      <c r="S918" s="15">
        <f t="shared" si="181"/>
        <v>5000</v>
      </c>
      <c r="T918" s="15" t="str">
        <f t="shared" si="182"/>
        <v>低级专属强化石</v>
      </c>
      <c r="U918" s="15">
        <f t="shared" si="183"/>
        <v>15</v>
      </c>
      <c r="V918" s="15" t="str">
        <f t="shared" si="184"/>
        <v>中级专属强化石</v>
      </c>
      <c r="W918" s="15">
        <f t="shared" si="185"/>
        <v>7</v>
      </c>
      <c r="X918" s="15">
        <f t="shared" si="186"/>
        <v>0.15</v>
      </c>
      <c r="Y918" s="15">
        <f t="shared" si="187"/>
        <v>1</v>
      </c>
      <c r="Z918" s="15">
        <f t="shared" si="188"/>
        <v>15</v>
      </c>
      <c r="AA918" s="15">
        <f t="shared" si="189"/>
        <v>0.24</v>
      </c>
    </row>
    <row r="919" spans="13:27" ht="16.5" x14ac:dyDescent="0.2">
      <c r="M919" s="15">
        <v>840</v>
      </c>
      <c r="N919" s="15">
        <f t="shared" si="178"/>
        <v>17</v>
      </c>
      <c r="O919" s="15">
        <f>INDEX(卡牌消耗!$H$13:$H$33,世界BOSS专属武器!N919)</f>
        <v>1501017</v>
      </c>
      <c r="P919" s="49" t="s">
        <v>480</v>
      </c>
      <c r="Q919" s="15">
        <f t="shared" si="179"/>
        <v>23</v>
      </c>
      <c r="R919" s="49" t="str">
        <f t="shared" si="180"/>
        <v>金币</v>
      </c>
      <c r="S919" s="15">
        <f t="shared" si="181"/>
        <v>5000</v>
      </c>
      <c r="T919" s="15" t="str">
        <f t="shared" si="182"/>
        <v>低级专属强化石</v>
      </c>
      <c r="U919" s="15">
        <f t="shared" si="183"/>
        <v>15</v>
      </c>
      <c r="V919" s="15" t="str">
        <f t="shared" si="184"/>
        <v>中级专属强化石</v>
      </c>
      <c r="W919" s="15">
        <f t="shared" si="185"/>
        <v>7</v>
      </c>
      <c r="X919" s="15">
        <f t="shared" si="186"/>
        <v>0.15</v>
      </c>
      <c r="Y919" s="15">
        <f t="shared" si="187"/>
        <v>1</v>
      </c>
      <c r="Z919" s="15">
        <f t="shared" si="188"/>
        <v>18</v>
      </c>
      <c r="AA919" s="15">
        <f t="shared" si="189"/>
        <v>0.26</v>
      </c>
    </row>
    <row r="920" spans="13:27" ht="16.5" x14ac:dyDescent="0.2">
      <c r="M920" s="15">
        <v>841</v>
      </c>
      <c r="N920" s="15">
        <f t="shared" si="178"/>
        <v>17</v>
      </c>
      <c r="O920" s="15">
        <f>INDEX(卡牌消耗!$H$13:$H$33,世界BOSS专属武器!N920)</f>
        <v>1501017</v>
      </c>
      <c r="P920" s="49" t="s">
        <v>480</v>
      </c>
      <c r="Q920" s="15">
        <f t="shared" si="179"/>
        <v>24</v>
      </c>
      <c r="R920" s="49" t="str">
        <f t="shared" si="180"/>
        <v>金币</v>
      </c>
      <c r="S920" s="15">
        <f t="shared" si="181"/>
        <v>5000</v>
      </c>
      <c r="T920" s="15" t="str">
        <f t="shared" si="182"/>
        <v>低级专属强化石</v>
      </c>
      <c r="U920" s="15">
        <f t="shared" si="183"/>
        <v>15</v>
      </c>
      <c r="V920" s="15" t="str">
        <f t="shared" si="184"/>
        <v>中级专属强化石</v>
      </c>
      <c r="W920" s="15">
        <f t="shared" si="185"/>
        <v>7</v>
      </c>
      <c r="X920" s="15">
        <f t="shared" si="186"/>
        <v>0.15</v>
      </c>
      <c r="Y920" s="15">
        <f t="shared" si="187"/>
        <v>1</v>
      </c>
      <c r="Z920" s="15">
        <f t="shared" si="188"/>
        <v>18</v>
      </c>
      <c r="AA920" s="15">
        <f t="shared" si="189"/>
        <v>0.28000000000000003</v>
      </c>
    </row>
    <row r="921" spans="13:27" ht="16.5" x14ac:dyDescent="0.2">
      <c r="M921" s="15">
        <v>842</v>
      </c>
      <c r="N921" s="15">
        <f t="shared" si="178"/>
        <v>17</v>
      </c>
      <c r="O921" s="15">
        <f>INDEX(卡牌消耗!$H$13:$H$33,世界BOSS专属武器!N921)</f>
        <v>1501017</v>
      </c>
      <c r="P921" s="49" t="s">
        <v>480</v>
      </c>
      <c r="Q921" s="15">
        <f t="shared" si="179"/>
        <v>25</v>
      </c>
      <c r="R921" s="49" t="str">
        <f t="shared" si="180"/>
        <v>金币</v>
      </c>
      <c r="S921" s="15">
        <f t="shared" si="181"/>
        <v>5000</v>
      </c>
      <c r="T921" s="15" t="str">
        <f t="shared" si="182"/>
        <v>低级专属强化石</v>
      </c>
      <c r="U921" s="15">
        <f t="shared" si="183"/>
        <v>15</v>
      </c>
      <c r="V921" s="15" t="str">
        <f t="shared" si="184"/>
        <v>中级专属强化石</v>
      </c>
      <c r="W921" s="15">
        <f t="shared" si="185"/>
        <v>7</v>
      </c>
      <c r="X921" s="15">
        <f t="shared" si="186"/>
        <v>0.15</v>
      </c>
      <c r="Y921" s="15">
        <f t="shared" si="187"/>
        <v>1</v>
      </c>
      <c r="Z921" s="15">
        <f t="shared" si="188"/>
        <v>18</v>
      </c>
      <c r="AA921" s="15">
        <f t="shared" si="189"/>
        <v>0.3</v>
      </c>
    </row>
    <row r="922" spans="13:27" ht="16.5" x14ac:dyDescent="0.2">
      <c r="M922" s="15">
        <v>843</v>
      </c>
      <c r="N922" s="15">
        <f t="shared" si="178"/>
        <v>17</v>
      </c>
      <c r="O922" s="15">
        <f>INDEX(卡牌消耗!$H$13:$H$33,世界BOSS专属武器!N922)</f>
        <v>1501017</v>
      </c>
      <c r="P922" s="49" t="s">
        <v>480</v>
      </c>
      <c r="Q922" s="15">
        <f t="shared" si="179"/>
        <v>26</v>
      </c>
      <c r="R922" s="49" t="str">
        <f t="shared" si="180"/>
        <v>金币</v>
      </c>
      <c r="S922" s="15">
        <f t="shared" si="181"/>
        <v>5000</v>
      </c>
      <c r="T922" s="15" t="str">
        <f t="shared" si="182"/>
        <v>低级专属强化石</v>
      </c>
      <c r="U922" s="15">
        <f t="shared" si="183"/>
        <v>15</v>
      </c>
      <c r="V922" s="15" t="str">
        <f t="shared" si="184"/>
        <v>中级专属强化石</v>
      </c>
      <c r="W922" s="15">
        <f t="shared" si="185"/>
        <v>7</v>
      </c>
      <c r="X922" s="15">
        <f t="shared" si="186"/>
        <v>0.15</v>
      </c>
      <c r="Y922" s="15">
        <f t="shared" si="187"/>
        <v>1</v>
      </c>
      <c r="Z922" s="15">
        <f t="shared" si="188"/>
        <v>21</v>
      </c>
      <c r="AA922" s="15">
        <f t="shared" si="189"/>
        <v>0.32</v>
      </c>
    </row>
    <row r="923" spans="13:27" ht="16.5" x14ac:dyDescent="0.2">
      <c r="M923" s="15">
        <v>844</v>
      </c>
      <c r="N923" s="15">
        <f t="shared" si="178"/>
        <v>17</v>
      </c>
      <c r="O923" s="15">
        <f>INDEX(卡牌消耗!$H$13:$H$33,世界BOSS专属武器!N923)</f>
        <v>1501017</v>
      </c>
      <c r="P923" s="49" t="s">
        <v>480</v>
      </c>
      <c r="Q923" s="15">
        <f t="shared" si="179"/>
        <v>27</v>
      </c>
      <c r="R923" s="49" t="str">
        <f t="shared" si="180"/>
        <v>金币</v>
      </c>
      <c r="S923" s="15">
        <f t="shared" si="181"/>
        <v>5000</v>
      </c>
      <c r="T923" s="15" t="str">
        <f t="shared" si="182"/>
        <v>低级专属强化石</v>
      </c>
      <c r="U923" s="15">
        <f t="shared" si="183"/>
        <v>15</v>
      </c>
      <c r="V923" s="15" t="str">
        <f t="shared" si="184"/>
        <v>中级专属强化石</v>
      </c>
      <c r="W923" s="15">
        <f t="shared" si="185"/>
        <v>7</v>
      </c>
      <c r="X923" s="15">
        <f t="shared" si="186"/>
        <v>0.15</v>
      </c>
      <c r="Y923" s="15">
        <f t="shared" si="187"/>
        <v>1</v>
      </c>
      <c r="Z923" s="15">
        <f t="shared" si="188"/>
        <v>22</v>
      </c>
      <c r="AA923" s="15">
        <f t="shared" si="189"/>
        <v>0.34</v>
      </c>
    </row>
    <row r="924" spans="13:27" ht="16.5" x14ac:dyDescent="0.2">
      <c r="M924" s="15">
        <v>845</v>
      </c>
      <c r="N924" s="15">
        <f t="shared" si="178"/>
        <v>17</v>
      </c>
      <c r="O924" s="15">
        <f>INDEX(卡牌消耗!$H$13:$H$33,世界BOSS专属武器!N924)</f>
        <v>1501017</v>
      </c>
      <c r="P924" s="49" t="s">
        <v>480</v>
      </c>
      <c r="Q924" s="15">
        <f t="shared" si="179"/>
        <v>28</v>
      </c>
      <c r="R924" s="49" t="str">
        <f t="shared" si="180"/>
        <v>金币</v>
      </c>
      <c r="S924" s="15">
        <f t="shared" si="181"/>
        <v>5000</v>
      </c>
      <c r="T924" s="15" t="str">
        <f t="shared" si="182"/>
        <v>低级专属强化石</v>
      </c>
      <c r="U924" s="15">
        <f t="shared" si="183"/>
        <v>15</v>
      </c>
      <c r="V924" s="15" t="str">
        <f t="shared" si="184"/>
        <v>中级专属强化石</v>
      </c>
      <c r="W924" s="15">
        <f t="shared" si="185"/>
        <v>7</v>
      </c>
      <c r="X924" s="15">
        <f t="shared" si="186"/>
        <v>0.15</v>
      </c>
      <c r="Y924" s="15">
        <f t="shared" si="187"/>
        <v>1</v>
      </c>
      <c r="Z924" s="15">
        <f t="shared" si="188"/>
        <v>23</v>
      </c>
      <c r="AA924" s="15">
        <f t="shared" si="189"/>
        <v>0.36</v>
      </c>
    </row>
    <row r="925" spans="13:27" ht="16.5" x14ac:dyDescent="0.2">
      <c r="M925" s="15">
        <v>846</v>
      </c>
      <c r="N925" s="15">
        <f t="shared" si="178"/>
        <v>17</v>
      </c>
      <c r="O925" s="15">
        <f>INDEX(卡牌消耗!$H$13:$H$33,世界BOSS专属武器!N925)</f>
        <v>1501017</v>
      </c>
      <c r="P925" s="49" t="s">
        <v>480</v>
      </c>
      <c r="Q925" s="15">
        <f t="shared" si="179"/>
        <v>29</v>
      </c>
      <c r="R925" s="49" t="str">
        <f t="shared" si="180"/>
        <v>金币</v>
      </c>
      <c r="S925" s="15">
        <f t="shared" si="181"/>
        <v>5000</v>
      </c>
      <c r="T925" s="15" t="str">
        <f t="shared" si="182"/>
        <v>低级专属强化石</v>
      </c>
      <c r="U925" s="15">
        <f t="shared" si="183"/>
        <v>15</v>
      </c>
      <c r="V925" s="15" t="str">
        <f t="shared" si="184"/>
        <v>中级专属强化石</v>
      </c>
      <c r="W925" s="15">
        <f t="shared" si="185"/>
        <v>7</v>
      </c>
      <c r="X925" s="15">
        <f t="shared" si="186"/>
        <v>0.15</v>
      </c>
      <c r="Y925" s="15">
        <f t="shared" si="187"/>
        <v>1</v>
      </c>
      <c r="Z925" s="15">
        <f t="shared" si="188"/>
        <v>25</v>
      </c>
      <c r="AA925" s="15">
        <f t="shared" si="189"/>
        <v>0.38</v>
      </c>
    </row>
    <row r="926" spans="13:27" ht="16.5" x14ac:dyDescent="0.2">
      <c r="M926" s="15">
        <v>847</v>
      </c>
      <c r="N926" s="15">
        <f t="shared" si="178"/>
        <v>17</v>
      </c>
      <c r="O926" s="15">
        <f>INDEX(卡牌消耗!$H$13:$H$33,世界BOSS专属武器!N926)</f>
        <v>1501017</v>
      </c>
      <c r="P926" s="49" t="s">
        <v>480</v>
      </c>
      <c r="Q926" s="15">
        <f t="shared" si="179"/>
        <v>30</v>
      </c>
      <c r="R926" s="49" t="str">
        <f t="shared" si="180"/>
        <v>金币</v>
      </c>
      <c r="S926" s="15">
        <f t="shared" si="181"/>
        <v>10000</v>
      </c>
      <c r="T926" s="15" t="str">
        <f t="shared" si="182"/>
        <v>中级专属强化石</v>
      </c>
      <c r="U926" s="15">
        <f t="shared" si="183"/>
        <v>8</v>
      </c>
      <c r="V926" s="15" t="str">
        <f t="shared" si="184"/>
        <v>高级专属强化石</v>
      </c>
      <c r="W926" s="15">
        <f t="shared" si="185"/>
        <v>3</v>
      </c>
      <c r="X926" s="15">
        <f t="shared" si="186"/>
        <v>0.1</v>
      </c>
      <c r="Y926" s="15">
        <f t="shared" si="187"/>
        <v>1</v>
      </c>
      <c r="Z926" s="15">
        <f t="shared" si="188"/>
        <v>30</v>
      </c>
      <c r="AA926" s="15">
        <f t="shared" si="189"/>
        <v>0.4</v>
      </c>
    </row>
    <row r="927" spans="13:27" ht="16.5" x14ac:dyDescent="0.2">
      <c r="M927" s="15">
        <v>848</v>
      </c>
      <c r="N927" s="15">
        <f t="shared" si="178"/>
        <v>17</v>
      </c>
      <c r="O927" s="15">
        <f>INDEX(卡牌消耗!$H$13:$H$33,世界BOSS专属武器!N927)</f>
        <v>1501017</v>
      </c>
      <c r="P927" s="49" t="s">
        <v>480</v>
      </c>
      <c r="Q927" s="15">
        <f t="shared" si="179"/>
        <v>31</v>
      </c>
      <c r="R927" s="49" t="str">
        <f t="shared" si="180"/>
        <v>金币</v>
      </c>
      <c r="S927" s="15">
        <f t="shared" si="181"/>
        <v>10000</v>
      </c>
      <c r="T927" s="15" t="str">
        <f t="shared" si="182"/>
        <v>中级专属强化石</v>
      </c>
      <c r="U927" s="15">
        <f t="shared" si="183"/>
        <v>8</v>
      </c>
      <c r="V927" s="15" t="str">
        <f t="shared" si="184"/>
        <v>高级专属强化石</v>
      </c>
      <c r="W927" s="15">
        <f t="shared" si="185"/>
        <v>3</v>
      </c>
      <c r="X927" s="15">
        <f t="shared" si="186"/>
        <v>0.1</v>
      </c>
      <c r="Y927" s="15">
        <f t="shared" si="187"/>
        <v>1</v>
      </c>
      <c r="Z927" s="15">
        <f t="shared" si="188"/>
        <v>30</v>
      </c>
      <c r="AA927" s="15">
        <f t="shared" si="189"/>
        <v>0.42670000000000002</v>
      </c>
    </row>
    <row r="928" spans="13:27" ht="16.5" x14ac:dyDescent="0.2">
      <c r="M928" s="15">
        <v>849</v>
      </c>
      <c r="N928" s="15">
        <f t="shared" si="178"/>
        <v>17</v>
      </c>
      <c r="O928" s="15">
        <f>INDEX(卡牌消耗!$H$13:$H$33,世界BOSS专属武器!N928)</f>
        <v>1501017</v>
      </c>
      <c r="P928" s="49" t="s">
        <v>480</v>
      </c>
      <c r="Q928" s="15">
        <f t="shared" si="179"/>
        <v>32</v>
      </c>
      <c r="R928" s="49" t="str">
        <f t="shared" si="180"/>
        <v>金币</v>
      </c>
      <c r="S928" s="15">
        <f t="shared" si="181"/>
        <v>10000</v>
      </c>
      <c r="T928" s="15" t="str">
        <f t="shared" si="182"/>
        <v>中级专属强化石</v>
      </c>
      <c r="U928" s="15">
        <f t="shared" si="183"/>
        <v>8</v>
      </c>
      <c r="V928" s="15" t="str">
        <f t="shared" si="184"/>
        <v>高级专属强化石</v>
      </c>
      <c r="W928" s="15">
        <f t="shared" si="185"/>
        <v>3</v>
      </c>
      <c r="X928" s="15">
        <f t="shared" si="186"/>
        <v>0.1</v>
      </c>
      <c r="Y928" s="15">
        <f t="shared" si="187"/>
        <v>1</v>
      </c>
      <c r="Z928" s="15">
        <f t="shared" si="188"/>
        <v>30</v>
      </c>
      <c r="AA928" s="15">
        <f t="shared" si="189"/>
        <v>0.45329999999999998</v>
      </c>
    </row>
    <row r="929" spans="13:27" ht="16.5" x14ac:dyDescent="0.2">
      <c r="M929" s="15">
        <v>850</v>
      </c>
      <c r="N929" s="15">
        <f t="shared" si="178"/>
        <v>17</v>
      </c>
      <c r="O929" s="15">
        <f>INDEX(卡牌消耗!$H$13:$H$33,世界BOSS专属武器!N929)</f>
        <v>1501017</v>
      </c>
      <c r="P929" s="49" t="s">
        <v>480</v>
      </c>
      <c r="Q929" s="15">
        <f t="shared" si="179"/>
        <v>33</v>
      </c>
      <c r="R929" s="49" t="str">
        <f t="shared" si="180"/>
        <v>金币</v>
      </c>
      <c r="S929" s="15">
        <f t="shared" si="181"/>
        <v>10000</v>
      </c>
      <c r="T929" s="15" t="str">
        <f t="shared" si="182"/>
        <v>中级专属强化石</v>
      </c>
      <c r="U929" s="15">
        <f t="shared" si="183"/>
        <v>8</v>
      </c>
      <c r="V929" s="15" t="str">
        <f t="shared" si="184"/>
        <v>高级专属强化石</v>
      </c>
      <c r="W929" s="15">
        <f t="shared" si="185"/>
        <v>3</v>
      </c>
      <c r="X929" s="15">
        <f t="shared" si="186"/>
        <v>0.1</v>
      </c>
      <c r="Y929" s="15">
        <f t="shared" si="187"/>
        <v>1</v>
      </c>
      <c r="Z929" s="15">
        <f t="shared" si="188"/>
        <v>30</v>
      </c>
      <c r="AA929" s="15">
        <f t="shared" si="189"/>
        <v>0.48</v>
      </c>
    </row>
    <row r="930" spans="13:27" ht="16.5" x14ac:dyDescent="0.2">
      <c r="M930" s="15">
        <v>851</v>
      </c>
      <c r="N930" s="15">
        <f t="shared" si="178"/>
        <v>17</v>
      </c>
      <c r="O930" s="15">
        <f>INDEX(卡牌消耗!$H$13:$H$33,世界BOSS专属武器!N930)</f>
        <v>1501017</v>
      </c>
      <c r="P930" s="49" t="s">
        <v>480</v>
      </c>
      <c r="Q930" s="15">
        <f t="shared" si="179"/>
        <v>34</v>
      </c>
      <c r="R930" s="49" t="str">
        <f t="shared" si="180"/>
        <v>金币</v>
      </c>
      <c r="S930" s="15">
        <f t="shared" si="181"/>
        <v>10000</v>
      </c>
      <c r="T930" s="15" t="str">
        <f t="shared" si="182"/>
        <v>中级专属强化石</v>
      </c>
      <c r="U930" s="15">
        <f t="shared" si="183"/>
        <v>8</v>
      </c>
      <c r="V930" s="15" t="str">
        <f t="shared" si="184"/>
        <v>高级专属强化石</v>
      </c>
      <c r="W930" s="15">
        <f t="shared" si="185"/>
        <v>3</v>
      </c>
      <c r="X930" s="15">
        <f t="shared" si="186"/>
        <v>0.1</v>
      </c>
      <c r="Y930" s="15">
        <f t="shared" si="187"/>
        <v>1</v>
      </c>
      <c r="Z930" s="15">
        <f t="shared" si="188"/>
        <v>30</v>
      </c>
      <c r="AA930" s="15">
        <f t="shared" si="189"/>
        <v>0.50670000000000004</v>
      </c>
    </row>
    <row r="931" spans="13:27" ht="16.5" x14ac:dyDescent="0.2">
      <c r="M931" s="15">
        <v>852</v>
      </c>
      <c r="N931" s="15">
        <f t="shared" si="178"/>
        <v>17</v>
      </c>
      <c r="O931" s="15">
        <f>INDEX(卡牌消耗!$H$13:$H$33,世界BOSS专属武器!N931)</f>
        <v>1501017</v>
      </c>
      <c r="P931" s="49" t="s">
        <v>480</v>
      </c>
      <c r="Q931" s="15">
        <f t="shared" si="179"/>
        <v>35</v>
      </c>
      <c r="R931" s="49" t="str">
        <f t="shared" si="180"/>
        <v>金币</v>
      </c>
      <c r="S931" s="15">
        <f t="shared" si="181"/>
        <v>10000</v>
      </c>
      <c r="T931" s="15" t="str">
        <f t="shared" si="182"/>
        <v>中级专属强化石</v>
      </c>
      <c r="U931" s="15">
        <f t="shared" si="183"/>
        <v>8</v>
      </c>
      <c r="V931" s="15" t="str">
        <f t="shared" si="184"/>
        <v>高级专属强化石</v>
      </c>
      <c r="W931" s="15">
        <f t="shared" si="185"/>
        <v>3</v>
      </c>
      <c r="X931" s="15">
        <f t="shared" si="186"/>
        <v>0.1</v>
      </c>
      <c r="Y931" s="15">
        <f t="shared" si="187"/>
        <v>1</v>
      </c>
      <c r="Z931" s="15">
        <f t="shared" si="188"/>
        <v>30</v>
      </c>
      <c r="AA931" s="15">
        <f t="shared" si="189"/>
        <v>0.5333</v>
      </c>
    </row>
    <row r="932" spans="13:27" ht="16.5" x14ac:dyDescent="0.2">
      <c r="M932" s="15">
        <v>853</v>
      </c>
      <c r="N932" s="15">
        <f t="shared" si="178"/>
        <v>17</v>
      </c>
      <c r="O932" s="15">
        <f>INDEX(卡牌消耗!$H$13:$H$33,世界BOSS专属武器!N932)</f>
        <v>1501017</v>
      </c>
      <c r="P932" s="49" t="s">
        <v>480</v>
      </c>
      <c r="Q932" s="15">
        <f t="shared" si="179"/>
        <v>36</v>
      </c>
      <c r="R932" s="49" t="str">
        <f t="shared" si="180"/>
        <v>金币</v>
      </c>
      <c r="S932" s="15">
        <f t="shared" si="181"/>
        <v>10000</v>
      </c>
      <c r="T932" s="15" t="str">
        <f t="shared" si="182"/>
        <v>中级专属强化石</v>
      </c>
      <c r="U932" s="15">
        <f t="shared" si="183"/>
        <v>8</v>
      </c>
      <c r="V932" s="15" t="str">
        <f t="shared" si="184"/>
        <v>高级专属强化石</v>
      </c>
      <c r="W932" s="15">
        <f t="shared" si="185"/>
        <v>3</v>
      </c>
      <c r="X932" s="15">
        <f t="shared" si="186"/>
        <v>0.1</v>
      </c>
      <c r="Y932" s="15">
        <f t="shared" si="187"/>
        <v>1</v>
      </c>
      <c r="Z932" s="15">
        <f t="shared" si="188"/>
        <v>30</v>
      </c>
      <c r="AA932" s="15">
        <f t="shared" si="189"/>
        <v>0.56000000000000005</v>
      </c>
    </row>
    <row r="933" spans="13:27" ht="16.5" x14ac:dyDescent="0.2">
      <c r="M933" s="15">
        <v>854</v>
      </c>
      <c r="N933" s="15">
        <f t="shared" si="178"/>
        <v>17</v>
      </c>
      <c r="O933" s="15">
        <f>INDEX(卡牌消耗!$H$13:$H$33,世界BOSS专属武器!N933)</f>
        <v>1501017</v>
      </c>
      <c r="P933" s="49" t="s">
        <v>480</v>
      </c>
      <c r="Q933" s="15">
        <f t="shared" si="179"/>
        <v>37</v>
      </c>
      <c r="R933" s="49" t="str">
        <f t="shared" si="180"/>
        <v>金币</v>
      </c>
      <c r="S933" s="15">
        <f t="shared" si="181"/>
        <v>10000</v>
      </c>
      <c r="T933" s="15" t="str">
        <f t="shared" si="182"/>
        <v>中级专属强化石</v>
      </c>
      <c r="U933" s="15">
        <f t="shared" si="183"/>
        <v>8</v>
      </c>
      <c r="V933" s="15" t="str">
        <f t="shared" si="184"/>
        <v>高级专属强化石</v>
      </c>
      <c r="W933" s="15">
        <f t="shared" si="185"/>
        <v>3</v>
      </c>
      <c r="X933" s="15">
        <f t="shared" si="186"/>
        <v>0.1</v>
      </c>
      <c r="Y933" s="15">
        <f t="shared" si="187"/>
        <v>1</v>
      </c>
      <c r="Z933" s="15">
        <f t="shared" si="188"/>
        <v>30</v>
      </c>
      <c r="AA933" s="15">
        <f t="shared" si="189"/>
        <v>0.5867</v>
      </c>
    </row>
    <row r="934" spans="13:27" ht="16.5" x14ac:dyDescent="0.2">
      <c r="M934" s="15">
        <v>855</v>
      </c>
      <c r="N934" s="15">
        <f t="shared" si="178"/>
        <v>17</v>
      </c>
      <c r="O934" s="15">
        <f>INDEX(卡牌消耗!$H$13:$H$33,世界BOSS专属武器!N934)</f>
        <v>1501017</v>
      </c>
      <c r="P934" s="49" t="s">
        <v>480</v>
      </c>
      <c r="Q934" s="15">
        <f t="shared" si="179"/>
        <v>38</v>
      </c>
      <c r="R934" s="49" t="str">
        <f t="shared" si="180"/>
        <v>金币</v>
      </c>
      <c r="S934" s="15">
        <f t="shared" si="181"/>
        <v>10000</v>
      </c>
      <c r="T934" s="15" t="str">
        <f t="shared" si="182"/>
        <v>中级专属强化石</v>
      </c>
      <c r="U934" s="15">
        <f t="shared" si="183"/>
        <v>8</v>
      </c>
      <c r="V934" s="15" t="str">
        <f t="shared" si="184"/>
        <v>高级专属强化石</v>
      </c>
      <c r="W934" s="15">
        <f t="shared" si="185"/>
        <v>3</v>
      </c>
      <c r="X934" s="15">
        <f t="shared" si="186"/>
        <v>0.1</v>
      </c>
      <c r="Y934" s="15">
        <f t="shared" si="187"/>
        <v>1</v>
      </c>
      <c r="Z934" s="15">
        <f t="shared" si="188"/>
        <v>30</v>
      </c>
      <c r="AA934" s="15">
        <f t="shared" si="189"/>
        <v>0.61329999999999996</v>
      </c>
    </row>
    <row r="935" spans="13:27" ht="16.5" x14ac:dyDescent="0.2">
      <c r="M935" s="15">
        <v>856</v>
      </c>
      <c r="N935" s="15">
        <f t="shared" si="178"/>
        <v>17</v>
      </c>
      <c r="O935" s="15">
        <f>INDEX(卡牌消耗!$H$13:$H$33,世界BOSS专属武器!N935)</f>
        <v>1501017</v>
      </c>
      <c r="P935" s="49" t="s">
        <v>480</v>
      </c>
      <c r="Q935" s="15">
        <f t="shared" si="179"/>
        <v>39</v>
      </c>
      <c r="R935" s="49" t="str">
        <f t="shared" si="180"/>
        <v>金币</v>
      </c>
      <c r="S935" s="15">
        <f t="shared" si="181"/>
        <v>10000</v>
      </c>
      <c r="T935" s="15" t="str">
        <f t="shared" si="182"/>
        <v>中级专属强化石</v>
      </c>
      <c r="U935" s="15">
        <f t="shared" si="183"/>
        <v>8</v>
      </c>
      <c r="V935" s="15" t="str">
        <f t="shared" si="184"/>
        <v>高级专属强化石</v>
      </c>
      <c r="W935" s="15">
        <f t="shared" si="185"/>
        <v>3</v>
      </c>
      <c r="X935" s="15">
        <f t="shared" si="186"/>
        <v>0.1</v>
      </c>
      <c r="Y935" s="15">
        <f t="shared" si="187"/>
        <v>1</v>
      </c>
      <c r="Z935" s="15">
        <f t="shared" si="188"/>
        <v>30</v>
      </c>
      <c r="AA935" s="15">
        <f t="shared" si="189"/>
        <v>0.64</v>
      </c>
    </row>
    <row r="936" spans="13:27" ht="16.5" x14ac:dyDescent="0.2">
      <c r="M936" s="15">
        <v>857</v>
      </c>
      <c r="N936" s="15">
        <f t="shared" si="178"/>
        <v>17</v>
      </c>
      <c r="O936" s="15">
        <f>INDEX(卡牌消耗!$H$13:$H$33,世界BOSS专属武器!N936)</f>
        <v>1501017</v>
      </c>
      <c r="P936" s="49" t="s">
        <v>480</v>
      </c>
      <c r="Q936" s="15">
        <f t="shared" si="179"/>
        <v>40</v>
      </c>
      <c r="R936" s="49" t="str">
        <f t="shared" si="180"/>
        <v>金币</v>
      </c>
      <c r="S936" s="15">
        <f t="shared" si="181"/>
        <v>20000</v>
      </c>
      <c r="T936" s="15" t="str">
        <f t="shared" si="182"/>
        <v>高级专属强化石</v>
      </c>
      <c r="U936" s="15">
        <f t="shared" si="183"/>
        <v>5</v>
      </c>
      <c r="V936" s="15" t="str">
        <f t="shared" si="184"/>
        <v>[x]</v>
      </c>
      <c r="W936" s="15" t="str">
        <f t="shared" si="185"/>
        <v>[x]</v>
      </c>
      <c r="X936" s="15">
        <f t="shared" si="186"/>
        <v>0.1</v>
      </c>
      <c r="Y936" s="15">
        <f t="shared" si="187"/>
        <v>1</v>
      </c>
      <c r="Z936" s="15">
        <f t="shared" si="188"/>
        <v>35</v>
      </c>
      <c r="AA936" s="15">
        <f t="shared" si="189"/>
        <v>0.66669999999999996</v>
      </c>
    </row>
    <row r="937" spans="13:27" ht="16.5" x14ac:dyDescent="0.2">
      <c r="M937" s="15">
        <v>858</v>
      </c>
      <c r="N937" s="15">
        <f t="shared" si="178"/>
        <v>17</v>
      </c>
      <c r="O937" s="15">
        <f>INDEX(卡牌消耗!$H$13:$H$33,世界BOSS专属武器!N937)</f>
        <v>1501017</v>
      </c>
      <c r="P937" s="49" t="s">
        <v>480</v>
      </c>
      <c r="Q937" s="15">
        <f t="shared" si="179"/>
        <v>41</v>
      </c>
      <c r="R937" s="49" t="str">
        <f t="shared" si="180"/>
        <v>金币</v>
      </c>
      <c r="S937" s="15">
        <f t="shared" si="181"/>
        <v>20000</v>
      </c>
      <c r="T937" s="15" t="str">
        <f t="shared" si="182"/>
        <v>高级专属强化石</v>
      </c>
      <c r="U937" s="15">
        <f t="shared" si="183"/>
        <v>5</v>
      </c>
      <c r="V937" s="15" t="str">
        <f t="shared" si="184"/>
        <v>[x]</v>
      </c>
      <c r="W937" s="15" t="str">
        <f t="shared" si="185"/>
        <v>[x]</v>
      </c>
      <c r="X937" s="15">
        <f t="shared" si="186"/>
        <v>0.1</v>
      </c>
      <c r="Y937" s="15">
        <f t="shared" si="187"/>
        <v>1</v>
      </c>
      <c r="Z937" s="15">
        <f t="shared" si="188"/>
        <v>40</v>
      </c>
      <c r="AA937" s="15">
        <f t="shared" si="189"/>
        <v>0.7</v>
      </c>
    </row>
    <row r="938" spans="13:27" ht="16.5" x14ac:dyDescent="0.2">
      <c r="M938" s="15">
        <v>859</v>
      </c>
      <c r="N938" s="15">
        <f t="shared" si="178"/>
        <v>17</v>
      </c>
      <c r="O938" s="15">
        <f>INDEX(卡牌消耗!$H$13:$H$33,世界BOSS专属武器!N938)</f>
        <v>1501017</v>
      </c>
      <c r="P938" s="49" t="s">
        <v>480</v>
      </c>
      <c r="Q938" s="15">
        <f t="shared" si="179"/>
        <v>42</v>
      </c>
      <c r="R938" s="49" t="str">
        <f t="shared" si="180"/>
        <v>金币</v>
      </c>
      <c r="S938" s="15">
        <f t="shared" si="181"/>
        <v>20000</v>
      </c>
      <c r="T938" s="15" t="str">
        <f t="shared" si="182"/>
        <v>高级专属强化石</v>
      </c>
      <c r="U938" s="15">
        <f t="shared" si="183"/>
        <v>5</v>
      </c>
      <c r="V938" s="15" t="str">
        <f t="shared" si="184"/>
        <v>[x]</v>
      </c>
      <c r="W938" s="15" t="str">
        <f t="shared" si="185"/>
        <v>[x]</v>
      </c>
      <c r="X938" s="15">
        <f t="shared" si="186"/>
        <v>0.1</v>
      </c>
      <c r="Y938" s="15">
        <f t="shared" si="187"/>
        <v>1</v>
      </c>
      <c r="Z938" s="15">
        <f t="shared" si="188"/>
        <v>45</v>
      </c>
      <c r="AA938" s="15">
        <f t="shared" si="189"/>
        <v>0.73329999999999995</v>
      </c>
    </row>
    <row r="939" spans="13:27" ht="16.5" x14ac:dyDescent="0.2">
      <c r="M939" s="15">
        <v>860</v>
      </c>
      <c r="N939" s="15">
        <f t="shared" si="178"/>
        <v>17</v>
      </c>
      <c r="O939" s="15">
        <f>INDEX(卡牌消耗!$H$13:$H$33,世界BOSS专属武器!N939)</f>
        <v>1501017</v>
      </c>
      <c r="P939" s="49" t="s">
        <v>480</v>
      </c>
      <c r="Q939" s="15">
        <f t="shared" si="179"/>
        <v>43</v>
      </c>
      <c r="R939" s="49" t="str">
        <f t="shared" si="180"/>
        <v>金币</v>
      </c>
      <c r="S939" s="15">
        <f t="shared" si="181"/>
        <v>20000</v>
      </c>
      <c r="T939" s="15" t="str">
        <f t="shared" si="182"/>
        <v>高级专属强化石</v>
      </c>
      <c r="U939" s="15">
        <f t="shared" si="183"/>
        <v>5</v>
      </c>
      <c r="V939" s="15" t="str">
        <f t="shared" si="184"/>
        <v>[x]</v>
      </c>
      <c r="W939" s="15" t="str">
        <f t="shared" si="185"/>
        <v>[x]</v>
      </c>
      <c r="X939" s="15">
        <f t="shared" si="186"/>
        <v>0.1</v>
      </c>
      <c r="Y939" s="15">
        <f t="shared" si="187"/>
        <v>1</v>
      </c>
      <c r="Z939" s="15">
        <f t="shared" si="188"/>
        <v>50</v>
      </c>
      <c r="AA939" s="15">
        <f t="shared" si="189"/>
        <v>0.76670000000000005</v>
      </c>
    </row>
    <row r="940" spans="13:27" ht="16.5" x14ac:dyDescent="0.2">
      <c r="M940" s="15">
        <v>861</v>
      </c>
      <c r="N940" s="15">
        <f t="shared" si="178"/>
        <v>17</v>
      </c>
      <c r="O940" s="15">
        <f>INDEX(卡牌消耗!$H$13:$H$33,世界BOSS专属武器!N940)</f>
        <v>1501017</v>
      </c>
      <c r="P940" s="49" t="s">
        <v>480</v>
      </c>
      <c r="Q940" s="15">
        <f t="shared" si="179"/>
        <v>44</v>
      </c>
      <c r="R940" s="49" t="str">
        <f t="shared" si="180"/>
        <v>金币</v>
      </c>
      <c r="S940" s="15">
        <f t="shared" si="181"/>
        <v>20000</v>
      </c>
      <c r="T940" s="15" t="str">
        <f t="shared" si="182"/>
        <v>高级专属强化石</v>
      </c>
      <c r="U940" s="15">
        <f t="shared" si="183"/>
        <v>5</v>
      </c>
      <c r="V940" s="15" t="str">
        <f t="shared" si="184"/>
        <v>[x]</v>
      </c>
      <c r="W940" s="15" t="str">
        <f t="shared" si="185"/>
        <v>[x]</v>
      </c>
      <c r="X940" s="15">
        <f t="shared" si="186"/>
        <v>0.1</v>
      </c>
      <c r="Y940" s="15">
        <f t="shared" si="187"/>
        <v>1</v>
      </c>
      <c r="Z940" s="15">
        <f t="shared" si="188"/>
        <v>55</v>
      </c>
      <c r="AA940" s="15">
        <f t="shared" si="189"/>
        <v>0.8</v>
      </c>
    </row>
    <row r="941" spans="13:27" ht="16.5" x14ac:dyDescent="0.2">
      <c r="M941" s="15">
        <v>862</v>
      </c>
      <c r="N941" s="15">
        <f t="shared" si="178"/>
        <v>17</v>
      </c>
      <c r="O941" s="15">
        <f>INDEX(卡牌消耗!$H$13:$H$33,世界BOSS专属武器!N941)</f>
        <v>1501017</v>
      </c>
      <c r="P941" s="49" t="s">
        <v>480</v>
      </c>
      <c r="Q941" s="15">
        <f t="shared" si="179"/>
        <v>45</v>
      </c>
      <c r="R941" s="49" t="str">
        <f t="shared" si="180"/>
        <v>金币</v>
      </c>
      <c r="S941" s="15">
        <f t="shared" si="181"/>
        <v>20000</v>
      </c>
      <c r="T941" s="15" t="str">
        <f t="shared" si="182"/>
        <v>高级专属强化石</v>
      </c>
      <c r="U941" s="15">
        <f t="shared" si="183"/>
        <v>6</v>
      </c>
      <c r="V941" s="15" t="str">
        <f t="shared" si="184"/>
        <v>[x]</v>
      </c>
      <c r="W941" s="15" t="str">
        <f t="shared" si="185"/>
        <v>[x]</v>
      </c>
      <c r="X941" s="15">
        <f t="shared" si="186"/>
        <v>0.1</v>
      </c>
      <c r="Y941" s="15">
        <f t="shared" si="187"/>
        <v>1</v>
      </c>
      <c r="Z941" s="15">
        <f t="shared" si="188"/>
        <v>60</v>
      </c>
      <c r="AA941" s="15">
        <f t="shared" si="189"/>
        <v>0.83330000000000004</v>
      </c>
    </row>
    <row r="942" spans="13:27" ht="16.5" x14ac:dyDescent="0.2">
      <c r="M942" s="15">
        <v>863</v>
      </c>
      <c r="N942" s="15">
        <f t="shared" si="178"/>
        <v>17</v>
      </c>
      <c r="O942" s="15">
        <f>INDEX(卡牌消耗!$H$13:$H$33,世界BOSS专属武器!N942)</f>
        <v>1501017</v>
      </c>
      <c r="P942" s="49" t="s">
        <v>480</v>
      </c>
      <c r="Q942" s="15">
        <f t="shared" si="179"/>
        <v>46</v>
      </c>
      <c r="R942" s="49" t="str">
        <f t="shared" si="180"/>
        <v>金币</v>
      </c>
      <c r="S942" s="15">
        <f t="shared" si="181"/>
        <v>20000</v>
      </c>
      <c r="T942" s="15" t="str">
        <f t="shared" si="182"/>
        <v>高级专属强化石</v>
      </c>
      <c r="U942" s="15">
        <f t="shared" si="183"/>
        <v>7</v>
      </c>
      <c r="V942" s="15" t="str">
        <f t="shared" si="184"/>
        <v>[x]</v>
      </c>
      <c r="W942" s="15" t="str">
        <f t="shared" si="185"/>
        <v>[x]</v>
      </c>
      <c r="X942" s="15">
        <f t="shared" si="186"/>
        <v>0.1</v>
      </c>
      <c r="Y942" s="15">
        <f t="shared" si="187"/>
        <v>1</v>
      </c>
      <c r="Z942" s="15">
        <f t="shared" si="188"/>
        <v>70</v>
      </c>
      <c r="AA942" s="15">
        <f t="shared" si="189"/>
        <v>0.86670000000000003</v>
      </c>
    </row>
    <row r="943" spans="13:27" ht="16.5" x14ac:dyDescent="0.2">
      <c r="M943" s="15">
        <v>864</v>
      </c>
      <c r="N943" s="15">
        <f t="shared" si="178"/>
        <v>17</v>
      </c>
      <c r="O943" s="15">
        <f>INDEX(卡牌消耗!$H$13:$H$33,世界BOSS专属武器!N943)</f>
        <v>1501017</v>
      </c>
      <c r="P943" s="49" t="s">
        <v>480</v>
      </c>
      <c r="Q943" s="15">
        <f t="shared" si="179"/>
        <v>47</v>
      </c>
      <c r="R943" s="49" t="str">
        <f t="shared" si="180"/>
        <v>金币</v>
      </c>
      <c r="S943" s="15">
        <f t="shared" si="181"/>
        <v>20000</v>
      </c>
      <c r="T943" s="15" t="str">
        <f t="shared" si="182"/>
        <v>高级专属强化石</v>
      </c>
      <c r="U943" s="15">
        <f t="shared" si="183"/>
        <v>8</v>
      </c>
      <c r="V943" s="15" t="str">
        <f t="shared" si="184"/>
        <v>[x]</v>
      </c>
      <c r="W943" s="15" t="str">
        <f t="shared" si="185"/>
        <v>[x]</v>
      </c>
      <c r="X943" s="15">
        <f t="shared" si="186"/>
        <v>0.1</v>
      </c>
      <c r="Y943" s="15">
        <f t="shared" si="187"/>
        <v>1</v>
      </c>
      <c r="Z943" s="15">
        <f t="shared" si="188"/>
        <v>80</v>
      </c>
      <c r="AA943" s="15">
        <f t="shared" si="189"/>
        <v>0.9</v>
      </c>
    </row>
    <row r="944" spans="13:27" ht="16.5" x14ac:dyDescent="0.2">
      <c r="M944" s="15">
        <v>865</v>
      </c>
      <c r="N944" s="15">
        <f t="shared" si="178"/>
        <v>17</v>
      </c>
      <c r="O944" s="15">
        <f>INDEX(卡牌消耗!$H$13:$H$33,世界BOSS专属武器!N944)</f>
        <v>1501017</v>
      </c>
      <c r="P944" s="49" t="s">
        <v>480</v>
      </c>
      <c r="Q944" s="15">
        <f t="shared" si="179"/>
        <v>48</v>
      </c>
      <c r="R944" s="49" t="str">
        <f t="shared" si="180"/>
        <v>金币</v>
      </c>
      <c r="S944" s="15">
        <f t="shared" si="181"/>
        <v>20000</v>
      </c>
      <c r="T944" s="15" t="str">
        <f t="shared" si="182"/>
        <v>高级专属强化石</v>
      </c>
      <c r="U944" s="15">
        <f t="shared" si="183"/>
        <v>9</v>
      </c>
      <c r="V944" s="15" t="str">
        <f t="shared" si="184"/>
        <v>[x]</v>
      </c>
      <c r="W944" s="15" t="str">
        <f t="shared" si="185"/>
        <v>[x]</v>
      </c>
      <c r="X944" s="15">
        <f t="shared" si="186"/>
        <v>0.1</v>
      </c>
      <c r="Y944" s="15">
        <f t="shared" si="187"/>
        <v>1</v>
      </c>
      <c r="Z944" s="15">
        <f t="shared" si="188"/>
        <v>100</v>
      </c>
      <c r="AA944" s="15">
        <f t="shared" si="189"/>
        <v>0.93330000000000002</v>
      </c>
    </row>
    <row r="945" spans="13:27" ht="16.5" x14ac:dyDescent="0.2">
      <c r="M945" s="15">
        <v>866</v>
      </c>
      <c r="N945" s="15">
        <f t="shared" si="178"/>
        <v>17</v>
      </c>
      <c r="O945" s="15">
        <f>INDEX(卡牌消耗!$H$13:$H$33,世界BOSS专属武器!N945)</f>
        <v>1501017</v>
      </c>
      <c r="P945" s="49" t="s">
        <v>480</v>
      </c>
      <c r="Q945" s="15">
        <f t="shared" si="179"/>
        <v>49</v>
      </c>
      <c r="R945" s="49" t="str">
        <f t="shared" si="180"/>
        <v>金币</v>
      </c>
      <c r="S945" s="15">
        <f t="shared" si="181"/>
        <v>20000</v>
      </c>
      <c r="T945" s="15" t="str">
        <f t="shared" si="182"/>
        <v>高级专属强化石</v>
      </c>
      <c r="U945" s="15">
        <f t="shared" si="183"/>
        <v>10</v>
      </c>
      <c r="V945" s="15" t="str">
        <f t="shared" si="184"/>
        <v>[x]</v>
      </c>
      <c r="W945" s="15" t="str">
        <f t="shared" si="185"/>
        <v>[x]</v>
      </c>
      <c r="X945" s="15">
        <f t="shared" si="186"/>
        <v>0.1</v>
      </c>
      <c r="Y945" s="15">
        <f t="shared" si="187"/>
        <v>1</v>
      </c>
      <c r="Z945" s="15">
        <f t="shared" si="188"/>
        <v>120</v>
      </c>
      <c r="AA945" s="15">
        <f t="shared" si="189"/>
        <v>0.9667</v>
      </c>
    </row>
    <row r="946" spans="13:27" ht="16.5" x14ac:dyDescent="0.2">
      <c r="M946" s="15">
        <v>867</v>
      </c>
      <c r="N946" s="15">
        <f t="shared" si="178"/>
        <v>17</v>
      </c>
      <c r="O946" s="15">
        <f>INDEX(卡牌消耗!$H$13:$H$33,世界BOSS专属武器!N946)</f>
        <v>1501017</v>
      </c>
      <c r="P946" s="49" t="s">
        <v>480</v>
      </c>
      <c r="Q946" s="15">
        <f t="shared" si="179"/>
        <v>50</v>
      </c>
      <c r="R946" s="49" t="str">
        <f t="shared" si="180"/>
        <v>金币</v>
      </c>
      <c r="S946" s="15">
        <f t="shared" si="181"/>
        <v>20000</v>
      </c>
      <c r="T946" s="15" t="str">
        <f t="shared" si="182"/>
        <v>高级专属强化石</v>
      </c>
      <c r="U946" s="15">
        <f t="shared" si="183"/>
        <v>15</v>
      </c>
      <c r="V946" s="15" t="str">
        <f t="shared" si="184"/>
        <v>[x]</v>
      </c>
      <c r="W946" s="15" t="str">
        <f t="shared" si="185"/>
        <v>[x]</v>
      </c>
      <c r="X946" s="15">
        <f t="shared" si="186"/>
        <v>0.1</v>
      </c>
      <c r="Y946" s="15">
        <f t="shared" si="187"/>
        <v>1</v>
      </c>
      <c r="Z946" s="15">
        <f t="shared" si="188"/>
        <v>150</v>
      </c>
      <c r="AA946" s="15">
        <f t="shared" si="189"/>
        <v>1</v>
      </c>
    </row>
    <row r="947" spans="13:27" ht="16.5" x14ac:dyDescent="0.2">
      <c r="M947" s="15">
        <v>868</v>
      </c>
      <c r="N947" s="15">
        <f t="shared" si="178"/>
        <v>18</v>
      </c>
      <c r="O947" s="15">
        <f>INDEX(卡牌消耗!$H$13:$H$33,世界BOSS专属武器!N947)</f>
        <v>1501018</v>
      </c>
      <c r="P947" s="49" t="s">
        <v>480</v>
      </c>
      <c r="Q947" s="15">
        <f t="shared" si="179"/>
        <v>0</v>
      </c>
      <c r="R947" s="49" t="str">
        <f t="shared" si="180"/>
        <v>[x]</v>
      </c>
      <c r="S947" s="15" t="str">
        <f t="shared" si="181"/>
        <v>[x]</v>
      </c>
      <c r="T947" s="15" t="str">
        <f t="shared" si="182"/>
        <v>[x]</v>
      </c>
      <c r="U947" s="15" t="str">
        <f t="shared" si="183"/>
        <v>[x]</v>
      </c>
      <c r="V947" s="15" t="str">
        <f t="shared" si="184"/>
        <v>[x]</v>
      </c>
      <c r="W947" s="15" t="str">
        <f t="shared" si="185"/>
        <v>[x]</v>
      </c>
      <c r="X947" s="15" t="str">
        <f t="shared" si="186"/>
        <v>[x]</v>
      </c>
      <c r="Y947" s="15" t="str">
        <f t="shared" si="187"/>
        <v>[x]</v>
      </c>
      <c r="Z947" s="15" t="str">
        <f t="shared" si="188"/>
        <v>[x]</v>
      </c>
      <c r="AA947" s="15" t="str">
        <f t="shared" si="189"/>
        <v>[x]</v>
      </c>
    </row>
    <row r="948" spans="13:27" ht="16.5" x14ac:dyDescent="0.2">
      <c r="M948" s="15">
        <v>869</v>
      </c>
      <c r="N948" s="15">
        <f t="shared" si="178"/>
        <v>18</v>
      </c>
      <c r="O948" s="15">
        <f>INDEX(卡牌消耗!$H$13:$H$33,世界BOSS专属武器!N948)</f>
        <v>1501018</v>
      </c>
      <c r="P948" s="49" t="s">
        <v>480</v>
      </c>
      <c r="Q948" s="15">
        <f t="shared" si="179"/>
        <v>1</v>
      </c>
      <c r="R948" s="49" t="str">
        <f t="shared" si="180"/>
        <v>金币</v>
      </c>
      <c r="S948" s="15">
        <f t="shared" si="181"/>
        <v>100</v>
      </c>
      <c r="T948" s="15" t="str">
        <f t="shared" si="182"/>
        <v>低级专属强化石</v>
      </c>
      <c r="U948" s="15">
        <f t="shared" si="183"/>
        <v>1</v>
      </c>
      <c r="V948" s="15" t="str">
        <f t="shared" si="184"/>
        <v>[x]</v>
      </c>
      <c r="W948" s="15" t="str">
        <f t="shared" si="185"/>
        <v>[x]</v>
      </c>
      <c r="X948" s="15">
        <f t="shared" si="186"/>
        <v>1</v>
      </c>
      <c r="Y948" s="15">
        <f t="shared" si="187"/>
        <v>1</v>
      </c>
      <c r="Z948" s="15">
        <f t="shared" si="188"/>
        <v>1</v>
      </c>
      <c r="AA948" s="15">
        <f t="shared" si="189"/>
        <v>6.7000000000000002E-3</v>
      </c>
    </row>
    <row r="949" spans="13:27" ht="16.5" x14ac:dyDescent="0.2">
      <c r="M949" s="15">
        <v>870</v>
      </c>
      <c r="N949" s="15">
        <f t="shared" si="178"/>
        <v>18</v>
      </c>
      <c r="O949" s="15">
        <f>INDEX(卡牌消耗!$H$13:$H$33,世界BOSS专属武器!N949)</f>
        <v>1501018</v>
      </c>
      <c r="P949" s="49" t="s">
        <v>480</v>
      </c>
      <c r="Q949" s="15">
        <f t="shared" si="179"/>
        <v>2</v>
      </c>
      <c r="R949" s="49" t="str">
        <f t="shared" si="180"/>
        <v>金币</v>
      </c>
      <c r="S949" s="15">
        <f t="shared" si="181"/>
        <v>200</v>
      </c>
      <c r="T949" s="15" t="str">
        <f t="shared" si="182"/>
        <v>低级专属强化石</v>
      </c>
      <c r="U949" s="15">
        <f t="shared" si="183"/>
        <v>1</v>
      </c>
      <c r="V949" s="15" t="str">
        <f t="shared" si="184"/>
        <v>[x]</v>
      </c>
      <c r="W949" s="15" t="str">
        <f t="shared" si="185"/>
        <v>[x]</v>
      </c>
      <c r="X949" s="15">
        <f t="shared" si="186"/>
        <v>0.5</v>
      </c>
      <c r="Y949" s="15">
        <f t="shared" si="187"/>
        <v>1</v>
      </c>
      <c r="Z949" s="15">
        <f t="shared" si="188"/>
        <v>2</v>
      </c>
      <c r="AA949" s="15">
        <f t="shared" si="189"/>
        <v>1.3299999999999999E-2</v>
      </c>
    </row>
    <row r="950" spans="13:27" ht="16.5" x14ac:dyDescent="0.2">
      <c r="M950" s="15">
        <v>871</v>
      </c>
      <c r="N950" s="15">
        <f t="shared" si="178"/>
        <v>18</v>
      </c>
      <c r="O950" s="15">
        <f>INDEX(卡牌消耗!$H$13:$H$33,世界BOSS专属武器!N950)</f>
        <v>1501018</v>
      </c>
      <c r="P950" s="49" t="s">
        <v>480</v>
      </c>
      <c r="Q950" s="15">
        <f t="shared" si="179"/>
        <v>3</v>
      </c>
      <c r="R950" s="49" t="str">
        <f t="shared" si="180"/>
        <v>金币</v>
      </c>
      <c r="S950" s="15">
        <f t="shared" si="181"/>
        <v>300</v>
      </c>
      <c r="T950" s="15" t="str">
        <f t="shared" si="182"/>
        <v>低级专属强化石</v>
      </c>
      <c r="U950" s="15">
        <f t="shared" si="183"/>
        <v>2</v>
      </c>
      <c r="V950" s="15" t="str">
        <f t="shared" si="184"/>
        <v>[x]</v>
      </c>
      <c r="W950" s="15" t="str">
        <f t="shared" si="185"/>
        <v>[x]</v>
      </c>
      <c r="X950" s="15">
        <f t="shared" si="186"/>
        <v>0.48</v>
      </c>
      <c r="Y950" s="15">
        <f t="shared" si="187"/>
        <v>1</v>
      </c>
      <c r="Z950" s="15">
        <f t="shared" si="188"/>
        <v>3</v>
      </c>
      <c r="AA950" s="15">
        <f t="shared" si="189"/>
        <v>0.02</v>
      </c>
    </row>
    <row r="951" spans="13:27" ht="16.5" x14ac:dyDescent="0.2">
      <c r="M951" s="15">
        <v>872</v>
      </c>
      <c r="N951" s="15">
        <f t="shared" si="178"/>
        <v>18</v>
      </c>
      <c r="O951" s="15">
        <f>INDEX(卡牌消耗!$H$13:$H$33,世界BOSS专属武器!N951)</f>
        <v>1501018</v>
      </c>
      <c r="P951" s="49" t="s">
        <v>480</v>
      </c>
      <c r="Q951" s="15">
        <f t="shared" si="179"/>
        <v>4</v>
      </c>
      <c r="R951" s="49" t="str">
        <f t="shared" si="180"/>
        <v>金币</v>
      </c>
      <c r="S951" s="15">
        <f t="shared" si="181"/>
        <v>400</v>
      </c>
      <c r="T951" s="15" t="str">
        <f t="shared" si="182"/>
        <v>低级专属强化石</v>
      </c>
      <c r="U951" s="15">
        <f t="shared" si="183"/>
        <v>3</v>
      </c>
      <c r="V951" s="15" t="str">
        <f t="shared" si="184"/>
        <v>[x]</v>
      </c>
      <c r="W951" s="15" t="str">
        <f t="shared" si="185"/>
        <v>[x]</v>
      </c>
      <c r="X951" s="15">
        <f t="shared" si="186"/>
        <v>0.46</v>
      </c>
      <c r="Y951" s="15">
        <f t="shared" si="187"/>
        <v>1</v>
      </c>
      <c r="Z951" s="15">
        <f t="shared" si="188"/>
        <v>3</v>
      </c>
      <c r="AA951" s="15">
        <f t="shared" si="189"/>
        <v>2.6700000000000002E-2</v>
      </c>
    </row>
    <row r="952" spans="13:27" ht="16.5" x14ac:dyDescent="0.2">
      <c r="M952" s="15">
        <v>873</v>
      </c>
      <c r="N952" s="15">
        <f t="shared" si="178"/>
        <v>18</v>
      </c>
      <c r="O952" s="15">
        <f>INDEX(卡牌消耗!$H$13:$H$33,世界BOSS专属武器!N952)</f>
        <v>1501018</v>
      </c>
      <c r="P952" s="49" t="s">
        <v>480</v>
      </c>
      <c r="Q952" s="15">
        <f t="shared" si="179"/>
        <v>5</v>
      </c>
      <c r="R952" s="49" t="str">
        <f t="shared" si="180"/>
        <v>金币</v>
      </c>
      <c r="S952" s="15">
        <f t="shared" si="181"/>
        <v>500</v>
      </c>
      <c r="T952" s="15" t="str">
        <f t="shared" si="182"/>
        <v>低级专属强化石</v>
      </c>
      <c r="U952" s="15">
        <f t="shared" si="183"/>
        <v>4</v>
      </c>
      <c r="V952" s="15" t="str">
        <f t="shared" si="184"/>
        <v>[x]</v>
      </c>
      <c r="W952" s="15" t="str">
        <f t="shared" si="185"/>
        <v>[x]</v>
      </c>
      <c r="X952" s="15">
        <f t="shared" si="186"/>
        <v>0.44</v>
      </c>
      <c r="Y952" s="15">
        <f t="shared" si="187"/>
        <v>1</v>
      </c>
      <c r="Z952" s="15">
        <f t="shared" si="188"/>
        <v>3</v>
      </c>
      <c r="AA952" s="15">
        <f t="shared" si="189"/>
        <v>3.3300000000000003E-2</v>
      </c>
    </row>
    <row r="953" spans="13:27" ht="16.5" x14ac:dyDescent="0.2">
      <c r="M953" s="15">
        <v>874</v>
      </c>
      <c r="N953" s="15">
        <f t="shared" si="178"/>
        <v>18</v>
      </c>
      <c r="O953" s="15">
        <f>INDEX(卡牌消耗!$H$13:$H$33,世界BOSS专属武器!N953)</f>
        <v>1501018</v>
      </c>
      <c r="P953" s="49" t="s">
        <v>480</v>
      </c>
      <c r="Q953" s="15">
        <f t="shared" si="179"/>
        <v>6</v>
      </c>
      <c r="R953" s="49" t="str">
        <f t="shared" si="180"/>
        <v>金币</v>
      </c>
      <c r="S953" s="15">
        <f t="shared" si="181"/>
        <v>600</v>
      </c>
      <c r="T953" s="15" t="str">
        <f t="shared" si="182"/>
        <v>低级专属强化石</v>
      </c>
      <c r="U953" s="15">
        <f t="shared" si="183"/>
        <v>5</v>
      </c>
      <c r="V953" s="15" t="str">
        <f t="shared" si="184"/>
        <v>[x]</v>
      </c>
      <c r="W953" s="15" t="str">
        <f t="shared" si="185"/>
        <v>[x]</v>
      </c>
      <c r="X953" s="15">
        <f t="shared" si="186"/>
        <v>0.42</v>
      </c>
      <c r="Y953" s="15">
        <f t="shared" si="187"/>
        <v>1</v>
      </c>
      <c r="Z953" s="15">
        <f t="shared" si="188"/>
        <v>4</v>
      </c>
      <c r="AA953" s="15">
        <f t="shared" si="189"/>
        <v>0.04</v>
      </c>
    </row>
    <row r="954" spans="13:27" ht="16.5" x14ac:dyDescent="0.2">
      <c r="M954" s="15">
        <v>875</v>
      </c>
      <c r="N954" s="15">
        <f t="shared" si="178"/>
        <v>18</v>
      </c>
      <c r="O954" s="15">
        <f>INDEX(卡牌消耗!$H$13:$H$33,世界BOSS专属武器!N954)</f>
        <v>1501018</v>
      </c>
      <c r="P954" s="49" t="s">
        <v>480</v>
      </c>
      <c r="Q954" s="15">
        <f t="shared" si="179"/>
        <v>7</v>
      </c>
      <c r="R954" s="49" t="str">
        <f t="shared" si="180"/>
        <v>金币</v>
      </c>
      <c r="S954" s="15">
        <f t="shared" si="181"/>
        <v>700</v>
      </c>
      <c r="T954" s="15" t="str">
        <f t="shared" si="182"/>
        <v>低级专属强化石</v>
      </c>
      <c r="U954" s="15">
        <f t="shared" si="183"/>
        <v>5</v>
      </c>
      <c r="V954" s="15" t="str">
        <f t="shared" si="184"/>
        <v>[x]</v>
      </c>
      <c r="W954" s="15" t="str">
        <f t="shared" si="185"/>
        <v>[x]</v>
      </c>
      <c r="X954" s="15">
        <f t="shared" si="186"/>
        <v>0.4</v>
      </c>
      <c r="Y954" s="15">
        <f t="shared" si="187"/>
        <v>1</v>
      </c>
      <c r="Z954" s="15">
        <f t="shared" si="188"/>
        <v>4</v>
      </c>
      <c r="AA954" s="15">
        <f t="shared" si="189"/>
        <v>4.6699999999999998E-2</v>
      </c>
    </row>
    <row r="955" spans="13:27" ht="16.5" x14ac:dyDescent="0.2">
      <c r="M955" s="15">
        <v>876</v>
      </c>
      <c r="N955" s="15">
        <f t="shared" si="178"/>
        <v>18</v>
      </c>
      <c r="O955" s="15">
        <f>INDEX(卡牌消耗!$H$13:$H$33,世界BOSS专属武器!N955)</f>
        <v>1501018</v>
      </c>
      <c r="P955" s="49" t="s">
        <v>480</v>
      </c>
      <c r="Q955" s="15">
        <f t="shared" si="179"/>
        <v>8</v>
      </c>
      <c r="R955" s="49" t="str">
        <f t="shared" si="180"/>
        <v>金币</v>
      </c>
      <c r="S955" s="15">
        <f t="shared" si="181"/>
        <v>800</v>
      </c>
      <c r="T955" s="15" t="str">
        <f t="shared" si="182"/>
        <v>低级专属强化石</v>
      </c>
      <c r="U955" s="15">
        <f t="shared" si="183"/>
        <v>5</v>
      </c>
      <c r="V955" s="15" t="str">
        <f t="shared" si="184"/>
        <v>[x]</v>
      </c>
      <c r="W955" s="15" t="str">
        <f t="shared" si="185"/>
        <v>[x]</v>
      </c>
      <c r="X955" s="15">
        <f t="shared" si="186"/>
        <v>0.38</v>
      </c>
      <c r="Y955" s="15">
        <f t="shared" si="187"/>
        <v>1</v>
      </c>
      <c r="Z955" s="15">
        <f t="shared" si="188"/>
        <v>5</v>
      </c>
      <c r="AA955" s="15">
        <f t="shared" si="189"/>
        <v>5.33E-2</v>
      </c>
    </row>
    <row r="956" spans="13:27" ht="16.5" x14ac:dyDescent="0.2">
      <c r="M956" s="15">
        <v>877</v>
      </c>
      <c r="N956" s="15">
        <f t="shared" si="178"/>
        <v>18</v>
      </c>
      <c r="O956" s="15">
        <f>INDEX(卡牌消耗!$H$13:$H$33,世界BOSS专属武器!N956)</f>
        <v>1501018</v>
      </c>
      <c r="P956" s="49" t="s">
        <v>480</v>
      </c>
      <c r="Q956" s="15">
        <f t="shared" si="179"/>
        <v>9</v>
      </c>
      <c r="R956" s="49" t="str">
        <f t="shared" si="180"/>
        <v>金币</v>
      </c>
      <c r="S956" s="15">
        <f t="shared" si="181"/>
        <v>900</v>
      </c>
      <c r="T956" s="15" t="str">
        <f t="shared" si="182"/>
        <v>低级专属强化石</v>
      </c>
      <c r="U956" s="15">
        <f t="shared" si="183"/>
        <v>5</v>
      </c>
      <c r="V956" s="15" t="str">
        <f t="shared" si="184"/>
        <v>[x]</v>
      </c>
      <c r="W956" s="15" t="str">
        <f t="shared" si="185"/>
        <v>[x]</v>
      </c>
      <c r="X956" s="15">
        <f t="shared" si="186"/>
        <v>0.36</v>
      </c>
      <c r="Y956" s="15">
        <f t="shared" si="187"/>
        <v>1</v>
      </c>
      <c r="Z956" s="15">
        <f t="shared" si="188"/>
        <v>5</v>
      </c>
      <c r="AA956" s="15">
        <f t="shared" si="189"/>
        <v>0.06</v>
      </c>
    </row>
    <row r="957" spans="13:27" ht="16.5" x14ac:dyDescent="0.2">
      <c r="M957" s="15">
        <v>878</v>
      </c>
      <c r="N957" s="15">
        <f t="shared" si="178"/>
        <v>18</v>
      </c>
      <c r="O957" s="15">
        <f>INDEX(卡牌消耗!$H$13:$H$33,世界BOSS专属武器!N957)</f>
        <v>1501018</v>
      </c>
      <c r="P957" s="49" t="s">
        <v>480</v>
      </c>
      <c r="Q957" s="15">
        <f t="shared" si="179"/>
        <v>10</v>
      </c>
      <c r="R957" s="49" t="str">
        <f t="shared" si="180"/>
        <v>金币</v>
      </c>
      <c r="S957" s="15">
        <f t="shared" si="181"/>
        <v>1000</v>
      </c>
      <c r="T957" s="15" t="str">
        <f t="shared" si="182"/>
        <v>低级专属强化石</v>
      </c>
      <c r="U957" s="15">
        <f t="shared" si="183"/>
        <v>7</v>
      </c>
      <c r="V957" s="15" t="str">
        <f t="shared" si="184"/>
        <v>[x]</v>
      </c>
      <c r="W957" s="15" t="str">
        <f t="shared" si="185"/>
        <v>[x]</v>
      </c>
      <c r="X957" s="15">
        <f t="shared" si="186"/>
        <v>0.35</v>
      </c>
      <c r="Y957" s="15">
        <f t="shared" si="187"/>
        <v>1</v>
      </c>
      <c r="Z957" s="15">
        <f t="shared" si="188"/>
        <v>5</v>
      </c>
      <c r="AA957" s="15">
        <f t="shared" si="189"/>
        <v>6.6699999999999995E-2</v>
      </c>
    </row>
    <row r="958" spans="13:27" ht="16.5" x14ac:dyDescent="0.2">
      <c r="M958" s="15">
        <v>879</v>
      </c>
      <c r="N958" s="15">
        <f t="shared" si="178"/>
        <v>18</v>
      </c>
      <c r="O958" s="15">
        <f>INDEX(卡牌消耗!$H$13:$H$33,世界BOSS专属武器!N958)</f>
        <v>1501018</v>
      </c>
      <c r="P958" s="49" t="s">
        <v>480</v>
      </c>
      <c r="Q958" s="15">
        <f t="shared" si="179"/>
        <v>11</v>
      </c>
      <c r="R958" s="49" t="str">
        <f t="shared" si="180"/>
        <v>金币</v>
      </c>
      <c r="S958" s="15">
        <f t="shared" si="181"/>
        <v>1000</v>
      </c>
      <c r="T958" s="15" t="str">
        <f t="shared" si="182"/>
        <v>低级专属强化石</v>
      </c>
      <c r="U958" s="15">
        <f t="shared" si="183"/>
        <v>7</v>
      </c>
      <c r="V958" s="15" t="str">
        <f t="shared" si="184"/>
        <v>[x]</v>
      </c>
      <c r="W958" s="15" t="str">
        <f t="shared" si="185"/>
        <v>[x]</v>
      </c>
      <c r="X958" s="15">
        <f t="shared" si="186"/>
        <v>0.33</v>
      </c>
      <c r="Y958" s="15">
        <f t="shared" si="187"/>
        <v>1</v>
      </c>
      <c r="Z958" s="15">
        <f t="shared" si="188"/>
        <v>6</v>
      </c>
      <c r="AA958" s="15">
        <f t="shared" si="189"/>
        <v>0.08</v>
      </c>
    </row>
    <row r="959" spans="13:27" ht="16.5" x14ac:dyDescent="0.2">
      <c r="M959" s="15">
        <v>880</v>
      </c>
      <c r="N959" s="15">
        <f t="shared" si="178"/>
        <v>18</v>
      </c>
      <c r="O959" s="15">
        <f>INDEX(卡牌消耗!$H$13:$H$33,世界BOSS专属武器!N959)</f>
        <v>1501018</v>
      </c>
      <c r="P959" s="49" t="s">
        <v>480</v>
      </c>
      <c r="Q959" s="15">
        <f t="shared" si="179"/>
        <v>12</v>
      </c>
      <c r="R959" s="49" t="str">
        <f t="shared" si="180"/>
        <v>金币</v>
      </c>
      <c r="S959" s="15">
        <f t="shared" si="181"/>
        <v>1000</v>
      </c>
      <c r="T959" s="15" t="str">
        <f t="shared" si="182"/>
        <v>低级专属强化石</v>
      </c>
      <c r="U959" s="15">
        <f t="shared" si="183"/>
        <v>7</v>
      </c>
      <c r="V959" s="15" t="str">
        <f t="shared" si="184"/>
        <v>[x]</v>
      </c>
      <c r="W959" s="15" t="str">
        <f t="shared" si="185"/>
        <v>[x]</v>
      </c>
      <c r="X959" s="15">
        <f t="shared" si="186"/>
        <v>0.31</v>
      </c>
      <c r="Y959" s="15">
        <f t="shared" si="187"/>
        <v>1</v>
      </c>
      <c r="Z959" s="15">
        <f t="shared" si="188"/>
        <v>6</v>
      </c>
      <c r="AA959" s="15">
        <f t="shared" si="189"/>
        <v>9.3299999999999994E-2</v>
      </c>
    </row>
    <row r="960" spans="13:27" ht="16.5" x14ac:dyDescent="0.2">
      <c r="M960" s="15">
        <v>881</v>
      </c>
      <c r="N960" s="15">
        <f t="shared" si="178"/>
        <v>18</v>
      </c>
      <c r="O960" s="15">
        <f>INDEX(卡牌消耗!$H$13:$H$33,世界BOSS专属武器!N960)</f>
        <v>1501018</v>
      </c>
      <c r="P960" s="49" t="s">
        <v>480</v>
      </c>
      <c r="Q960" s="15">
        <f t="shared" si="179"/>
        <v>13</v>
      </c>
      <c r="R960" s="49" t="str">
        <f t="shared" si="180"/>
        <v>金币</v>
      </c>
      <c r="S960" s="15">
        <f t="shared" si="181"/>
        <v>1000</v>
      </c>
      <c r="T960" s="15" t="str">
        <f t="shared" si="182"/>
        <v>低级专属强化石</v>
      </c>
      <c r="U960" s="15">
        <f t="shared" si="183"/>
        <v>7</v>
      </c>
      <c r="V960" s="15" t="str">
        <f t="shared" si="184"/>
        <v>[x]</v>
      </c>
      <c r="W960" s="15" t="str">
        <f t="shared" si="185"/>
        <v>[x]</v>
      </c>
      <c r="X960" s="15">
        <f t="shared" si="186"/>
        <v>0.28999999999999998</v>
      </c>
      <c r="Y960" s="15">
        <f t="shared" si="187"/>
        <v>1</v>
      </c>
      <c r="Z960" s="15">
        <f t="shared" si="188"/>
        <v>7</v>
      </c>
      <c r="AA960" s="15">
        <f t="shared" si="189"/>
        <v>0.1067</v>
      </c>
    </row>
    <row r="961" spans="13:27" ht="16.5" x14ac:dyDescent="0.2">
      <c r="M961" s="15">
        <v>882</v>
      </c>
      <c r="N961" s="15">
        <f t="shared" si="178"/>
        <v>18</v>
      </c>
      <c r="O961" s="15">
        <f>INDEX(卡牌消耗!$H$13:$H$33,世界BOSS专属武器!N961)</f>
        <v>1501018</v>
      </c>
      <c r="P961" s="49" t="s">
        <v>480</v>
      </c>
      <c r="Q961" s="15">
        <f t="shared" si="179"/>
        <v>14</v>
      </c>
      <c r="R961" s="49" t="str">
        <f t="shared" si="180"/>
        <v>金币</v>
      </c>
      <c r="S961" s="15">
        <f t="shared" si="181"/>
        <v>1000</v>
      </c>
      <c r="T961" s="15" t="str">
        <f t="shared" si="182"/>
        <v>低级专属强化石</v>
      </c>
      <c r="U961" s="15">
        <f t="shared" si="183"/>
        <v>7</v>
      </c>
      <c r="V961" s="15" t="str">
        <f t="shared" si="184"/>
        <v>[x]</v>
      </c>
      <c r="W961" s="15" t="str">
        <f t="shared" si="185"/>
        <v>[x]</v>
      </c>
      <c r="X961" s="15">
        <f t="shared" si="186"/>
        <v>0.27</v>
      </c>
      <c r="Y961" s="15">
        <f t="shared" si="187"/>
        <v>1</v>
      </c>
      <c r="Z961" s="15">
        <f t="shared" si="188"/>
        <v>7</v>
      </c>
      <c r="AA961" s="15">
        <f t="shared" si="189"/>
        <v>0.12</v>
      </c>
    </row>
    <row r="962" spans="13:27" ht="16.5" x14ac:dyDescent="0.2">
      <c r="M962" s="15">
        <v>883</v>
      </c>
      <c r="N962" s="15">
        <f t="shared" si="178"/>
        <v>18</v>
      </c>
      <c r="O962" s="15">
        <f>INDEX(卡牌消耗!$H$13:$H$33,世界BOSS专属武器!N962)</f>
        <v>1501018</v>
      </c>
      <c r="P962" s="49" t="s">
        <v>480</v>
      </c>
      <c r="Q962" s="15">
        <f t="shared" si="179"/>
        <v>15</v>
      </c>
      <c r="R962" s="49" t="str">
        <f t="shared" si="180"/>
        <v>金币</v>
      </c>
      <c r="S962" s="15">
        <f t="shared" si="181"/>
        <v>1000</v>
      </c>
      <c r="T962" s="15" t="str">
        <f t="shared" si="182"/>
        <v>低级专属强化石</v>
      </c>
      <c r="U962" s="15">
        <f t="shared" si="183"/>
        <v>10</v>
      </c>
      <c r="V962" s="15" t="str">
        <f t="shared" si="184"/>
        <v>[x]</v>
      </c>
      <c r="W962" s="15" t="str">
        <f t="shared" si="185"/>
        <v>[x]</v>
      </c>
      <c r="X962" s="15">
        <f t="shared" si="186"/>
        <v>0.25</v>
      </c>
      <c r="Y962" s="15">
        <f t="shared" si="187"/>
        <v>1</v>
      </c>
      <c r="Z962" s="15">
        <f t="shared" si="188"/>
        <v>8</v>
      </c>
      <c r="AA962" s="15">
        <f t="shared" si="189"/>
        <v>0.1333</v>
      </c>
    </row>
    <row r="963" spans="13:27" ht="16.5" x14ac:dyDescent="0.2">
      <c r="M963" s="15">
        <v>884</v>
      </c>
      <c r="N963" s="15">
        <f t="shared" si="178"/>
        <v>18</v>
      </c>
      <c r="O963" s="15">
        <f>INDEX(卡牌消耗!$H$13:$H$33,世界BOSS专属武器!N963)</f>
        <v>1501018</v>
      </c>
      <c r="P963" s="49" t="s">
        <v>480</v>
      </c>
      <c r="Q963" s="15">
        <f t="shared" si="179"/>
        <v>16</v>
      </c>
      <c r="R963" s="49" t="str">
        <f t="shared" si="180"/>
        <v>金币</v>
      </c>
      <c r="S963" s="15">
        <f t="shared" si="181"/>
        <v>1000</v>
      </c>
      <c r="T963" s="15" t="str">
        <f t="shared" si="182"/>
        <v>低级专属强化石</v>
      </c>
      <c r="U963" s="15">
        <f t="shared" si="183"/>
        <v>10</v>
      </c>
      <c r="V963" s="15" t="str">
        <f t="shared" si="184"/>
        <v>[x]</v>
      </c>
      <c r="W963" s="15" t="str">
        <f t="shared" si="185"/>
        <v>[x]</v>
      </c>
      <c r="X963" s="15">
        <f t="shared" si="186"/>
        <v>0.23</v>
      </c>
      <c r="Y963" s="15">
        <f t="shared" si="187"/>
        <v>1</v>
      </c>
      <c r="Z963" s="15">
        <f t="shared" si="188"/>
        <v>9</v>
      </c>
      <c r="AA963" s="15">
        <f t="shared" si="189"/>
        <v>0.1467</v>
      </c>
    </row>
    <row r="964" spans="13:27" ht="16.5" x14ac:dyDescent="0.2">
      <c r="M964" s="15">
        <v>885</v>
      </c>
      <c r="N964" s="15">
        <f t="shared" si="178"/>
        <v>18</v>
      </c>
      <c r="O964" s="15">
        <f>INDEX(卡牌消耗!$H$13:$H$33,世界BOSS专属武器!N964)</f>
        <v>1501018</v>
      </c>
      <c r="P964" s="49" t="s">
        <v>480</v>
      </c>
      <c r="Q964" s="15">
        <f t="shared" si="179"/>
        <v>17</v>
      </c>
      <c r="R964" s="49" t="str">
        <f t="shared" si="180"/>
        <v>金币</v>
      </c>
      <c r="S964" s="15">
        <f t="shared" si="181"/>
        <v>1000</v>
      </c>
      <c r="T964" s="15" t="str">
        <f t="shared" si="182"/>
        <v>低级专属强化石</v>
      </c>
      <c r="U964" s="15">
        <f t="shared" si="183"/>
        <v>10</v>
      </c>
      <c r="V964" s="15" t="str">
        <f t="shared" si="184"/>
        <v>[x]</v>
      </c>
      <c r="W964" s="15" t="str">
        <f t="shared" si="185"/>
        <v>[x]</v>
      </c>
      <c r="X964" s="15">
        <f t="shared" si="186"/>
        <v>0.21</v>
      </c>
      <c r="Y964" s="15">
        <f t="shared" si="187"/>
        <v>1</v>
      </c>
      <c r="Z964" s="15">
        <f t="shared" si="188"/>
        <v>10</v>
      </c>
      <c r="AA964" s="15">
        <f t="shared" si="189"/>
        <v>0.16</v>
      </c>
    </row>
    <row r="965" spans="13:27" ht="16.5" x14ac:dyDescent="0.2">
      <c r="M965" s="15">
        <v>886</v>
      </c>
      <c r="N965" s="15">
        <f t="shared" si="178"/>
        <v>18</v>
      </c>
      <c r="O965" s="15">
        <f>INDEX(卡牌消耗!$H$13:$H$33,世界BOSS专属武器!N965)</f>
        <v>1501018</v>
      </c>
      <c r="P965" s="49" t="s">
        <v>480</v>
      </c>
      <c r="Q965" s="15">
        <f t="shared" si="179"/>
        <v>18</v>
      </c>
      <c r="R965" s="49" t="str">
        <f t="shared" si="180"/>
        <v>金币</v>
      </c>
      <c r="S965" s="15">
        <f t="shared" si="181"/>
        <v>1000</v>
      </c>
      <c r="T965" s="15" t="str">
        <f t="shared" si="182"/>
        <v>低级专属强化石</v>
      </c>
      <c r="U965" s="15">
        <f t="shared" si="183"/>
        <v>10</v>
      </c>
      <c r="V965" s="15" t="str">
        <f t="shared" si="184"/>
        <v>[x]</v>
      </c>
      <c r="W965" s="15" t="str">
        <f t="shared" si="185"/>
        <v>[x]</v>
      </c>
      <c r="X965" s="15">
        <f t="shared" si="186"/>
        <v>0.19</v>
      </c>
      <c r="Y965" s="15">
        <f t="shared" si="187"/>
        <v>1</v>
      </c>
      <c r="Z965" s="15">
        <f t="shared" si="188"/>
        <v>11</v>
      </c>
      <c r="AA965" s="15">
        <f t="shared" si="189"/>
        <v>0.17330000000000001</v>
      </c>
    </row>
    <row r="966" spans="13:27" ht="16.5" x14ac:dyDescent="0.2">
      <c r="M966" s="15">
        <v>887</v>
      </c>
      <c r="N966" s="15">
        <f t="shared" si="178"/>
        <v>18</v>
      </c>
      <c r="O966" s="15">
        <f>INDEX(卡牌消耗!$H$13:$H$33,世界BOSS专属武器!N966)</f>
        <v>1501018</v>
      </c>
      <c r="P966" s="49" t="s">
        <v>480</v>
      </c>
      <c r="Q966" s="15">
        <f t="shared" si="179"/>
        <v>19</v>
      </c>
      <c r="R966" s="49" t="str">
        <f t="shared" si="180"/>
        <v>金币</v>
      </c>
      <c r="S966" s="15">
        <f t="shared" si="181"/>
        <v>1000</v>
      </c>
      <c r="T966" s="15" t="str">
        <f t="shared" si="182"/>
        <v>低级专属强化石</v>
      </c>
      <c r="U966" s="15">
        <f t="shared" si="183"/>
        <v>10</v>
      </c>
      <c r="V966" s="15" t="str">
        <f t="shared" si="184"/>
        <v>[x]</v>
      </c>
      <c r="W966" s="15" t="str">
        <f t="shared" si="185"/>
        <v>[x]</v>
      </c>
      <c r="X966" s="15">
        <f t="shared" si="186"/>
        <v>0.17</v>
      </c>
      <c r="Y966" s="15">
        <f t="shared" si="187"/>
        <v>1</v>
      </c>
      <c r="Z966" s="15">
        <f t="shared" si="188"/>
        <v>12</v>
      </c>
      <c r="AA966" s="15">
        <f t="shared" si="189"/>
        <v>0.1867</v>
      </c>
    </row>
    <row r="967" spans="13:27" ht="16.5" x14ac:dyDescent="0.2">
      <c r="M967" s="15">
        <v>888</v>
      </c>
      <c r="N967" s="15">
        <f t="shared" si="178"/>
        <v>18</v>
      </c>
      <c r="O967" s="15">
        <f>INDEX(卡牌消耗!$H$13:$H$33,世界BOSS专属武器!N967)</f>
        <v>1501018</v>
      </c>
      <c r="P967" s="49" t="s">
        <v>480</v>
      </c>
      <c r="Q967" s="15">
        <f t="shared" si="179"/>
        <v>20</v>
      </c>
      <c r="R967" s="49" t="str">
        <f t="shared" si="180"/>
        <v>金币</v>
      </c>
      <c r="S967" s="15">
        <f t="shared" si="181"/>
        <v>5000</v>
      </c>
      <c r="T967" s="15" t="str">
        <f t="shared" si="182"/>
        <v>低级专属强化石</v>
      </c>
      <c r="U967" s="15">
        <f t="shared" si="183"/>
        <v>15</v>
      </c>
      <c r="V967" s="15" t="str">
        <f t="shared" si="184"/>
        <v>中级专属强化石</v>
      </c>
      <c r="W967" s="15">
        <f t="shared" si="185"/>
        <v>7</v>
      </c>
      <c r="X967" s="15">
        <f t="shared" si="186"/>
        <v>0.15</v>
      </c>
      <c r="Y967" s="15">
        <f t="shared" si="187"/>
        <v>1</v>
      </c>
      <c r="Z967" s="15">
        <f t="shared" si="188"/>
        <v>15</v>
      </c>
      <c r="AA967" s="15">
        <f t="shared" si="189"/>
        <v>0.2</v>
      </c>
    </row>
    <row r="968" spans="13:27" ht="16.5" x14ac:dyDescent="0.2">
      <c r="M968" s="15">
        <v>889</v>
      </c>
      <c r="N968" s="15">
        <f t="shared" si="178"/>
        <v>18</v>
      </c>
      <c r="O968" s="15">
        <f>INDEX(卡牌消耗!$H$13:$H$33,世界BOSS专属武器!N968)</f>
        <v>1501018</v>
      </c>
      <c r="P968" s="49" t="s">
        <v>480</v>
      </c>
      <c r="Q968" s="15">
        <f t="shared" si="179"/>
        <v>21</v>
      </c>
      <c r="R968" s="49" t="str">
        <f t="shared" si="180"/>
        <v>金币</v>
      </c>
      <c r="S968" s="15">
        <f t="shared" si="181"/>
        <v>5000</v>
      </c>
      <c r="T968" s="15" t="str">
        <f t="shared" si="182"/>
        <v>低级专属强化石</v>
      </c>
      <c r="U968" s="15">
        <f t="shared" si="183"/>
        <v>15</v>
      </c>
      <c r="V968" s="15" t="str">
        <f t="shared" si="184"/>
        <v>中级专属强化石</v>
      </c>
      <c r="W968" s="15">
        <f t="shared" si="185"/>
        <v>7</v>
      </c>
      <c r="X968" s="15">
        <f t="shared" si="186"/>
        <v>0.15</v>
      </c>
      <c r="Y968" s="15">
        <f t="shared" si="187"/>
        <v>1</v>
      </c>
      <c r="Z968" s="15">
        <f t="shared" si="188"/>
        <v>15</v>
      </c>
      <c r="AA968" s="15">
        <f t="shared" si="189"/>
        <v>0.22</v>
      </c>
    </row>
    <row r="969" spans="13:27" ht="16.5" x14ac:dyDescent="0.2">
      <c r="M969" s="15">
        <v>890</v>
      </c>
      <c r="N969" s="15">
        <f t="shared" si="178"/>
        <v>18</v>
      </c>
      <c r="O969" s="15">
        <f>INDEX(卡牌消耗!$H$13:$H$33,世界BOSS专属武器!N969)</f>
        <v>1501018</v>
      </c>
      <c r="P969" s="49" t="s">
        <v>480</v>
      </c>
      <c r="Q969" s="15">
        <f t="shared" si="179"/>
        <v>22</v>
      </c>
      <c r="R969" s="49" t="str">
        <f t="shared" si="180"/>
        <v>金币</v>
      </c>
      <c r="S969" s="15">
        <f t="shared" si="181"/>
        <v>5000</v>
      </c>
      <c r="T969" s="15" t="str">
        <f t="shared" si="182"/>
        <v>低级专属强化石</v>
      </c>
      <c r="U969" s="15">
        <f t="shared" si="183"/>
        <v>15</v>
      </c>
      <c r="V969" s="15" t="str">
        <f t="shared" si="184"/>
        <v>中级专属强化石</v>
      </c>
      <c r="W969" s="15">
        <f t="shared" si="185"/>
        <v>7</v>
      </c>
      <c r="X969" s="15">
        <f t="shared" si="186"/>
        <v>0.15</v>
      </c>
      <c r="Y969" s="15">
        <f t="shared" si="187"/>
        <v>1</v>
      </c>
      <c r="Z969" s="15">
        <f t="shared" si="188"/>
        <v>15</v>
      </c>
      <c r="AA969" s="15">
        <f t="shared" si="189"/>
        <v>0.24</v>
      </c>
    </row>
    <row r="970" spans="13:27" ht="16.5" x14ac:dyDescent="0.2">
      <c r="M970" s="15">
        <v>891</v>
      </c>
      <c r="N970" s="15">
        <f t="shared" si="178"/>
        <v>18</v>
      </c>
      <c r="O970" s="15">
        <f>INDEX(卡牌消耗!$H$13:$H$33,世界BOSS专属武器!N970)</f>
        <v>1501018</v>
      </c>
      <c r="P970" s="49" t="s">
        <v>480</v>
      </c>
      <c r="Q970" s="15">
        <f t="shared" si="179"/>
        <v>23</v>
      </c>
      <c r="R970" s="49" t="str">
        <f t="shared" si="180"/>
        <v>金币</v>
      </c>
      <c r="S970" s="15">
        <f t="shared" si="181"/>
        <v>5000</v>
      </c>
      <c r="T970" s="15" t="str">
        <f t="shared" si="182"/>
        <v>低级专属强化石</v>
      </c>
      <c r="U970" s="15">
        <f t="shared" si="183"/>
        <v>15</v>
      </c>
      <c r="V970" s="15" t="str">
        <f t="shared" si="184"/>
        <v>中级专属强化石</v>
      </c>
      <c r="W970" s="15">
        <f t="shared" si="185"/>
        <v>7</v>
      </c>
      <c r="X970" s="15">
        <f t="shared" si="186"/>
        <v>0.15</v>
      </c>
      <c r="Y970" s="15">
        <f t="shared" si="187"/>
        <v>1</v>
      </c>
      <c r="Z970" s="15">
        <f t="shared" si="188"/>
        <v>18</v>
      </c>
      <c r="AA970" s="15">
        <f t="shared" si="189"/>
        <v>0.26</v>
      </c>
    </row>
    <row r="971" spans="13:27" ht="16.5" x14ac:dyDescent="0.2">
      <c r="M971" s="15">
        <v>892</v>
      </c>
      <c r="N971" s="15">
        <f t="shared" si="178"/>
        <v>18</v>
      </c>
      <c r="O971" s="15">
        <f>INDEX(卡牌消耗!$H$13:$H$33,世界BOSS专属武器!N971)</f>
        <v>1501018</v>
      </c>
      <c r="P971" s="49" t="s">
        <v>480</v>
      </c>
      <c r="Q971" s="15">
        <f t="shared" si="179"/>
        <v>24</v>
      </c>
      <c r="R971" s="49" t="str">
        <f t="shared" si="180"/>
        <v>金币</v>
      </c>
      <c r="S971" s="15">
        <f t="shared" si="181"/>
        <v>5000</v>
      </c>
      <c r="T971" s="15" t="str">
        <f t="shared" si="182"/>
        <v>低级专属强化石</v>
      </c>
      <c r="U971" s="15">
        <f t="shared" si="183"/>
        <v>15</v>
      </c>
      <c r="V971" s="15" t="str">
        <f t="shared" si="184"/>
        <v>中级专属强化石</v>
      </c>
      <c r="W971" s="15">
        <f t="shared" si="185"/>
        <v>7</v>
      </c>
      <c r="X971" s="15">
        <f t="shared" si="186"/>
        <v>0.15</v>
      </c>
      <c r="Y971" s="15">
        <f t="shared" si="187"/>
        <v>1</v>
      </c>
      <c r="Z971" s="15">
        <f t="shared" si="188"/>
        <v>18</v>
      </c>
      <c r="AA971" s="15">
        <f t="shared" si="189"/>
        <v>0.28000000000000003</v>
      </c>
    </row>
    <row r="972" spans="13:27" ht="16.5" x14ac:dyDescent="0.2">
      <c r="M972" s="15">
        <v>893</v>
      </c>
      <c r="N972" s="15">
        <f t="shared" si="178"/>
        <v>18</v>
      </c>
      <c r="O972" s="15">
        <f>INDEX(卡牌消耗!$H$13:$H$33,世界BOSS专属武器!N972)</f>
        <v>1501018</v>
      </c>
      <c r="P972" s="49" t="s">
        <v>480</v>
      </c>
      <c r="Q972" s="15">
        <f t="shared" si="179"/>
        <v>25</v>
      </c>
      <c r="R972" s="49" t="str">
        <f t="shared" si="180"/>
        <v>金币</v>
      </c>
      <c r="S972" s="15">
        <f t="shared" si="181"/>
        <v>5000</v>
      </c>
      <c r="T972" s="15" t="str">
        <f t="shared" si="182"/>
        <v>低级专属强化石</v>
      </c>
      <c r="U972" s="15">
        <f t="shared" si="183"/>
        <v>15</v>
      </c>
      <c r="V972" s="15" t="str">
        <f t="shared" si="184"/>
        <v>中级专属强化石</v>
      </c>
      <c r="W972" s="15">
        <f t="shared" si="185"/>
        <v>7</v>
      </c>
      <c r="X972" s="15">
        <f t="shared" si="186"/>
        <v>0.15</v>
      </c>
      <c r="Y972" s="15">
        <f t="shared" si="187"/>
        <v>1</v>
      </c>
      <c r="Z972" s="15">
        <f t="shared" si="188"/>
        <v>18</v>
      </c>
      <c r="AA972" s="15">
        <f t="shared" si="189"/>
        <v>0.3</v>
      </c>
    </row>
    <row r="973" spans="13:27" ht="16.5" x14ac:dyDescent="0.2">
      <c r="M973" s="15">
        <v>894</v>
      </c>
      <c r="N973" s="15">
        <f t="shared" si="178"/>
        <v>18</v>
      </c>
      <c r="O973" s="15">
        <f>INDEX(卡牌消耗!$H$13:$H$33,世界BOSS专属武器!N973)</f>
        <v>1501018</v>
      </c>
      <c r="P973" s="49" t="s">
        <v>480</v>
      </c>
      <c r="Q973" s="15">
        <f t="shared" si="179"/>
        <v>26</v>
      </c>
      <c r="R973" s="49" t="str">
        <f t="shared" si="180"/>
        <v>金币</v>
      </c>
      <c r="S973" s="15">
        <f t="shared" si="181"/>
        <v>5000</v>
      </c>
      <c r="T973" s="15" t="str">
        <f t="shared" si="182"/>
        <v>低级专属强化石</v>
      </c>
      <c r="U973" s="15">
        <f t="shared" si="183"/>
        <v>15</v>
      </c>
      <c r="V973" s="15" t="str">
        <f t="shared" si="184"/>
        <v>中级专属强化石</v>
      </c>
      <c r="W973" s="15">
        <f t="shared" si="185"/>
        <v>7</v>
      </c>
      <c r="X973" s="15">
        <f t="shared" si="186"/>
        <v>0.15</v>
      </c>
      <c r="Y973" s="15">
        <f t="shared" si="187"/>
        <v>1</v>
      </c>
      <c r="Z973" s="15">
        <f t="shared" si="188"/>
        <v>21</v>
      </c>
      <c r="AA973" s="15">
        <f t="shared" si="189"/>
        <v>0.32</v>
      </c>
    </row>
    <row r="974" spans="13:27" ht="16.5" x14ac:dyDescent="0.2">
      <c r="M974" s="15">
        <v>895</v>
      </c>
      <c r="N974" s="15">
        <f t="shared" si="178"/>
        <v>18</v>
      </c>
      <c r="O974" s="15">
        <f>INDEX(卡牌消耗!$H$13:$H$33,世界BOSS专属武器!N974)</f>
        <v>1501018</v>
      </c>
      <c r="P974" s="49" t="s">
        <v>480</v>
      </c>
      <c r="Q974" s="15">
        <f t="shared" si="179"/>
        <v>27</v>
      </c>
      <c r="R974" s="49" t="str">
        <f t="shared" si="180"/>
        <v>金币</v>
      </c>
      <c r="S974" s="15">
        <f t="shared" si="181"/>
        <v>5000</v>
      </c>
      <c r="T974" s="15" t="str">
        <f t="shared" si="182"/>
        <v>低级专属强化石</v>
      </c>
      <c r="U974" s="15">
        <f t="shared" si="183"/>
        <v>15</v>
      </c>
      <c r="V974" s="15" t="str">
        <f t="shared" si="184"/>
        <v>中级专属强化石</v>
      </c>
      <c r="W974" s="15">
        <f t="shared" si="185"/>
        <v>7</v>
      </c>
      <c r="X974" s="15">
        <f t="shared" si="186"/>
        <v>0.15</v>
      </c>
      <c r="Y974" s="15">
        <f t="shared" si="187"/>
        <v>1</v>
      </c>
      <c r="Z974" s="15">
        <f t="shared" si="188"/>
        <v>22</v>
      </c>
      <c r="AA974" s="15">
        <f t="shared" si="189"/>
        <v>0.34</v>
      </c>
    </row>
    <row r="975" spans="13:27" ht="16.5" x14ac:dyDescent="0.2">
      <c r="M975" s="15">
        <v>896</v>
      </c>
      <c r="N975" s="15">
        <f t="shared" si="178"/>
        <v>18</v>
      </c>
      <c r="O975" s="15">
        <f>INDEX(卡牌消耗!$H$13:$H$33,世界BOSS专属武器!N975)</f>
        <v>1501018</v>
      </c>
      <c r="P975" s="49" t="s">
        <v>480</v>
      </c>
      <c r="Q975" s="15">
        <f t="shared" si="179"/>
        <v>28</v>
      </c>
      <c r="R975" s="49" t="str">
        <f t="shared" si="180"/>
        <v>金币</v>
      </c>
      <c r="S975" s="15">
        <f t="shared" si="181"/>
        <v>5000</v>
      </c>
      <c r="T975" s="15" t="str">
        <f t="shared" si="182"/>
        <v>低级专属强化石</v>
      </c>
      <c r="U975" s="15">
        <f t="shared" si="183"/>
        <v>15</v>
      </c>
      <c r="V975" s="15" t="str">
        <f t="shared" si="184"/>
        <v>中级专属强化石</v>
      </c>
      <c r="W975" s="15">
        <f t="shared" si="185"/>
        <v>7</v>
      </c>
      <c r="X975" s="15">
        <f t="shared" si="186"/>
        <v>0.15</v>
      </c>
      <c r="Y975" s="15">
        <f t="shared" si="187"/>
        <v>1</v>
      </c>
      <c r="Z975" s="15">
        <f t="shared" si="188"/>
        <v>23</v>
      </c>
      <c r="AA975" s="15">
        <f t="shared" si="189"/>
        <v>0.36</v>
      </c>
    </row>
    <row r="976" spans="13:27" ht="16.5" x14ac:dyDescent="0.2">
      <c r="M976" s="15">
        <v>897</v>
      </c>
      <c r="N976" s="15">
        <f t="shared" si="178"/>
        <v>18</v>
      </c>
      <c r="O976" s="15">
        <f>INDEX(卡牌消耗!$H$13:$H$33,世界BOSS专属武器!N976)</f>
        <v>1501018</v>
      </c>
      <c r="P976" s="49" t="s">
        <v>480</v>
      </c>
      <c r="Q976" s="15">
        <f t="shared" si="179"/>
        <v>29</v>
      </c>
      <c r="R976" s="49" t="str">
        <f t="shared" si="180"/>
        <v>金币</v>
      </c>
      <c r="S976" s="15">
        <f t="shared" si="181"/>
        <v>5000</v>
      </c>
      <c r="T976" s="15" t="str">
        <f t="shared" si="182"/>
        <v>低级专属强化石</v>
      </c>
      <c r="U976" s="15">
        <f t="shared" si="183"/>
        <v>15</v>
      </c>
      <c r="V976" s="15" t="str">
        <f t="shared" si="184"/>
        <v>中级专属强化石</v>
      </c>
      <c r="W976" s="15">
        <f t="shared" si="185"/>
        <v>7</v>
      </c>
      <c r="X976" s="15">
        <f t="shared" si="186"/>
        <v>0.15</v>
      </c>
      <c r="Y976" s="15">
        <f t="shared" si="187"/>
        <v>1</v>
      </c>
      <c r="Z976" s="15">
        <f t="shared" si="188"/>
        <v>25</v>
      </c>
      <c r="AA976" s="15">
        <f t="shared" si="189"/>
        <v>0.38</v>
      </c>
    </row>
    <row r="977" spans="13:27" ht="16.5" x14ac:dyDescent="0.2">
      <c r="M977" s="15">
        <v>898</v>
      </c>
      <c r="N977" s="15">
        <f t="shared" ref="N977:N1040" si="190">INT((M977-1)/51)+1</f>
        <v>18</v>
      </c>
      <c r="O977" s="15">
        <f>INDEX(卡牌消耗!$H$13:$H$33,世界BOSS专属武器!N977)</f>
        <v>1501018</v>
      </c>
      <c r="P977" s="49" t="s">
        <v>480</v>
      </c>
      <c r="Q977" s="15">
        <f t="shared" ref="Q977:Q1040" si="191">MOD(M977-1,51)</f>
        <v>30</v>
      </c>
      <c r="R977" s="49" t="str">
        <f t="shared" ref="R977:R1040" si="192">IF(Q977&gt;0,"金币","[x]")</f>
        <v>金币</v>
      </c>
      <c r="S977" s="15">
        <f t="shared" ref="S977:S1040" si="193">IF(Q977&gt;0,INDEX($V$27:$V$76,Q977),"[x]")</f>
        <v>10000</v>
      </c>
      <c r="T977" s="15" t="str">
        <f t="shared" ref="T977:T1040" si="194">IF(Q977&gt;0,INDEX($W$27:$W$76,Q977),"[x]")</f>
        <v>中级专属强化石</v>
      </c>
      <c r="U977" s="15">
        <f t="shared" ref="U977:U1040" si="195">IF(Q977&gt;0,INDEX($AA$27:$AF$76,Q977,INDEX($Y$27:$Y$76,Q977)),"[x]")</f>
        <v>8</v>
      </c>
      <c r="V977" s="15" t="str">
        <f t="shared" ref="V977:V1040" si="196">IF(AND(Q977&gt;=20,Q977&lt;40),INDEX($X$27:$X$76,Q977),"[x]")</f>
        <v>高级专属强化石</v>
      </c>
      <c r="W977" s="15">
        <f t="shared" ref="W977:W1040" si="197">IF(AND(Q977&gt;=20,Q977&lt;40),INDEX($AA$27:$AF$76,Q977,INDEX($Z$27:$Z$76,Q977)),"[x]")</f>
        <v>3</v>
      </c>
      <c r="X977" s="15">
        <f t="shared" ref="X977:X1040" si="198">IF(Q977&gt;0,INDEX($T$27:$T$76,Q977),"[x]")</f>
        <v>0.1</v>
      </c>
      <c r="Y977" s="15">
        <f t="shared" ref="Y977:Y1040" si="199">IF(Q977&gt;0,1,"[x]")</f>
        <v>1</v>
      </c>
      <c r="Z977" s="15">
        <f t="shared" ref="Z977:Z1040" si="200">IF(Q977&gt;0,INDEX($AG$27:$AG$76,Q977),"[x]")</f>
        <v>30</v>
      </c>
      <c r="AA977" s="15">
        <f t="shared" ref="AA977:AA1040" si="201">IF(Q977&gt;0,INDEX($AL$27:$AL$76,Q977),"[x]")</f>
        <v>0.4</v>
      </c>
    </row>
    <row r="978" spans="13:27" ht="16.5" x14ac:dyDescent="0.2">
      <c r="M978" s="15">
        <v>899</v>
      </c>
      <c r="N978" s="15">
        <f t="shared" si="190"/>
        <v>18</v>
      </c>
      <c r="O978" s="15">
        <f>INDEX(卡牌消耗!$H$13:$H$33,世界BOSS专属武器!N978)</f>
        <v>1501018</v>
      </c>
      <c r="P978" s="49" t="s">
        <v>480</v>
      </c>
      <c r="Q978" s="15">
        <f t="shared" si="191"/>
        <v>31</v>
      </c>
      <c r="R978" s="49" t="str">
        <f t="shared" si="192"/>
        <v>金币</v>
      </c>
      <c r="S978" s="15">
        <f t="shared" si="193"/>
        <v>10000</v>
      </c>
      <c r="T978" s="15" t="str">
        <f t="shared" si="194"/>
        <v>中级专属强化石</v>
      </c>
      <c r="U978" s="15">
        <f t="shared" si="195"/>
        <v>8</v>
      </c>
      <c r="V978" s="15" t="str">
        <f t="shared" si="196"/>
        <v>高级专属强化石</v>
      </c>
      <c r="W978" s="15">
        <f t="shared" si="197"/>
        <v>3</v>
      </c>
      <c r="X978" s="15">
        <f t="shared" si="198"/>
        <v>0.1</v>
      </c>
      <c r="Y978" s="15">
        <f t="shared" si="199"/>
        <v>1</v>
      </c>
      <c r="Z978" s="15">
        <f t="shared" si="200"/>
        <v>30</v>
      </c>
      <c r="AA978" s="15">
        <f t="shared" si="201"/>
        <v>0.42670000000000002</v>
      </c>
    </row>
    <row r="979" spans="13:27" ht="16.5" x14ac:dyDescent="0.2">
      <c r="M979" s="15">
        <v>900</v>
      </c>
      <c r="N979" s="15">
        <f t="shared" si="190"/>
        <v>18</v>
      </c>
      <c r="O979" s="15">
        <f>INDEX(卡牌消耗!$H$13:$H$33,世界BOSS专属武器!N979)</f>
        <v>1501018</v>
      </c>
      <c r="P979" s="49" t="s">
        <v>480</v>
      </c>
      <c r="Q979" s="15">
        <f t="shared" si="191"/>
        <v>32</v>
      </c>
      <c r="R979" s="49" t="str">
        <f t="shared" si="192"/>
        <v>金币</v>
      </c>
      <c r="S979" s="15">
        <f t="shared" si="193"/>
        <v>10000</v>
      </c>
      <c r="T979" s="15" t="str">
        <f t="shared" si="194"/>
        <v>中级专属强化石</v>
      </c>
      <c r="U979" s="15">
        <f t="shared" si="195"/>
        <v>8</v>
      </c>
      <c r="V979" s="15" t="str">
        <f t="shared" si="196"/>
        <v>高级专属强化石</v>
      </c>
      <c r="W979" s="15">
        <f t="shared" si="197"/>
        <v>3</v>
      </c>
      <c r="X979" s="15">
        <f t="shared" si="198"/>
        <v>0.1</v>
      </c>
      <c r="Y979" s="15">
        <f t="shared" si="199"/>
        <v>1</v>
      </c>
      <c r="Z979" s="15">
        <f t="shared" si="200"/>
        <v>30</v>
      </c>
      <c r="AA979" s="15">
        <f t="shared" si="201"/>
        <v>0.45329999999999998</v>
      </c>
    </row>
    <row r="980" spans="13:27" ht="16.5" x14ac:dyDescent="0.2">
      <c r="M980" s="15">
        <v>901</v>
      </c>
      <c r="N980" s="15">
        <f t="shared" si="190"/>
        <v>18</v>
      </c>
      <c r="O980" s="15">
        <f>INDEX(卡牌消耗!$H$13:$H$33,世界BOSS专属武器!N980)</f>
        <v>1501018</v>
      </c>
      <c r="P980" s="49" t="s">
        <v>480</v>
      </c>
      <c r="Q980" s="15">
        <f t="shared" si="191"/>
        <v>33</v>
      </c>
      <c r="R980" s="49" t="str">
        <f t="shared" si="192"/>
        <v>金币</v>
      </c>
      <c r="S980" s="15">
        <f t="shared" si="193"/>
        <v>10000</v>
      </c>
      <c r="T980" s="15" t="str">
        <f t="shared" si="194"/>
        <v>中级专属强化石</v>
      </c>
      <c r="U980" s="15">
        <f t="shared" si="195"/>
        <v>8</v>
      </c>
      <c r="V980" s="15" t="str">
        <f t="shared" si="196"/>
        <v>高级专属强化石</v>
      </c>
      <c r="W980" s="15">
        <f t="shared" si="197"/>
        <v>3</v>
      </c>
      <c r="X980" s="15">
        <f t="shared" si="198"/>
        <v>0.1</v>
      </c>
      <c r="Y980" s="15">
        <f t="shared" si="199"/>
        <v>1</v>
      </c>
      <c r="Z980" s="15">
        <f t="shared" si="200"/>
        <v>30</v>
      </c>
      <c r="AA980" s="15">
        <f t="shared" si="201"/>
        <v>0.48</v>
      </c>
    </row>
    <row r="981" spans="13:27" ht="16.5" x14ac:dyDescent="0.2">
      <c r="M981" s="15">
        <v>902</v>
      </c>
      <c r="N981" s="15">
        <f t="shared" si="190"/>
        <v>18</v>
      </c>
      <c r="O981" s="15">
        <f>INDEX(卡牌消耗!$H$13:$H$33,世界BOSS专属武器!N981)</f>
        <v>1501018</v>
      </c>
      <c r="P981" s="49" t="s">
        <v>480</v>
      </c>
      <c r="Q981" s="15">
        <f t="shared" si="191"/>
        <v>34</v>
      </c>
      <c r="R981" s="49" t="str">
        <f t="shared" si="192"/>
        <v>金币</v>
      </c>
      <c r="S981" s="15">
        <f t="shared" si="193"/>
        <v>10000</v>
      </c>
      <c r="T981" s="15" t="str">
        <f t="shared" si="194"/>
        <v>中级专属强化石</v>
      </c>
      <c r="U981" s="15">
        <f t="shared" si="195"/>
        <v>8</v>
      </c>
      <c r="V981" s="15" t="str">
        <f t="shared" si="196"/>
        <v>高级专属强化石</v>
      </c>
      <c r="W981" s="15">
        <f t="shared" si="197"/>
        <v>3</v>
      </c>
      <c r="X981" s="15">
        <f t="shared" si="198"/>
        <v>0.1</v>
      </c>
      <c r="Y981" s="15">
        <f t="shared" si="199"/>
        <v>1</v>
      </c>
      <c r="Z981" s="15">
        <f t="shared" si="200"/>
        <v>30</v>
      </c>
      <c r="AA981" s="15">
        <f t="shared" si="201"/>
        <v>0.50670000000000004</v>
      </c>
    </row>
    <row r="982" spans="13:27" ht="16.5" x14ac:dyDescent="0.2">
      <c r="M982" s="15">
        <v>903</v>
      </c>
      <c r="N982" s="15">
        <f t="shared" si="190"/>
        <v>18</v>
      </c>
      <c r="O982" s="15">
        <f>INDEX(卡牌消耗!$H$13:$H$33,世界BOSS专属武器!N982)</f>
        <v>1501018</v>
      </c>
      <c r="P982" s="49" t="s">
        <v>480</v>
      </c>
      <c r="Q982" s="15">
        <f t="shared" si="191"/>
        <v>35</v>
      </c>
      <c r="R982" s="49" t="str">
        <f t="shared" si="192"/>
        <v>金币</v>
      </c>
      <c r="S982" s="15">
        <f t="shared" si="193"/>
        <v>10000</v>
      </c>
      <c r="T982" s="15" t="str">
        <f t="shared" si="194"/>
        <v>中级专属强化石</v>
      </c>
      <c r="U982" s="15">
        <f t="shared" si="195"/>
        <v>8</v>
      </c>
      <c r="V982" s="15" t="str">
        <f t="shared" si="196"/>
        <v>高级专属强化石</v>
      </c>
      <c r="W982" s="15">
        <f t="shared" si="197"/>
        <v>3</v>
      </c>
      <c r="X982" s="15">
        <f t="shared" si="198"/>
        <v>0.1</v>
      </c>
      <c r="Y982" s="15">
        <f t="shared" si="199"/>
        <v>1</v>
      </c>
      <c r="Z982" s="15">
        <f t="shared" si="200"/>
        <v>30</v>
      </c>
      <c r="AA982" s="15">
        <f t="shared" si="201"/>
        <v>0.5333</v>
      </c>
    </row>
    <row r="983" spans="13:27" ht="16.5" x14ac:dyDescent="0.2">
      <c r="M983" s="15">
        <v>904</v>
      </c>
      <c r="N983" s="15">
        <f t="shared" si="190"/>
        <v>18</v>
      </c>
      <c r="O983" s="15">
        <f>INDEX(卡牌消耗!$H$13:$H$33,世界BOSS专属武器!N983)</f>
        <v>1501018</v>
      </c>
      <c r="P983" s="49" t="s">
        <v>480</v>
      </c>
      <c r="Q983" s="15">
        <f t="shared" si="191"/>
        <v>36</v>
      </c>
      <c r="R983" s="49" t="str">
        <f t="shared" si="192"/>
        <v>金币</v>
      </c>
      <c r="S983" s="15">
        <f t="shared" si="193"/>
        <v>10000</v>
      </c>
      <c r="T983" s="15" t="str">
        <f t="shared" si="194"/>
        <v>中级专属强化石</v>
      </c>
      <c r="U983" s="15">
        <f t="shared" si="195"/>
        <v>8</v>
      </c>
      <c r="V983" s="15" t="str">
        <f t="shared" si="196"/>
        <v>高级专属强化石</v>
      </c>
      <c r="W983" s="15">
        <f t="shared" si="197"/>
        <v>3</v>
      </c>
      <c r="X983" s="15">
        <f t="shared" si="198"/>
        <v>0.1</v>
      </c>
      <c r="Y983" s="15">
        <f t="shared" si="199"/>
        <v>1</v>
      </c>
      <c r="Z983" s="15">
        <f t="shared" si="200"/>
        <v>30</v>
      </c>
      <c r="AA983" s="15">
        <f t="shared" si="201"/>
        <v>0.56000000000000005</v>
      </c>
    </row>
    <row r="984" spans="13:27" ht="16.5" x14ac:dyDescent="0.2">
      <c r="M984" s="15">
        <v>905</v>
      </c>
      <c r="N984" s="15">
        <f t="shared" si="190"/>
        <v>18</v>
      </c>
      <c r="O984" s="15">
        <f>INDEX(卡牌消耗!$H$13:$H$33,世界BOSS专属武器!N984)</f>
        <v>1501018</v>
      </c>
      <c r="P984" s="49" t="s">
        <v>480</v>
      </c>
      <c r="Q984" s="15">
        <f t="shared" si="191"/>
        <v>37</v>
      </c>
      <c r="R984" s="49" t="str">
        <f t="shared" si="192"/>
        <v>金币</v>
      </c>
      <c r="S984" s="15">
        <f t="shared" si="193"/>
        <v>10000</v>
      </c>
      <c r="T984" s="15" t="str">
        <f t="shared" si="194"/>
        <v>中级专属强化石</v>
      </c>
      <c r="U984" s="15">
        <f t="shared" si="195"/>
        <v>8</v>
      </c>
      <c r="V984" s="15" t="str">
        <f t="shared" si="196"/>
        <v>高级专属强化石</v>
      </c>
      <c r="W984" s="15">
        <f t="shared" si="197"/>
        <v>3</v>
      </c>
      <c r="X984" s="15">
        <f t="shared" si="198"/>
        <v>0.1</v>
      </c>
      <c r="Y984" s="15">
        <f t="shared" si="199"/>
        <v>1</v>
      </c>
      <c r="Z984" s="15">
        <f t="shared" si="200"/>
        <v>30</v>
      </c>
      <c r="AA984" s="15">
        <f t="shared" si="201"/>
        <v>0.5867</v>
      </c>
    </row>
    <row r="985" spans="13:27" ht="16.5" x14ac:dyDescent="0.2">
      <c r="M985" s="15">
        <v>906</v>
      </c>
      <c r="N985" s="15">
        <f t="shared" si="190"/>
        <v>18</v>
      </c>
      <c r="O985" s="15">
        <f>INDEX(卡牌消耗!$H$13:$H$33,世界BOSS专属武器!N985)</f>
        <v>1501018</v>
      </c>
      <c r="P985" s="49" t="s">
        <v>480</v>
      </c>
      <c r="Q985" s="15">
        <f t="shared" si="191"/>
        <v>38</v>
      </c>
      <c r="R985" s="49" t="str">
        <f t="shared" si="192"/>
        <v>金币</v>
      </c>
      <c r="S985" s="15">
        <f t="shared" si="193"/>
        <v>10000</v>
      </c>
      <c r="T985" s="15" t="str">
        <f t="shared" si="194"/>
        <v>中级专属强化石</v>
      </c>
      <c r="U985" s="15">
        <f t="shared" si="195"/>
        <v>8</v>
      </c>
      <c r="V985" s="15" t="str">
        <f t="shared" si="196"/>
        <v>高级专属强化石</v>
      </c>
      <c r="W985" s="15">
        <f t="shared" si="197"/>
        <v>3</v>
      </c>
      <c r="X985" s="15">
        <f t="shared" si="198"/>
        <v>0.1</v>
      </c>
      <c r="Y985" s="15">
        <f t="shared" si="199"/>
        <v>1</v>
      </c>
      <c r="Z985" s="15">
        <f t="shared" si="200"/>
        <v>30</v>
      </c>
      <c r="AA985" s="15">
        <f t="shared" si="201"/>
        <v>0.61329999999999996</v>
      </c>
    </row>
    <row r="986" spans="13:27" ht="16.5" x14ac:dyDescent="0.2">
      <c r="M986" s="15">
        <v>907</v>
      </c>
      <c r="N986" s="15">
        <f t="shared" si="190"/>
        <v>18</v>
      </c>
      <c r="O986" s="15">
        <f>INDEX(卡牌消耗!$H$13:$H$33,世界BOSS专属武器!N986)</f>
        <v>1501018</v>
      </c>
      <c r="P986" s="49" t="s">
        <v>480</v>
      </c>
      <c r="Q986" s="15">
        <f t="shared" si="191"/>
        <v>39</v>
      </c>
      <c r="R986" s="49" t="str">
        <f t="shared" si="192"/>
        <v>金币</v>
      </c>
      <c r="S986" s="15">
        <f t="shared" si="193"/>
        <v>10000</v>
      </c>
      <c r="T986" s="15" t="str">
        <f t="shared" si="194"/>
        <v>中级专属强化石</v>
      </c>
      <c r="U986" s="15">
        <f t="shared" si="195"/>
        <v>8</v>
      </c>
      <c r="V986" s="15" t="str">
        <f t="shared" si="196"/>
        <v>高级专属强化石</v>
      </c>
      <c r="W986" s="15">
        <f t="shared" si="197"/>
        <v>3</v>
      </c>
      <c r="X986" s="15">
        <f t="shared" si="198"/>
        <v>0.1</v>
      </c>
      <c r="Y986" s="15">
        <f t="shared" si="199"/>
        <v>1</v>
      </c>
      <c r="Z986" s="15">
        <f t="shared" si="200"/>
        <v>30</v>
      </c>
      <c r="AA986" s="15">
        <f t="shared" si="201"/>
        <v>0.64</v>
      </c>
    </row>
    <row r="987" spans="13:27" ht="16.5" x14ac:dyDescent="0.2">
      <c r="M987" s="15">
        <v>908</v>
      </c>
      <c r="N987" s="15">
        <f t="shared" si="190"/>
        <v>18</v>
      </c>
      <c r="O987" s="15">
        <f>INDEX(卡牌消耗!$H$13:$H$33,世界BOSS专属武器!N987)</f>
        <v>1501018</v>
      </c>
      <c r="P987" s="49" t="s">
        <v>480</v>
      </c>
      <c r="Q987" s="15">
        <f t="shared" si="191"/>
        <v>40</v>
      </c>
      <c r="R987" s="49" t="str">
        <f t="shared" si="192"/>
        <v>金币</v>
      </c>
      <c r="S987" s="15">
        <f t="shared" si="193"/>
        <v>20000</v>
      </c>
      <c r="T987" s="15" t="str">
        <f t="shared" si="194"/>
        <v>高级专属强化石</v>
      </c>
      <c r="U987" s="15">
        <f t="shared" si="195"/>
        <v>5</v>
      </c>
      <c r="V987" s="15" t="str">
        <f t="shared" si="196"/>
        <v>[x]</v>
      </c>
      <c r="W987" s="15" t="str">
        <f t="shared" si="197"/>
        <v>[x]</v>
      </c>
      <c r="X987" s="15">
        <f t="shared" si="198"/>
        <v>0.1</v>
      </c>
      <c r="Y987" s="15">
        <f t="shared" si="199"/>
        <v>1</v>
      </c>
      <c r="Z987" s="15">
        <f t="shared" si="200"/>
        <v>35</v>
      </c>
      <c r="AA987" s="15">
        <f t="shared" si="201"/>
        <v>0.66669999999999996</v>
      </c>
    </row>
    <row r="988" spans="13:27" ht="16.5" x14ac:dyDescent="0.2">
      <c r="M988" s="15">
        <v>909</v>
      </c>
      <c r="N988" s="15">
        <f t="shared" si="190"/>
        <v>18</v>
      </c>
      <c r="O988" s="15">
        <f>INDEX(卡牌消耗!$H$13:$H$33,世界BOSS专属武器!N988)</f>
        <v>1501018</v>
      </c>
      <c r="P988" s="49" t="s">
        <v>480</v>
      </c>
      <c r="Q988" s="15">
        <f t="shared" si="191"/>
        <v>41</v>
      </c>
      <c r="R988" s="49" t="str">
        <f t="shared" si="192"/>
        <v>金币</v>
      </c>
      <c r="S988" s="15">
        <f t="shared" si="193"/>
        <v>20000</v>
      </c>
      <c r="T988" s="15" t="str">
        <f t="shared" si="194"/>
        <v>高级专属强化石</v>
      </c>
      <c r="U988" s="15">
        <f t="shared" si="195"/>
        <v>5</v>
      </c>
      <c r="V988" s="15" t="str">
        <f t="shared" si="196"/>
        <v>[x]</v>
      </c>
      <c r="W988" s="15" t="str">
        <f t="shared" si="197"/>
        <v>[x]</v>
      </c>
      <c r="X988" s="15">
        <f t="shared" si="198"/>
        <v>0.1</v>
      </c>
      <c r="Y988" s="15">
        <f t="shared" si="199"/>
        <v>1</v>
      </c>
      <c r="Z988" s="15">
        <f t="shared" si="200"/>
        <v>40</v>
      </c>
      <c r="AA988" s="15">
        <f t="shared" si="201"/>
        <v>0.7</v>
      </c>
    </row>
    <row r="989" spans="13:27" ht="16.5" x14ac:dyDescent="0.2">
      <c r="M989" s="15">
        <v>910</v>
      </c>
      <c r="N989" s="15">
        <f t="shared" si="190"/>
        <v>18</v>
      </c>
      <c r="O989" s="15">
        <f>INDEX(卡牌消耗!$H$13:$H$33,世界BOSS专属武器!N989)</f>
        <v>1501018</v>
      </c>
      <c r="P989" s="49" t="s">
        <v>480</v>
      </c>
      <c r="Q989" s="15">
        <f t="shared" si="191"/>
        <v>42</v>
      </c>
      <c r="R989" s="49" t="str">
        <f t="shared" si="192"/>
        <v>金币</v>
      </c>
      <c r="S989" s="15">
        <f t="shared" si="193"/>
        <v>20000</v>
      </c>
      <c r="T989" s="15" t="str">
        <f t="shared" si="194"/>
        <v>高级专属强化石</v>
      </c>
      <c r="U989" s="15">
        <f t="shared" si="195"/>
        <v>5</v>
      </c>
      <c r="V989" s="15" t="str">
        <f t="shared" si="196"/>
        <v>[x]</v>
      </c>
      <c r="W989" s="15" t="str">
        <f t="shared" si="197"/>
        <v>[x]</v>
      </c>
      <c r="X989" s="15">
        <f t="shared" si="198"/>
        <v>0.1</v>
      </c>
      <c r="Y989" s="15">
        <f t="shared" si="199"/>
        <v>1</v>
      </c>
      <c r="Z989" s="15">
        <f t="shared" si="200"/>
        <v>45</v>
      </c>
      <c r="AA989" s="15">
        <f t="shared" si="201"/>
        <v>0.73329999999999995</v>
      </c>
    </row>
    <row r="990" spans="13:27" ht="16.5" x14ac:dyDescent="0.2">
      <c r="M990" s="15">
        <v>911</v>
      </c>
      <c r="N990" s="15">
        <f t="shared" si="190"/>
        <v>18</v>
      </c>
      <c r="O990" s="15">
        <f>INDEX(卡牌消耗!$H$13:$H$33,世界BOSS专属武器!N990)</f>
        <v>1501018</v>
      </c>
      <c r="P990" s="49" t="s">
        <v>480</v>
      </c>
      <c r="Q990" s="15">
        <f t="shared" si="191"/>
        <v>43</v>
      </c>
      <c r="R990" s="49" t="str">
        <f t="shared" si="192"/>
        <v>金币</v>
      </c>
      <c r="S990" s="15">
        <f t="shared" si="193"/>
        <v>20000</v>
      </c>
      <c r="T990" s="15" t="str">
        <f t="shared" si="194"/>
        <v>高级专属强化石</v>
      </c>
      <c r="U990" s="15">
        <f t="shared" si="195"/>
        <v>5</v>
      </c>
      <c r="V990" s="15" t="str">
        <f t="shared" si="196"/>
        <v>[x]</v>
      </c>
      <c r="W990" s="15" t="str">
        <f t="shared" si="197"/>
        <v>[x]</v>
      </c>
      <c r="X990" s="15">
        <f t="shared" si="198"/>
        <v>0.1</v>
      </c>
      <c r="Y990" s="15">
        <f t="shared" si="199"/>
        <v>1</v>
      </c>
      <c r="Z990" s="15">
        <f t="shared" si="200"/>
        <v>50</v>
      </c>
      <c r="AA990" s="15">
        <f t="shared" si="201"/>
        <v>0.76670000000000005</v>
      </c>
    </row>
    <row r="991" spans="13:27" ht="16.5" x14ac:dyDescent="0.2">
      <c r="M991" s="15">
        <v>912</v>
      </c>
      <c r="N991" s="15">
        <f t="shared" si="190"/>
        <v>18</v>
      </c>
      <c r="O991" s="15">
        <f>INDEX(卡牌消耗!$H$13:$H$33,世界BOSS专属武器!N991)</f>
        <v>1501018</v>
      </c>
      <c r="P991" s="49" t="s">
        <v>480</v>
      </c>
      <c r="Q991" s="15">
        <f t="shared" si="191"/>
        <v>44</v>
      </c>
      <c r="R991" s="49" t="str">
        <f t="shared" si="192"/>
        <v>金币</v>
      </c>
      <c r="S991" s="15">
        <f t="shared" si="193"/>
        <v>20000</v>
      </c>
      <c r="T991" s="15" t="str">
        <f t="shared" si="194"/>
        <v>高级专属强化石</v>
      </c>
      <c r="U991" s="15">
        <f t="shared" si="195"/>
        <v>5</v>
      </c>
      <c r="V991" s="15" t="str">
        <f t="shared" si="196"/>
        <v>[x]</v>
      </c>
      <c r="W991" s="15" t="str">
        <f t="shared" si="197"/>
        <v>[x]</v>
      </c>
      <c r="X991" s="15">
        <f t="shared" si="198"/>
        <v>0.1</v>
      </c>
      <c r="Y991" s="15">
        <f t="shared" si="199"/>
        <v>1</v>
      </c>
      <c r="Z991" s="15">
        <f t="shared" si="200"/>
        <v>55</v>
      </c>
      <c r="AA991" s="15">
        <f t="shared" si="201"/>
        <v>0.8</v>
      </c>
    </row>
    <row r="992" spans="13:27" ht="16.5" x14ac:dyDescent="0.2">
      <c r="M992" s="15">
        <v>913</v>
      </c>
      <c r="N992" s="15">
        <f t="shared" si="190"/>
        <v>18</v>
      </c>
      <c r="O992" s="15">
        <f>INDEX(卡牌消耗!$H$13:$H$33,世界BOSS专属武器!N992)</f>
        <v>1501018</v>
      </c>
      <c r="P992" s="49" t="s">
        <v>480</v>
      </c>
      <c r="Q992" s="15">
        <f t="shared" si="191"/>
        <v>45</v>
      </c>
      <c r="R992" s="49" t="str">
        <f t="shared" si="192"/>
        <v>金币</v>
      </c>
      <c r="S992" s="15">
        <f t="shared" si="193"/>
        <v>20000</v>
      </c>
      <c r="T992" s="15" t="str">
        <f t="shared" si="194"/>
        <v>高级专属强化石</v>
      </c>
      <c r="U992" s="15">
        <f t="shared" si="195"/>
        <v>6</v>
      </c>
      <c r="V992" s="15" t="str">
        <f t="shared" si="196"/>
        <v>[x]</v>
      </c>
      <c r="W992" s="15" t="str">
        <f t="shared" si="197"/>
        <v>[x]</v>
      </c>
      <c r="X992" s="15">
        <f t="shared" si="198"/>
        <v>0.1</v>
      </c>
      <c r="Y992" s="15">
        <f t="shared" si="199"/>
        <v>1</v>
      </c>
      <c r="Z992" s="15">
        <f t="shared" si="200"/>
        <v>60</v>
      </c>
      <c r="AA992" s="15">
        <f t="shared" si="201"/>
        <v>0.83330000000000004</v>
      </c>
    </row>
    <row r="993" spans="13:27" ht="16.5" x14ac:dyDescent="0.2">
      <c r="M993" s="15">
        <v>914</v>
      </c>
      <c r="N993" s="15">
        <f t="shared" si="190"/>
        <v>18</v>
      </c>
      <c r="O993" s="15">
        <f>INDEX(卡牌消耗!$H$13:$H$33,世界BOSS专属武器!N993)</f>
        <v>1501018</v>
      </c>
      <c r="P993" s="49" t="s">
        <v>480</v>
      </c>
      <c r="Q993" s="15">
        <f t="shared" si="191"/>
        <v>46</v>
      </c>
      <c r="R993" s="49" t="str">
        <f t="shared" si="192"/>
        <v>金币</v>
      </c>
      <c r="S993" s="15">
        <f t="shared" si="193"/>
        <v>20000</v>
      </c>
      <c r="T993" s="15" t="str">
        <f t="shared" si="194"/>
        <v>高级专属强化石</v>
      </c>
      <c r="U993" s="15">
        <f t="shared" si="195"/>
        <v>7</v>
      </c>
      <c r="V993" s="15" t="str">
        <f t="shared" si="196"/>
        <v>[x]</v>
      </c>
      <c r="W993" s="15" t="str">
        <f t="shared" si="197"/>
        <v>[x]</v>
      </c>
      <c r="X993" s="15">
        <f t="shared" si="198"/>
        <v>0.1</v>
      </c>
      <c r="Y993" s="15">
        <f t="shared" si="199"/>
        <v>1</v>
      </c>
      <c r="Z993" s="15">
        <f t="shared" si="200"/>
        <v>70</v>
      </c>
      <c r="AA993" s="15">
        <f t="shared" si="201"/>
        <v>0.86670000000000003</v>
      </c>
    </row>
    <row r="994" spans="13:27" ht="16.5" x14ac:dyDescent="0.2">
      <c r="M994" s="15">
        <v>915</v>
      </c>
      <c r="N994" s="15">
        <f t="shared" si="190"/>
        <v>18</v>
      </c>
      <c r="O994" s="15">
        <f>INDEX(卡牌消耗!$H$13:$H$33,世界BOSS专属武器!N994)</f>
        <v>1501018</v>
      </c>
      <c r="P994" s="49" t="s">
        <v>480</v>
      </c>
      <c r="Q994" s="15">
        <f t="shared" si="191"/>
        <v>47</v>
      </c>
      <c r="R994" s="49" t="str">
        <f t="shared" si="192"/>
        <v>金币</v>
      </c>
      <c r="S994" s="15">
        <f t="shared" si="193"/>
        <v>20000</v>
      </c>
      <c r="T994" s="15" t="str">
        <f t="shared" si="194"/>
        <v>高级专属强化石</v>
      </c>
      <c r="U994" s="15">
        <f t="shared" si="195"/>
        <v>8</v>
      </c>
      <c r="V994" s="15" t="str">
        <f t="shared" si="196"/>
        <v>[x]</v>
      </c>
      <c r="W994" s="15" t="str">
        <f t="shared" si="197"/>
        <v>[x]</v>
      </c>
      <c r="X994" s="15">
        <f t="shared" si="198"/>
        <v>0.1</v>
      </c>
      <c r="Y994" s="15">
        <f t="shared" si="199"/>
        <v>1</v>
      </c>
      <c r="Z994" s="15">
        <f t="shared" si="200"/>
        <v>80</v>
      </c>
      <c r="AA994" s="15">
        <f t="shared" si="201"/>
        <v>0.9</v>
      </c>
    </row>
    <row r="995" spans="13:27" ht="16.5" x14ac:dyDescent="0.2">
      <c r="M995" s="15">
        <v>916</v>
      </c>
      <c r="N995" s="15">
        <f t="shared" si="190"/>
        <v>18</v>
      </c>
      <c r="O995" s="15">
        <f>INDEX(卡牌消耗!$H$13:$H$33,世界BOSS专属武器!N995)</f>
        <v>1501018</v>
      </c>
      <c r="P995" s="49" t="s">
        <v>480</v>
      </c>
      <c r="Q995" s="15">
        <f t="shared" si="191"/>
        <v>48</v>
      </c>
      <c r="R995" s="49" t="str">
        <f t="shared" si="192"/>
        <v>金币</v>
      </c>
      <c r="S995" s="15">
        <f t="shared" si="193"/>
        <v>20000</v>
      </c>
      <c r="T995" s="15" t="str">
        <f t="shared" si="194"/>
        <v>高级专属强化石</v>
      </c>
      <c r="U995" s="15">
        <f t="shared" si="195"/>
        <v>9</v>
      </c>
      <c r="V995" s="15" t="str">
        <f t="shared" si="196"/>
        <v>[x]</v>
      </c>
      <c r="W995" s="15" t="str">
        <f t="shared" si="197"/>
        <v>[x]</v>
      </c>
      <c r="X995" s="15">
        <f t="shared" si="198"/>
        <v>0.1</v>
      </c>
      <c r="Y995" s="15">
        <f t="shared" si="199"/>
        <v>1</v>
      </c>
      <c r="Z995" s="15">
        <f t="shared" si="200"/>
        <v>100</v>
      </c>
      <c r="AA995" s="15">
        <f t="shared" si="201"/>
        <v>0.93330000000000002</v>
      </c>
    </row>
    <row r="996" spans="13:27" ht="16.5" x14ac:dyDescent="0.2">
      <c r="M996" s="15">
        <v>917</v>
      </c>
      <c r="N996" s="15">
        <f t="shared" si="190"/>
        <v>18</v>
      </c>
      <c r="O996" s="15">
        <f>INDEX(卡牌消耗!$H$13:$H$33,世界BOSS专属武器!N996)</f>
        <v>1501018</v>
      </c>
      <c r="P996" s="49" t="s">
        <v>480</v>
      </c>
      <c r="Q996" s="15">
        <f t="shared" si="191"/>
        <v>49</v>
      </c>
      <c r="R996" s="49" t="str">
        <f t="shared" si="192"/>
        <v>金币</v>
      </c>
      <c r="S996" s="15">
        <f t="shared" si="193"/>
        <v>20000</v>
      </c>
      <c r="T996" s="15" t="str">
        <f t="shared" si="194"/>
        <v>高级专属强化石</v>
      </c>
      <c r="U996" s="15">
        <f t="shared" si="195"/>
        <v>10</v>
      </c>
      <c r="V996" s="15" t="str">
        <f t="shared" si="196"/>
        <v>[x]</v>
      </c>
      <c r="W996" s="15" t="str">
        <f t="shared" si="197"/>
        <v>[x]</v>
      </c>
      <c r="X996" s="15">
        <f t="shared" si="198"/>
        <v>0.1</v>
      </c>
      <c r="Y996" s="15">
        <f t="shared" si="199"/>
        <v>1</v>
      </c>
      <c r="Z996" s="15">
        <f t="shared" si="200"/>
        <v>120</v>
      </c>
      <c r="AA996" s="15">
        <f t="shared" si="201"/>
        <v>0.9667</v>
      </c>
    </row>
    <row r="997" spans="13:27" ht="16.5" x14ac:dyDescent="0.2">
      <c r="M997" s="15">
        <v>918</v>
      </c>
      <c r="N997" s="15">
        <f t="shared" si="190"/>
        <v>18</v>
      </c>
      <c r="O997" s="15">
        <f>INDEX(卡牌消耗!$H$13:$H$33,世界BOSS专属武器!N997)</f>
        <v>1501018</v>
      </c>
      <c r="P997" s="49" t="s">
        <v>480</v>
      </c>
      <c r="Q997" s="15">
        <f t="shared" si="191"/>
        <v>50</v>
      </c>
      <c r="R997" s="49" t="str">
        <f t="shared" si="192"/>
        <v>金币</v>
      </c>
      <c r="S997" s="15">
        <f t="shared" si="193"/>
        <v>20000</v>
      </c>
      <c r="T997" s="15" t="str">
        <f t="shared" si="194"/>
        <v>高级专属强化石</v>
      </c>
      <c r="U997" s="15">
        <f t="shared" si="195"/>
        <v>15</v>
      </c>
      <c r="V997" s="15" t="str">
        <f t="shared" si="196"/>
        <v>[x]</v>
      </c>
      <c r="W997" s="15" t="str">
        <f t="shared" si="197"/>
        <v>[x]</v>
      </c>
      <c r="X997" s="15">
        <f t="shared" si="198"/>
        <v>0.1</v>
      </c>
      <c r="Y997" s="15">
        <f t="shared" si="199"/>
        <v>1</v>
      </c>
      <c r="Z997" s="15">
        <f t="shared" si="200"/>
        <v>150</v>
      </c>
      <c r="AA997" s="15">
        <f t="shared" si="201"/>
        <v>1</v>
      </c>
    </row>
    <row r="998" spans="13:27" ht="16.5" x14ac:dyDescent="0.2">
      <c r="M998" s="15">
        <v>919</v>
      </c>
      <c r="N998" s="15">
        <f t="shared" si="190"/>
        <v>19</v>
      </c>
      <c r="O998" s="15">
        <f>INDEX(卡牌消耗!$H$13:$H$33,世界BOSS专属武器!N998)</f>
        <v>1501019</v>
      </c>
      <c r="P998" s="49" t="s">
        <v>480</v>
      </c>
      <c r="Q998" s="15">
        <f t="shared" si="191"/>
        <v>0</v>
      </c>
      <c r="R998" s="49" t="str">
        <f t="shared" si="192"/>
        <v>[x]</v>
      </c>
      <c r="S998" s="15" t="str">
        <f t="shared" si="193"/>
        <v>[x]</v>
      </c>
      <c r="T998" s="15" t="str">
        <f t="shared" si="194"/>
        <v>[x]</v>
      </c>
      <c r="U998" s="15" t="str">
        <f t="shared" si="195"/>
        <v>[x]</v>
      </c>
      <c r="V998" s="15" t="str">
        <f t="shared" si="196"/>
        <v>[x]</v>
      </c>
      <c r="W998" s="15" t="str">
        <f t="shared" si="197"/>
        <v>[x]</v>
      </c>
      <c r="X998" s="15" t="str">
        <f t="shared" si="198"/>
        <v>[x]</v>
      </c>
      <c r="Y998" s="15" t="str">
        <f t="shared" si="199"/>
        <v>[x]</v>
      </c>
      <c r="Z998" s="15" t="str">
        <f t="shared" si="200"/>
        <v>[x]</v>
      </c>
      <c r="AA998" s="15" t="str">
        <f t="shared" si="201"/>
        <v>[x]</v>
      </c>
    </row>
    <row r="999" spans="13:27" ht="16.5" x14ac:dyDescent="0.2">
      <c r="M999" s="15">
        <v>920</v>
      </c>
      <c r="N999" s="15">
        <f t="shared" si="190"/>
        <v>19</v>
      </c>
      <c r="O999" s="15">
        <f>INDEX(卡牌消耗!$H$13:$H$33,世界BOSS专属武器!N999)</f>
        <v>1501019</v>
      </c>
      <c r="P999" s="49" t="s">
        <v>480</v>
      </c>
      <c r="Q999" s="15">
        <f t="shared" si="191"/>
        <v>1</v>
      </c>
      <c r="R999" s="49" t="str">
        <f t="shared" si="192"/>
        <v>金币</v>
      </c>
      <c r="S999" s="15">
        <f t="shared" si="193"/>
        <v>100</v>
      </c>
      <c r="T999" s="15" t="str">
        <f t="shared" si="194"/>
        <v>低级专属强化石</v>
      </c>
      <c r="U999" s="15">
        <f t="shared" si="195"/>
        <v>1</v>
      </c>
      <c r="V999" s="15" t="str">
        <f t="shared" si="196"/>
        <v>[x]</v>
      </c>
      <c r="W999" s="15" t="str">
        <f t="shared" si="197"/>
        <v>[x]</v>
      </c>
      <c r="X999" s="15">
        <f t="shared" si="198"/>
        <v>1</v>
      </c>
      <c r="Y999" s="15">
        <f t="shared" si="199"/>
        <v>1</v>
      </c>
      <c r="Z999" s="15">
        <f t="shared" si="200"/>
        <v>1</v>
      </c>
      <c r="AA999" s="15">
        <f t="shared" si="201"/>
        <v>6.7000000000000002E-3</v>
      </c>
    </row>
    <row r="1000" spans="13:27" ht="16.5" x14ac:dyDescent="0.2">
      <c r="M1000" s="15">
        <v>921</v>
      </c>
      <c r="N1000" s="15">
        <f t="shared" si="190"/>
        <v>19</v>
      </c>
      <c r="O1000" s="15">
        <f>INDEX(卡牌消耗!$H$13:$H$33,世界BOSS专属武器!N1000)</f>
        <v>1501019</v>
      </c>
      <c r="P1000" s="49" t="s">
        <v>480</v>
      </c>
      <c r="Q1000" s="15">
        <f t="shared" si="191"/>
        <v>2</v>
      </c>
      <c r="R1000" s="49" t="str">
        <f t="shared" si="192"/>
        <v>金币</v>
      </c>
      <c r="S1000" s="15">
        <f t="shared" si="193"/>
        <v>200</v>
      </c>
      <c r="T1000" s="15" t="str">
        <f t="shared" si="194"/>
        <v>低级专属强化石</v>
      </c>
      <c r="U1000" s="15">
        <f t="shared" si="195"/>
        <v>1</v>
      </c>
      <c r="V1000" s="15" t="str">
        <f t="shared" si="196"/>
        <v>[x]</v>
      </c>
      <c r="W1000" s="15" t="str">
        <f t="shared" si="197"/>
        <v>[x]</v>
      </c>
      <c r="X1000" s="15">
        <f t="shared" si="198"/>
        <v>0.5</v>
      </c>
      <c r="Y1000" s="15">
        <f t="shared" si="199"/>
        <v>1</v>
      </c>
      <c r="Z1000" s="15">
        <f t="shared" si="200"/>
        <v>2</v>
      </c>
      <c r="AA1000" s="15">
        <f t="shared" si="201"/>
        <v>1.3299999999999999E-2</v>
      </c>
    </row>
    <row r="1001" spans="13:27" ht="16.5" x14ac:dyDescent="0.2">
      <c r="M1001" s="15">
        <v>922</v>
      </c>
      <c r="N1001" s="15">
        <f t="shared" si="190"/>
        <v>19</v>
      </c>
      <c r="O1001" s="15">
        <f>INDEX(卡牌消耗!$H$13:$H$33,世界BOSS专属武器!N1001)</f>
        <v>1501019</v>
      </c>
      <c r="P1001" s="49" t="s">
        <v>480</v>
      </c>
      <c r="Q1001" s="15">
        <f t="shared" si="191"/>
        <v>3</v>
      </c>
      <c r="R1001" s="49" t="str">
        <f t="shared" si="192"/>
        <v>金币</v>
      </c>
      <c r="S1001" s="15">
        <f t="shared" si="193"/>
        <v>300</v>
      </c>
      <c r="T1001" s="15" t="str">
        <f t="shared" si="194"/>
        <v>低级专属强化石</v>
      </c>
      <c r="U1001" s="15">
        <f t="shared" si="195"/>
        <v>2</v>
      </c>
      <c r="V1001" s="15" t="str">
        <f t="shared" si="196"/>
        <v>[x]</v>
      </c>
      <c r="W1001" s="15" t="str">
        <f t="shared" si="197"/>
        <v>[x]</v>
      </c>
      <c r="X1001" s="15">
        <f t="shared" si="198"/>
        <v>0.48</v>
      </c>
      <c r="Y1001" s="15">
        <f t="shared" si="199"/>
        <v>1</v>
      </c>
      <c r="Z1001" s="15">
        <f t="shared" si="200"/>
        <v>3</v>
      </c>
      <c r="AA1001" s="15">
        <f t="shared" si="201"/>
        <v>0.02</v>
      </c>
    </row>
    <row r="1002" spans="13:27" ht="16.5" x14ac:dyDescent="0.2">
      <c r="M1002" s="15">
        <v>923</v>
      </c>
      <c r="N1002" s="15">
        <f t="shared" si="190"/>
        <v>19</v>
      </c>
      <c r="O1002" s="15">
        <f>INDEX(卡牌消耗!$H$13:$H$33,世界BOSS专属武器!N1002)</f>
        <v>1501019</v>
      </c>
      <c r="P1002" s="49" t="s">
        <v>480</v>
      </c>
      <c r="Q1002" s="15">
        <f t="shared" si="191"/>
        <v>4</v>
      </c>
      <c r="R1002" s="49" t="str">
        <f t="shared" si="192"/>
        <v>金币</v>
      </c>
      <c r="S1002" s="15">
        <f t="shared" si="193"/>
        <v>400</v>
      </c>
      <c r="T1002" s="15" t="str">
        <f t="shared" si="194"/>
        <v>低级专属强化石</v>
      </c>
      <c r="U1002" s="15">
        <f t="shared" si="195"/>
        <v>3</v>
      </c>
      <c r="V1002" s="15" t="str">
        <f t="shared" si="196"/>
        <v>[x]</v>
      </c>
      <c r="W1002" s="15" t="str">
        <f t="shared" si="197"/>
        <v>[x]</v>
      </c>
      <c r="X1002" s="15">
        <f t="shared" si="198"/>
        <v>0.46</v>
      </c>
      <c r="Y1002" s="15">
        <f t="shared" si="199"/>
        <v>1</v>
      </c>
      <c r="Z1002" s="15">
        <f t="shared" si="200"/>
        <v>3</v>
      </c>
      <c r="AA1002" s="15">
        <f t="shared" si="201"/>
        <v>2.6700000000000002E-2</v>
      </c>
    </row>
    <row r="1003" spans="13:27" ht="16.5" x14ac:dyDescent="0.2">
      <c r="M1003" s="15">
        <v>924</v>
      </c>
      <c r="N1003" s="15">
        <f t="shared" si="190"/>
        <v>19</v>
      </c>
      <c r="O1003" s="15">
        <f>INDEX(卡牌消耗!$H$13:$H$33,世界BOSS专属武器!N1003)</f>
        <v>1501019</v>
      </c>
      <c r="P1003" s="49" t="s">
        <v>480</v>
      </c>
      <c r="Q1003" s="15">
        <f t="shared" si="191"/>
        <v>5</v>
      </c>
      <c r="R1003" s="49" t="str">
        <f t="shared" si="192"/>
        <v>金币</v>
      </c>
      <c r="S1003" s="15">
        <f t="shared" si="193"/>
        <v>500</v>
      </c>
      <c r="T1003" s="15" t="str">
        <f t="shared" si="194"/>
        <v>低级专属强化石</v>
      </c>
      <c r="U1003" s="15">
        <f t="shared" si="195"/>
        <v>4</v>
      </c>
      <c r="V1003" s="15" t="str">
        <f t="shared" si="196"/>
        <v>[x]</v>
      </c>
      <c r="W1003" s="15" t="str">
        <f t="shared" si="197"/>
        <v>[x]</v>
      </c>
      <c r="X1003" s="15">
        <f t="shared" si="198"/>
        <v>0.44</v>
      </c>
      <c r="Y1003" s="15">
        <f t="shared" si="199"/>
        <v>1</v>
      </c>
      <c r="Z1003" s="15">
        <f t="shared" si="200"/>
        <v>3</v>
      </c>
      <c r="AA1003" s="15">
        <f t="shared" si="201"/>
        <v>3.3300000000000003E-2</v>
      </c>
    </row>
    <row r="1004" spans="13:27" ht="16.5" x14ac:dyDescent="0.2">
      <c r="M1004" s="15">
        <v>925</v>
      </c>
      <c r="N1004" s="15">
        <f t="shared" si="190"/>
        <v>19</v>
      </c>
      <c r="O1004" s="15">
        <f>INDEX(卡牌消耗!$H$13:$H$33,世界BOSS专属武器!N1004)</f>
        <v>1501019</v>
      </c>
      <c r="P1004" s="49" t="s">
        <v>480</v>
      </c>
      <c r="Q1004" s="15">
        <f t="shared" si="191"/>
        <v>6</v>
      </c>
      <c r="R1004" s="49" t="str">
        <f t="shared" si="192"/>
        <v>金币</v>
      </c>
      <c r="S1004" s="15">
        <f t="shared" si="193"/>
        <v>600</v>
      </c>
      <c r="T1004" s="15" t="str">
        <f t="shared" si="194"/>
        <v>低级专属强化石</v>
      </c>
      <c r="U1004" s="15">
        <f t="shared" si="195"/>
        <v>5</v>
      </c>
      <c r="V1004" s="15" t="str">
        <f t="shared" si="196"/>
        <v>[x]</v>
      </c>
      <c r="W1004" s="15" t="str">
        <f t="shared" si="197"/>
        <v>[x]</v>
      </c>
      <c r="X1004" s="15">
        <f t="shared" si="198"/>
        <v>0.42</v>
      </c>
      <c r="Y1004" s="15">
        <f t="shared" si="199"/>
        <v>1</v>
      </c>
      <c r="Z1004" s="15">
        <f t="shared" si="200"/>
        <v>4</v>
      </c>
      <c r="AA1004" s="15">
        <f t="shared" si="201"/>
        <v>0.04</v>
      </c>
    </row>
    <row r="1005" spans="13:27" ht="16.5" x14ac:dyDescent="0.2">
      <c r="M1005" s="15">
        <v>926</v>
      </c>
      <c r="N1005" s="15">
        <f t="shared" si="190"/>
        <v>19</v>
      </c>
      <c r="O1005" s="15">
        <f>INDEX(卡牌消耗!$H$13:$H$33,世界BOSS专属武器!N1005)</f>
        <v>1501019</v>
      </c>
      <c r="P1005" s="49" t="s">
        <v>480</v>
      </c>
      <c r="Q1005" s="15">
        <f t="shared" si="191"/>
        <v>7</v>
      </c>
      <c r="R1005" s="49" t="str">
        <f t="shared" si="192"/>
        <v>金币</v>
      </c>
      <c r="S1005" s="15">
        <f t="shared" si="193"/>
        <v>700</v>
      </c>
      <c r="T1005" s="15" t="str">
        <f t="shared" si="194"/>
        <v>低级专属强化石</v>
      </c>
      <c r="U1005" s="15">
        <f t="shared" si="195"/>
        <v>5</v>
      </c>
      <c r="V1005" s="15" t="str">
        <f t="shared" si="196"/>
        <v>[x]</v>
      </c>
      <c r="W1005" s="15" t="str">
        <f t="shared" si="197"/>
        <v>[x]</v>
      </c>
      <c r="X1005" s="15">
        <f t="shared" si="198"/>
        <v>0.4</v>
      </c>
      <c r="Y1005" s="15">
        <f t="shared" si="199"/>
        <v>1</v>
      </c>
      <c r="Z1005" s="15">
        <f t="shared" si="200"/>
        <v>4</v>
      </c>
      <c r="AA1005" s="15">
        <f t="shared" si="201"/>
        <v>4.6699999999999998E-2</v>
      </c>
    </row>
    <row r="1006" spans="13:27" ht="16.5" x14ac:dyDescent="0.2">
      <c r="M1006" s="15">
        <v>927</v>
      </c>
      <c r="N1006" s="15">
        <f t="shared" si="190"/>
        <v>19</v>
      </c>
      <c r="O1006" s="15">
        <f>INDEX(卡牌消耗!$H$13:$H$33,世界BOSS专属武器!N1006)</f>
        <v>1501019</v>
      </c>
      <c r="P1006" s="49" t="s">
        <v>480</v>
      </c>
      <c r="Q1006" s="15">
        <f t="shared" si="191"/>
        <v>8</v>
      </c>
      <c r="R1006" s="49" t="str">
        <f t="shared" si="192"/>
        <v>金币</v>
      </c>
      <c r="S1006" s="15">
        <f t="shared" si="193"/>
        <v>800</v>
      </c>
      <c r="T1006" s="15" t="str">
        <f t="shared" si="194"/>
        <v>低级专属强化石</v>
      </c>
      <c r="U1006" s="15">
        <f t="shared" si="195"/>
        <v>5</v>
      </c>
      <c r="V1006" s="15" t="str">
        <f t="shared" si="196"/>
        <v>[x]</v>
      </c>
      <c r="W1006" s="15" t="str">
        <f t="shared" si="197"/>
        <v>[x]</v>
      </c>
      <c r="X1006" s="15">
        <f t="shared" si="198"/>
        <v>0.38</v>
      </c>
      <c r="Y1006" s="15">
        <f t="shared" si="199"/>
        <v>1</v>
      </c>
      <c r="Z1006" s="15">
        <f t="shared" si="200"/>
        <v>5</v>
      </c>
      <c r="AA1006" s="15">
        <f t="shared" si="201"/>
        <v>5.33E-2</v>
      </c>
    </row>
    <row r="1007" spans="13:27" ht="16.5" x14ac:dyDescent="0.2">
      <c r="M1007" s="15">
        <v>928</v>
      </c>
      <c r="N1007" s="15">
        <f t="shared" si="190"/>
        <v>19</v>
      </c>
      <c r="O1007" s="15">
        <f>INDEX(卡牌消耗!$H$13:$H$33,世界BOSS专属武器!N1007)</f>
        <v>1501019</v>
      </c>
      <c r="P1007" s="49" t="s">
        <v>480</v>
      </c>
      <c r="Q1007" s="15">
        <f t="shared" si="191"/>
        <v>9</v>
      </c>
      <c r="R1007" s="49" t="str">
        <f t="shared" si="192"/>
        <v>金币</v>
      </c>
      <c r="S1007" s="15">
        <f t="shared" si="193"/>
        <v>900</v>
      </c>
      <c r="T1007" s="15" t="str">
        <f t="shared" si="194"/>
        <v>低级专属强化石</v>
      </c>
      <c r="U1007" s="15">
        <f t="shared" si="195"/>
        <v>5</v>
      </c>
      <c r="V1007" s="15" t="str">
        <f t="shared" si="196"/>
        <v>[x]</v>
      </c>
      <c r="W1007" s="15" t="str">
        <f t="shared" si="197"/>
        <v>[x]</v>
      </c>
      <c r="X1007" s="15">
        <f t="shared" si="198"/>
        <v>0.36</v>
      </c>
      <c r="Y1007" s="15">
        <f t="shared" si="199"/>
        <v>1</v>
      </c>
      <c r="Z1007" s="15">
        <f t="shared" si="200"/>
        <v>5</v>
      </c>
      <c r="AA1007" s="15">
        <f t="shared" si="201"/>
        <v>0.06</v>
      </c>
    </row>
    <row r="1008" spans="13:27" ht="16.5" x14ac:dyDescent="0.2">
      <c r="M1008" s="15">
        <v>929</v>
      </c>
      <c r="N1008" s="15">
        <f t="shared" si="190"/>
        <v>19</v>
      </c>
      <c r="O1008" s="15">
        <f>INDEX(卡牌消耗!$H$13:$H$33,世界BOSS专属武器!N1008)</f>
        <v>1501019</v>
      </c>
      <c r="P1008" s="49" t="s">
        <v>480</v>
      </c>
      <c r="Q1008" s="15">
        <f t="shared" si="191"/>
        <v>10</v>
      </c>
      <c r="R1008" s="49" t="str">
        <f t="shared" si="192"/>
        <v>金币</v>
      </c>
      <c r="S1008" s="15">
        <f t="shared" si="193"/>
        <v>1000</v>
      </c>
      <c r="T1008" s="15" t="str">
        <f t="shared" si="194"/>
        <v>低级专属强化石</v>
      </c>
      <c r="U1008" s="15">
        <f t="shared" si="195"/>
        <v>7</v>
      </c>
      <c r="V1008" s="15" t="str">
        <f t="shared" si="196"/>
        <v>[x]</v>
      </c>
      <c r="W1008" s="15" t="str">
        <f t="shared" si="197"/>
        <v>[x]</v>
      </c>
      <c r="X1008" s="15">
        <f t="shared" si="198"/>
        <v>0.35</v>
      </c>
      <c r="Y1008" s="15">
        <f t="shared" si="199"/>
        <v>1</v>
      </c>
      <c r="Z1008" s="15">
        <f t="shared" si="200"/>
        <v>5</v>
      </c>
      <c r="AA1008" s="15">
        <f t="shared" si="201"/>
        <v>6.6699999999999995E-2</v>
      </c>
    </row>
    <row r="1009" spans="13:27" ht="16.5" x14ac:dyDescent="0.2">
      <c r="M1009" s="15">
        <v>930</v>
      </c>
      <c r="N1009" s="15">
        <f t="shared" si="190"/>
        <v>19</v>
      </c>
      <c r="O1009" s="15">
        <f>INDEX(卡牌消耗!$H$13:$H$33,世界BOSS专属武器!N1009)</f>
        <v>1501019</v>
      </c>
      <c r="P1009" s="49" t="s">
        <v>480</v>
      </c>
      <c r="Q1009" s="15">
        <f t="shared" si="191"/>
        <v>11</v>
      </c>
      <c r="R1009" s="49" t="str">
        <f t="shared" si="192"/>
        <v>金币</v>
      </c>
      <c r="S1009" s="15">
        <f t="shared" si="193"/>
        <v>1000</v>
      </c>
      <c r="T1009" s="15" t="str">
        <f t="shared" si="194"/>
        <v>低级专属强化石</v>
      </c>
      <c r="U1009" s="15">
        <f t="shared" si="195"/>
        <v>7</v>
      </c>
      <c r="V1009" s="15" t="str">
        <f t="shared" si="196"/>
        <v>[x]</v>
      </c>
      <c r="W1009" s="15" t="str">
        <f t="shared" si="197"/>
        <v>[x]</v>
      </c>
      <c r="X1009" s="15">
        <f t="shared" si="198"/>
        <v>0.33</v>
      </c>
      <c r="Y1009" s="15">
        <f t="shared" si="199"/>
        <v>1</v>
      </c>
      <c r="Z1009" s="15">
        <f t="shared" si="200"/>
        <v>6</v>
      </c>
      <c r="AA1009" s="15">
        <f t="shared" si="201"/>
        <v>0.08</v>
      </c>
    </row>
    <row r="1010" spans="13:27" ht="16.5" x14ac:dyDescent="0.2">
      <c r="M1010" s="15">
        <v>931</v>
      </c>
      <c r="N1010" s="15">
        <f t="shared" si="190"/>
        <v>19</v>
      </c>
      <c r="O1010" s="15">
        <f>INDEX(卡牌消耗!$H$13:$H$33,世界BOSS专属武器!N1010)</f>
        <v>1501019</v>
      </c>
      <c r="P1010" s="49" t="s">
        <v>480</v>
      </c>
      <c r="Q1010" s="15">
        <f t="shared" si="191"/>
        <v>12</v>
      </c>
      <c r="R1010" s="49" t="str">
        <f t="shared" si="192"/>
        <v>金币</v>
      </c>
      <c r="S1010" s="15">
        <f t="shared" si="193"/>
        <v>1000</v>
      </c>
      <c r="T1010" s="15" t="str">
        <f t="shared" si="194"/>
        <v>低级专属强化石</v>
      </c>
      <c r="U1010" s="15">
        <f t="shared" si="195"/>
        <v>7</v>
      </c>
      <c r="V1010" s="15" t="str">
        <f t="shared" si="196"/>
        <v>[x]</v>
      </c>
      <c r="W1010" s="15" t="str">
        <f t="shared" si="197"/>
        <v>[x]</v>
      </c>
      <c r="X1010" s="15">
        <f t="shared" si="198"/>
        <v>0.31</v>
      </c>
      <c r="Y1010" s="15">
        <f t="shared" si="199"/>
        <v>1</v>
      </c>
      <c r="Z1010" s="15">
        <f t="shared" si="200"/>
        <v>6</v>
      </c>
      <c r="AA1010" s="15">
        <f t="shared" si="201"/>
        <v>9.3299999999999994E-2</v>
      </c>
    </row>
    <row r="1011" spans="13:27" ht="16.5" x14ac:dyDescent="0.2">
      <c r="M1011" s="15">
        <v>932</v>
      </c>
      <c r="N1011" s="15">
        <f t="shared" si="190"/>
        <v>19</v>
      </c>
      <c r="O1011" s="15">
        <f>INDEX(卡牌消耗!$H$13:$H$33,世界BOSS专属武器!N1011)</f>
        <v>1501019</v>
      </c>
      <c r="P1011" s="49" t="s">
        <v>480</v>
      </c>
      <c r="Q1011" s="15">
        <f t="shared" si="191"/>
        <v>13</v>
      </c>
      <c r="R1011" s="49" t="str">
        <f t="shared" si="192"/>
        <v>金币</v>
      </c>
      <c r="S1011" s="15">
        <f t="shared" si="193"/>
        <v>1000</v>
      </c>
      <c r="T1011" s="15" t="str">
        <f t="shared" si="194"/>
        <v>低级专属强化石</v>
      </c>
      <c r="U1011" s="15">
        <f t="shared" si="195"/>
        <v>7</v>
      </c>
      <c r="V1011" s="15" t="str">
        <f t="shared" si="196"/>
        <v>[x]</v>
      </c>
      <c r="W1011" s="15" t="str">
        <f t="shared" si="197"/>
        <v>[x]</v>
      </c>
      <c r="X1011" s="15">
        <f t="shared" si="198"/>
        <v>0.28999999999999998</v>
      </c>
      <c r="Y1011" s="15">
        <f t="shared" si="199"/>
        <v>1</v>
      </c>
      <c r="Z1011" s="15">
        <f t="shared" si="200"/>
        <v>7</v>
      </c>
      <c r="AA1011" s="15">
        <f t="shared" si="201"/>
        <v>0.1067</v>
      </c>
    </row>
    <row r="1012" spans="13:27" ht="16.5" x14ac:dyDescent="0.2">
      <c r="M1012" s="15">
        <v>933</v>
      </c>
      <c r="N1012" s="15">
        <f t="shared" si="190"/>
        <v>19</v>
      </c>
      <c r="O1012" s="15">
        <f>INDEX(卡牌消耗!$H$13:$H$33,世界BOSS专属武器!N1012)</f>
        <v>1501019</v>
      </c>
      <c r="P1012" s="49" t="s">
        <v>480</v>
      </c>
      <c r="Q1012" s="15">
        <f t="shared" si="191"/>
        <v>14</v>
      </c>
      <c r="R1012" s="49" t="str">
        <f t="shared" si="192"/>
        <v>金币</v>
      </c>
      <c r="S1012" s="15">
        <f t="shared" si="193"/>
        <v>1000</v>
      </c>
      <c r="T1012" s="15" t="str">
        <f t="shared" si="194"/>
        <v>低级专属强化石</v>
      </c>
      <c r="U1012" s="15">
        <f t="shared" si="195"/>
        <v>7</v>
      </c>
      <c r="V1012" s="15" t="str">
        <f t="shared" si="196"/>
        <v>[x]</v>
      </c>
      <c r="W1012" s="15" t="str">
        <f t="shared" si="197"/>
        <v>[x]</v>
      </c>
      <c r="X1012" s="15">
        <f t="shared" si="198"/>
        <v>0.27</v>
      </c>
      <c r="Y1012" s="15">
        <f t="shared" si="199"/>
        <v>1</v>
      </c>
      <c r="Z1012" s="15">
        <f t="shared" si="200"/>
        <v>7</v>
      </c>
      <c r="AA1012" s="15">
        <f t="shared" si="201"/>
        <v>0.12</v>
      </c>
    </row>
    <row r="1013" spans="13:27" ht="16.5" x14ac:dyDescent="0.2">
      <c r="M1013" s="15">
        <v>934</v>
      </c>
      <c r="N1013" s="15">
        <f t="shared" si="190"/>
        <v>19</v>
      </c>
      <c r="O1013" s="15">
        <f>INDEX(卡牌消耗!$H$13:$H$33,世界BOSS专属武器!N1013)</f>
        <v>1501019</v>
      </c>
      <c r="P1013" s="49" t="s">
        <v>480</v>
      </c>
      <c r="Q1013" s="15">
        <f t="shared" si="191"/>
        <v>15</v>
      </c>
      <c r="R1013" s="49" t="str">
        <f t="shared" si="192"/>
        <v>金币</v>
      </c>
      <c r="S1013" s="15">
        <f t="shared" si="193"/>
        <v>1000</v>
      </c>
      <c r="T1013" s="15" t="str">
        <f t="shared" si="194"/>
        <v>低级专属强化石</v>
      </c>
      <c r="U1013" s="15">
        <f t="shared" si="195"/>
        <v>10</v>
      </c>
      <c r="V1013" s="15" t="str">
        <f t="shared" si="196"/>
        <v>[x]</v>
      </c>
      <c r="W1013" s="15" t="str">
        <f t="shared" si="197"/>
        <v>[x]</v>
      </c>
      <c r="X1013" s="15">
        <f t="shared" si="198"/>
        <v>0.25</v>
      </c>
      <c r="Y1013" s="15">
        <f t="shared" si="199"/>
        <v>1</v>
      </c>
      <c r="Z1013" s="15">
        <f t="shared" si="200"/>
        <v>8</v>
      </c>
      <c r="AA1013" s="15">
        <f t="shared" si="201"/>
        <v>0.1333</v>
      </c>
    </row>
    <row r="1014" spans="13:27" ht="16.5" x14ac:dyDescent="0.2">
      <c r="M1014" s="15">
        <v>935</v>
      </c>
      <c r="N1014" s="15">
        <f t="shared" si="190"/>
        <v>19</v>
      </c>
      <c r="O1014" s="15">
        <f>INDEX(卡牌消耗!$H$13:$H$33,世界BOSS专属武器!N1014)</f>
        <v>1501019</v>
      </c>
      <c r="P1014" s="49" t="s">
        <v>480</v>
      </c>
      <c r="Q1014" s="15">
        <f t="shared" si="191"/>
        <v>16</v>
      </c>
      <c r="R1014" s="49" t="str">
        <f t="shared" si="192"/>
        <v>金币</v>
      </c>
      <c r="S1014" s="15">
        <f t="shared" si="193"/>
        <v>1000</v>
      </c>
      <c r="T1014" s="15" t="str">
        <f t="shared" si="194"/>
        <v>低级专属强化石</v>
      </c>
      <c r="U1014" s="15">
        <f t="shared" si="195"/>
        <v>10</v>
      </c>
      <c r="V1014" s="15" t="str">
        <f t="shared" si="196"/>
        <v>[x]</v>
      </c>
      <c r="W1014" s="15" t="str">
        <f t="shared" si="197"/>
        <v>[x]</v>
      </c>
      <c r="X1014" s="15">
        <f t="shared" si="198"/>
        <v>0.23</v>
      </c>
      <c r="Y1014" s="15">
        <f t="shared" si="199"/>
        <v>1</v>
      </c>
      <c r="Z1014" s="15">
        <f t="shared" si="200"/>
        <v>9</v>
      </c>
      <c r="AA1014" s="15">
        <f t="shared" si="201"/>
        <v>0.1467</v>
      </c>
    </row>
    <row r="1015" spans="13:27" ht="16.5" x14ac:dyDescent="0.2">
      <c r="M1015" s="15">
        <v>936</v>
      </c>
      <c r="N1015" s="15">
        <f t="shared" si="190"/>
        <v>19</v>
      </c>
      <c r="O1015" s="15">
        <f>INDEX(卡牌消耗!$H$13:$H$33,世界BOSS专属武器!N1015)</f>
        <v>1501019</v>
      </c>
      <c r="P1015" s="49" t="s">
        <v>480</v>
      </c>
      <c r="Q1015" s="15">
        <f t="shared" si="191"/>
        <v>17</v>
      </c>
      <c r="R1015" s="49" t="str">
        <f t="shared" si="192"/>
        <v>金币</v>
      </c>
      <c r="S1015" s="15">
        <f t="shared" si="193"/>
        <v>1000</v>
      </c>
      <c r="T1015" s="15" t="str">
        <f t="shared" si="194"/>
        <v>低级专属强化石</v>
      </c>
      <c r="U1015" s="15">
        <f t="shared" si="195"/>
        <v>10</v>
      </c>
      <c r="V1015" s="15" t="str">
        <f t="shared" si="196"/>
        <v>[x]</v>
      </c>
      <c r="W1015" s="15" t="str">
        <f t="shared" si="197"/>
        <v>[x]</v>
      </c>
      <c r="X1015" s="15">
        <f t="shared" si="198"/>
        <v>0.21</v>
      </c>
      <c r="Y1015" s="15">
        <f t="shared" si="199"/>
        <v>1</v>
      </c>
      <c r="Z1015" s="15">
        <f t="shared" si="200"/>
        <v>10</v>
      </c>
      <c r="AA1015" s="15">
        <f t="shared" si="201"/>
        <v>0.16</v>
      </c>
    </row>
    <row r="1016" spans="13:27" ht="16.5" x14ac:dyDescent="0.2">
      <c r="M1016" s="15">
        <v>937</v>
      </c>
      <c r="N1016" s="15">
        <f t="shared" si="190"/>
        <v>19</v>
      </c>
      <c r="O1016" s="15">
        <f>INDEX(卡牌消耗!$H$13:$H$33,世界BOSS专属武器!N1016)</f>
        <v>1501019</v>
      </c>
      <c r="P1016" s="49" t="s">
        <v>480</v>
      </c>
      <c r="Q1016" s="15">
        <f t="shared" si="191"/>
        <v>18</v>
      </c>
      <c r="R1016" s="49" t="str">
        <f t="shared" si="192"/>
        <v>金币</v>
      </c>
      <c r="S1016" s="15">
        <f t="shared" si="193"/>
        <v>1000</v>
      </c>
      <c r="T1016" s="15" t="str">
        <f t="shared" si="194"/>
        <v>低级专属强化石</v>
      </c>
      <c r="U1016" s="15">
        <f t="shared" si="195"/>
        <v>10</v>
      </c>
      <c r="V1016" s="15" t="str">
        <f t="shared" si="196"/>
        <v>[x]</v>
      </c>
      <c r="W1016" s="15" t="str">
        <f t="shared" si="197"/>
        <v>[x]</v>
      </c>
      <c r="X1016" s="15">
        <f t="shared" si="198"/>
        <v>0.19</v>
      </c>
      <c r="Y1016" s="15">
        <f t="shared" si="199"/>
        <v>1</v>
      </c>
      <c r="Z1016" s="15">
        <f t="shared" si="200"/>
        <v>11</v>
      </c>
      <c r="AA1016" s="15">
        <f t="shared" si="201"/>
        <v>0.17330000000000001</v>
      </c>
    </row>
    <row r="1017" spans="13:27" ht="16.5" x14ac:dyDescent="0.2">
      <c r="M1017" s="15">
        <v>938</v>
      </c>
      <c r="N1017" s="15">
        <f t="shared" si="190"/>
        <v>19</v>
      </c>
      <c r="O1017" s="15">
        <f>INDEX(卡牌消耗!$H$13:$H$33,世界BOSS专属武器!N1017)</f>
        <v>1501019</v>
      </c>
      <c r="P1017" s="49" t="s">
        <v>480</v>
      </c>
      <c r="Q1017" s="15">
        <f t="shared" si="191"/>
        <v>19</v>
      </c>
      <c r="R1017" s="49" t="str">
        <f t="shared" si="192"/>
        <v>金币</v>
      </c>
      <c r="S1017" s="15">
        <f t="shared" si="193"/>
        <v>1000</v>
      </c>
      <c r="T1017" s="15" t="str">
        <f t="shared" si="194"/>
        <v>低级专属强化石</v>
      </c>
      <c r="U1017" s="15">
        <f t="shared" si="195"/>
        <v>10</v>
      </c>
      <c r="V1017" s="15" t="str">
        <f t="shared" si="196"/>
        <v>[x]</v>
      </c>
      <c r="W1017" s="15" t="str">
        <f t="shared" si="197"/>
        <v>[x]</v>
      </c>
      <c r="X1017" s="15">
        <f t="shared" si="198"/>
        <v>0.17</v>
      </c>
      <c r="Y1017" s="15">
        <f t="shared" si="199"/>
        <v>1</v>
      </c>
      <c r="Z1017" s="15">
        <f t="shared" si="200"/>
        <v>12</v>
      </c>
      <c r="AA1017" s="15">
        <f t="shared" si="201"/>
        <v>0.1867</v>
      </c>
    </row>
    <row r="1018" spans="13:27" ht="16.5" x14ac:dyDescent="0.2">
      <c r="M1018" s="15">
        <v>939</v>
      </c>
      <c r="N1018" s="15">
        <f t="shared" si="190"/>
        <v>19</v>
      </c>
      <c r="O1018" s="15">
        <f>INDEX(卡牌消耗!$H$13:$H$33,世界BOSS专属武器!N1018)</f>
        <v>1501019</v>
      </c>
      <c r="P1018" s="49" t="s">
        <v>480</v>
      </c>
      <c r="Q1018" s="15">
        <f t="shared" si="191"/>
        <v>20</v>
      </c>
      <c r="R1018" s="49" t="str">
        <f t="shared" si="192"/>
        <v>金币</v>
      </c>
      <c r="S1018" s="15">
        <f t="shared" si="193"/>
        <v>5000</v>
      </c>
      <c r="T1018" s="15" t="str">
        <f t="shared" si="194"/>
        <v>低级专属强化石</v>
      </c>
      <c r="U1018" s="15">
        <f t="shared" si="195"/>
        <v>15</v>
      </c>
      <c r="V1018" s="15" t="str">
        <f t="shared" si="196"/>
        <v>中级专属强化石</v>
      </c>
      <c r="W1018" s="15">
        <f t="shared" si="197"/>
        <v>7</v>
      </c>
      <c r="X1018" s="15">
        <f t="shared" si="198"/>
        <v>0.15</v>
      </c>
      <c r="Y1018" s="15">
        <f t="shared" si="199"/>
        <v>1</v>
      </c>
      <c r="Z1018" s="15">
        <f t="shared" si="200"/>
        <v>15</v>
      </c>
      <c r="AA1018" s="15">
        <f t="shared" si="201"/>
        <v>0.2</v>
      </c>
    </row>
    <row r="1019" spans="13:27" ht="16.5" x14ac:dyDescent="0.2">
      <c r="M1019" s="15">
        <v>940</v>
      </c>
      <c r="N1019" s="15">
        <f t="shared" si="190"/>
        <v>19</v>
      </c>
      <c r="O1019" s="15">
        <f>INDEX(卡牌消耗!$H$13:$H$33,世界BOSS专属武器!N1019)</f>
        <v>1501019</v>
      </c>
      <c r="P1019" s="49" t="s">
        <v>480</v>
      </c>
      <c r="Q1019" s="15">
        <f t="shared" si="191"/>
        <v>21</v>
      </c>
      <c r="R1019" s="49" t="str">
        <f t="shared" si="192"/>
        <v>金币</v>
      </c>
      <c r="S1019" s="15">
        <f t="shared" si="193"/>
        <v>5000</v>
      </c>
      <c r="T1019" s="15" t="str">
        <f t="shared" si="194"/>
        <v>低级专属强化石</v>
      </c>
      <c r="U1019" s="15">
        <f t="shared" si="195"/>
        <v>15</v>
      </c>
      <c r="V1019" s="15" t="str">
        <f t="shared" si="196"/>
        <v>中级专属强化石</v>
      </c>
      <c r="W1019" s="15">
        <f t="shared" si="197"/>
        <v>7</v>
      </c>
      <c r="X1019" s="15">
        <f t="shared" si="198"/>
        <v>0.15</v>
      </c>
      <c r="Y1019" s="15">
        <f t="shared" si="199"/>
        <v>1</v>
      </c>
      <c r="Z1019" s="15">
        <f t="shared" si="200"/>
        <v>15</v>
      </c>
      <c r="AA1019" s="15">
        <f t="shared" si="201"/>
        <v>0.22</v>
      </c>
    </row>
    <row r="1020" spans="13:27" ht="16.5" x14ac:dyDescent="0.2">
      <c r="M1020" s="15">
        <v>941</v>
      </c>
      <c r="N1020" s="15">
        <f t="shared" si="190"/>
        <v>19</v>
      </c>
      <c r="O1020" s="15">
        <f>INDEX(卡牌消耗!$H$13:$H$33,世界BOSS专属武器!N1020)</f>
        <v>1501019</v>
      </c>
      <c r="P1020" s="49" t="s">
        <v>480</v>
      </c>
      <c r="Q1020" s="15">
        <f t="shared" si="191"/>
        <v>22</v>
      </c>
      <c r="R1020" s="49" t="str">
        <f t="shared" si="192"/>
        <v>金币</v>
      </c>
      <c r="S1020" s="15">
        <f t="shared" si="193"/>
        <v>5000</v>
      </c>
      <c r="T1020" s="15" t="str">
        <f t="shared" si="194"/>
        <v>低级专属强化石</v>
      </c>
      <c r="U1020" s="15">
        <f t="shared" si="195"/>
        <v>15</v>
      </c>
      <c r="V1020" s="15" t="str">
        <f t="shared" si="196"/>
        <v>中级专属强化石</v>
      </c>
      <c r="W1020" s="15">
        <f t="shared" si="197"/>
        <v>7</v>
      </c>
      <c r="X1020" s="15">
        <f t="shared" si="198"/>
        <v>0.15</v>
      </c>
      <c r="Y1020" s="15">
        <f t="shared" si="199"/>
        <v>1</v>
      </c>
      <c r="Z1020" s="15">
        <f t="shared" si="200"/>
        <v>15</v>
      </c>
      <c r="AA1020" s="15">
        <f t="shared" si="201"/>
        <v>0.24</v>
      </c>
    </row>
    <row r="1021" spans="13:27" ht="16.5" x14ac:dyDescent="0.2">
      <c r="M1021" s="15">
        <v>942</v>
      </c>
      <c r="N1021" s="15">
        <f t="shared" si="190"/>
        <v>19</v>
      </c>
      <c r="O1021" s="15">
        <f>INDEX(卡牌消耗!$H$13:$H$33,世界BOSS专属武器!N1021)</f>
        <v>1501019</v>
      </c>
      <c r="P1021" s="49" t="s">
        <v>480</v>
      </c>
      <c r="Q1021" s="15">
        <f t="shared" si="191"/>
        <v>23</v>
      </c>
      <c r="R1021" s="49" t="str">
        <f t="shared" si="192"/>
        <v>金币</v>
      </c>
      <c r="S1021" s="15">
        <f t="shared" si="193"/>
        <v>5000</v>
      </c>
      <c r="T1021" s="15" t="str">
        <f t="shared" si="194"/>
        <v>低级专属强化石</v>
      </c>
      <c r="U1021" s="15">
        <f t="shared" si="195"/>
        <v>15</v>
      </c>
      <c r="V1021" s="15" t="str">
        <f t="shared" si="196"/>
        <v>中级专属强化石</v>
      </c>
      <c r="W1021" s="15">
        <f t="shared" si="197"/>
        <v>7</v>
      </c>
      <c r="X1021" s="15">
        <f t="shared" si="198"/>
        <v>0.15</v>
      </c>
      <c r="Y1021" s="15">
        <f t="shared" si="199"/>
        <v>1</v>
      </c>
      <c r="Z1021" s="15">
        <f t="shared" si="200"/>
        <v>18</v>
      </c>
      <c r="AA1021" s="15">
        <f t="shared" si="201"/>
        <v>0.26</v>
      </c>
    </row>
    <row r="1022" spans="13:27" ht="16.5" x14ac:dyDescent="0.2">
      <c r="M1022" s="15">
        <v>943</v>
      </c>
      <c r="N1022" s="15">
        <f t="shared" si="190"/>
        <v>19</v>
      </c>
      <c r="O1022" s="15">
        <f>INDEX(卡牌消耗!$H$13:$H$33,世界BOSS专属武器!N1022)</f>
        <v>1501019</v>
      </c>
      <c r="P1022" s="49" t="s">
        <v>480</v>
      </c>
      <c r="Q1022" s="15">
        <f t="shared" si="191"/>
        <v>24</v>
      </c>
      <c r="R1022" s="49" t="str">
        <f t="shared" si="192"/>
        <v>金币</v>
      </c>
      <c r="S1022" s="15">
        <f t="shared" si="193"/>
        <v>5000</v>
      </c>
      <c r="T1022" s="15" t="str">
        <f t="shared" si="194"/>
        <v>低级专属强化石</v>
      </c>
      <c r="U1022" s="15">
        <f t="shared" si="195"/>
        <v>15</v>
      </c>
      <c r="V1022" s="15" t="str">
        <f t="shared" si="196"/>
        <v>中级专属强化石</v>
      </c>
      <c r="W1022" s="15">
        <f t="shared" si="197"/>
        <v>7</v>
      </c>
      <c r="X1022" s="15">
        <f t="shared" si="198"/>
        <v>0.15</v>
      </c>
      <c r="Y1022" s="15">
        <f t="shared" si="199"/>
        <v>1</v>
      </c>
      <c r="Z1022" s="15">
        <f t="shared" si="200"/>
        <v>18</v>
      </c>
      <c r="AA1022" s="15">
        <f t="shared" si="201"/>
        <v>0.28000000000000003</v>
      </c>
    </row>
    <row r="1023" spans="13:27" ht="16.5" x14ac:dyDescent="0.2">
      <c r="M1023" s="15">
        <v>944</v>
      </c>
      <c r="N1023" s="15">
        <f t="shared" si="190"/>
        <v>19</v>
      </c>
      <c r="O1023" s="15">
        <f>INDEX(卡牌消耗!$H$13:$H$33,世界BOSS专属武器!N1023)</f>
        <v>1501019</v>
      </c>
      <c r="P1023" s="49" t="s">
        <v>480</v>
      </c>
      <c r="Q1023" s="15">
        <f t="shared" si="191"/>
        <v>25</v>
      </c>
      <c r="R1023" s="49" t="str">
        <f t="shared" si="192"/>
        <v>金币</v>
      </c>
      <c r="S1023" s="15">
        <f t="shared" si="193"/>
        <v>5000</v>
      </c>
      <c r="T1023" s="15" t="str">
        <f t="shared" si="194"/>
        <v>低级专属强化石</v>
      </c>
      <c r="U1023" s="15">
        <f t="shared" si="195"/>
        <v>15</v>
      </c>
      <c r="V1023" s="15" t="str">
        <f t="shared" si="196"/>
        <v>中级专属强化石</v>
      </c>
      <c r="W1023" s="15">
        <f t="shared" si="197"/>
        <v>7</v>
      </c>
      <c r="X1023" s="15">
        <f t="shared" si="198"/>
        <v>0.15</v>
      </c>
      <c r="Y1023" s="15">
        <f t="shared" si="199"/>
        <v>1</v>
      </c>
      <c r="Z1023" s="15">
        <f t="shared" si="200"/>
        <v>18</v>
      </c>
      <c r="AA1023" s="15">
        <f t="shared" si="201"/>
        <v>0.3</v>
      </c>
    </row>
    <row r="1024" spans="13:27" ht="16.5" x14ac:dyDescent="0.2">
      <c r="M1024" s="15">
        <v>945</v>
      </c>
      <c r="N1024" s="15">
        <f t="shared" si="190"/>
        <v>19</v>
      </c>
      <c r="O1024" s="15">
        <f>INDEX(卡牌消耗!$H$13:$H$33,世界BOSS专属武器!N1024)</f>
        <v>1501019</v>
      </c>
      <c r="P1024" s="49" t="s">
        <v>480</v>
      </c>
      <c r="Q1024" s="15">
        <f t="shared" si="191"/>
        <v>26</v>
      </c>
      <c r="R1024" s="49" t="str">
        <f t="shared" si="192"/>
        <v>金币</v>
      </c>
      <c r="S1024" s="15">
        <f t="shared" si="193"/>
        <v>5000</v>
      </c>
      <c r="T1024" s="15" t="str">
        <f t="shared" si="194"/>
        <v>低级专属强化石</v>
      </c>
      <c r="U1024" s="15">
        <f t="shared" si="195"/>
        <v>15</v>
      </c>
      <c r="V1024" s="15" t="str">
        <f t="shared" si="196"/>
        <v>中级专属强化石</v>
      </c>
      <c r="W1024" s="15">
        <f t="shared" si="197"/>
        <v>7</v>
      </c>
      <c r="X1024" s="15">
        <f t="shared" si="198"/>
        <v>0.15</v>
      </c>
      <c r="Y1024" s="15">
        <f t="shared" si="199"/>
        <v>1</v>
      </c>
      <c r="Z1024" s="15">
        <f t="shared" si="200"/>
        <v>21</v>
      </c>
      <c r="AA1024" s="15">
        <f t="shared" si="201"/>
        <v>0.32</v>
      </c>
    </row>
    <row r="1025" spans="13:27" ht="16.5" x14ac:dyDescent="0.2">
      <c r="M1025" s="15">
        <v>946</v>
      </c>
      <c r="N1025" s="15">
        <f t="shared" si="190"/>
        <v>19</v>
      </c>
      <c r="O1025" s="15">
        <f>INDEX(卡牌消耗!$H$13:$H$33,世界BOSS专属武器!N1025)</f>
        <v>1501019</v>
      </c>
      <c r="P1025" s="49" t="s">
        <v>480</v>
      </c>
      <c r="Q1025" s="15">
        <f t="shared" si="191"/>
        <v>27</v>
      </c>
      <c r="R1025" s="49" t="str">
        <f t="shared" si="192"/>
        <v>金币</v>
      </c>
      <c r="S1025" s="15">
        <f t="shared" si="193"/>
        <v>5000</v>
      </c>
      <c r="T1025" s="15" t="str">
        <f t="shared" si="194"/>
        <v>低级专属强化石</v>
      </c>
      <c r="U1025" s="15">
        <f t="shared" si="195"/>
        <v>15</v>
      </c>
      <c r="V1025" s="15" t="str">
        <f t="shared" si="196"/>
        <v>中级专属强化石</v>
      </c>
      <c r="W1025" s="15">
        <f t="shared" si="197"/>
        <v>7</v>
      </c>
      <c r="X1025" s="15">
        <f t="shared" si="198"/>
        <v>0.15</v>
      </c>
      <c r="Y1025" s="15">
        <f t="shared" si="199"/>
        <v>1</v>
      </c>
      <c r="Z1025" s="15">
        <f t="shared" si="200"/>
        <v>22</v>
      </c>
      <c r="AA1025" s="15">
        <f t="shared" si="201"/>
        <v>0.34</v>
      </c>
    </row>
    <row r="1026" spans="13:27" ht="16.5" x14ac:dyDescent="0.2">
      <c r="M1026" s="15">
        <v>947</v>
      </c>
      <c r="N1026" s="15">
        <f t="shared" si="190"/>
        <v>19</v>
      </c>
      <c r="O1026" s="15">
        <f>INDEX(卡牌消耗!$H$13:$H$33,世界BOSS专属武器!N1026)</f>
        <v>1501019</v>
      </c>
      <c r="P1026" s="49" t="s">
        <v>480</v>
      </c>
      <c r="Q1026" s="15">
        <f t="shared" si="191"/>
        <v>28</v>
      </c>
      <c r="R1026" s="49" t="str">
        <f t="shared" si="192"/>
        <v>金币</v>
      </c>
      <c r="S1026" s="15">
        <f t="shared" si="193"/>
        <v>5000</v>
      </c>
      <c r="T1026" s="15" t="str">
        <f t="shared" si="194"/>
        <v>低级专属强化石</v>
      </c>
      <c r="U1026" s="15">
        <f t="shared" si="195"/>
        <v>15</v>
      </c>
      <c r="V1026" s="15" t="str">
        <f t="shared" si="196"/>
        <v>中级专属强化石</v>
      </c>
      <c r="W1026" s="15">
        <f t="shared" si="197"/>
        <v>7</v>
      </c>
      <c r="X1026" s="15">
        <f t="shared" si="198"/>
        <v>0.15</v>
      </c>
      <c r="Y1026" s="15">
        <f t="shared" si="199"/>
        <v>1</v>
      </c>
      <c r="Z1026" s="15">
        <f t="shared" si="200"/>
        <v>23</v>
      </c>
      <c r="AA1026" s="15">
        <f t="shared" si="201"/>
        <v>0.36</v>
      </c>
    </row>
    <row r="1027" spans="13:27" ht="16.5" x14ac:dyDescent="0.2">
      <c r="M1027" s="15">
        <v>948</v>
      </c>
      <c r="N1027" s="15">
        <f t="shared" si="190"/>
        <v>19</v>
      </c>
      <c r="O1027" s="15">
        <f>INDEX(卡牌消耗!$H$13:$H$33,世界BOSS专属武器!N1027)</f>
        <v>1501019</v>
      </c>
      <c r="P1027" s="49" t="s">
        <v>480</v>
      </c>
      <c r="Q1027" s="15">
        <f t="shared" si="191"/>
        <v>29</v>
      </c>
      <c r="R1027" s="49" t="str">
        <f t="shared" si="192"/>
        <v>金币</v>
      </c>
      <c r="S1027" s="15">
        <f t="shared" si="193"/>
        <v>5000</v>
      </c>
      <c r="T1027" s="15" t="str">
        <f t="shared" si="194"/>
        <v>低级专属强化石</v>
      </c>
      <c r="U1027" s="15">
        <f t="shared" si="195"/>
        <v>15</v>
      </c>
      <c r="V1027" s="15" t="str">
        <f t="shared" si="196"/>
        <v>中级专属强化石</v>
      </c>
      <c r="W1027" s="15">
        <f t="shared" si="197"/>
        <v>7</v>
      </c>
      <c r="X1027" s="15">
        <f t="shared" si="198"/>
        <v>0.15</v>
      </c>
      <c r="Y1027" s="15">
        <f t="shared" si="199"/>
        <v>1</v>
      </c>
      <c r="Z1027" s="15">
        <f t="shared" si="200"/>
        <v>25</v>
      </c>
      <c r="AA1027" s="15">
        <f t="shared" si="201"/>
        <v>0.38</v>
      </c>
    </row>
    <row r="1028" spans="13:27" ht="16.5" x14ac:dyDescent="0.2">
      <c r="M1028" s="15">
        <v>949</v>
      </c>
      <c r="N1028" s="15">
        <f t="shared" si="190"/>
        <v>19</v>
      </c>
      <c r="O1028" s="15">
        <f>INDEX(卡牌消耗!$H$13:$H$33,世界BOSS专属武器!N1028)</f>
        <v>1501019</v>
      </c>
      <c r="P1028" s="49" t="s">
        <v>480</v>
      </c>
      <c r="Q1028" s="15">
        <f t="shared" si="191"/>
        <v>30</v>
      </c>
      <c r="R1028" s="49" t="str">
        <f t="shared" si="192"/>
        <v>金币</v>
      </c>
      <c r="S1028" s="15">
        <f t="shared" si="193"/>
        <v>10000</v>
      </c>
      <c r="T1028" s="15" t="str">
        <f t="shared" si="194"/>
        <v>中级专属强化石</v>
      </c>
      <c r="U1028" s="15">
        <f t="shared" si="195"/>
        <v>8</v>
      </c>
      <c r="V1028" s="15" t="str">
        <f t="shared" si="196"/>
        <v>高级专属强化石</v>
      </c>
      <c r="W1028" s="15">
        <f t="shared" si="197"/>
        <v>3</v>
      </c>
      <c r="X1028" s="15">
        <f t="shared" si="198"/>
        <v>0.1</v>
      </c>
      <c r="Y1028" s="15">
        <f t="shared" si="199"/>
        <v>1</v>
      </c>
      <c r="Z1028" s="15">
        <f t="shared" si="200"/>
        <v>30</v>
      </c>
      <c r="AA1028" s="15">
        <f t="shared" si="201"/>
        <v>0.4</v>
      </c>
    </row>
    <row r="1029" spans="13:27" ht="16.5" x14ac:dyDescent="0.2">
      <c r="M1029" s="15">
        <v>950</v>
      </c>
      <c r="N1029" s="15">
        <f t="shared" si="190"/>
        <v>19</v>
      </c>
      <c r="O1029" s="15">
        <f>INDEX(卡牌消耗!$H$13:$H$33,世界BOSS专属武器!N1029)</f>
        <v>1501019</v>
      </c>
      <c r="P1029" s="49" t="s">
        <v>480</v>
      </c>
      <c r="Q1029" s="15">
        <f t="shared" si="191"/>
        <v>31</v>
      </c>
      <c r="R1029" s="49" t="str">
        <f t="shared" si="192"/>
        <v>金币</v>
      </c>
      <c r="S1029" s="15">
        <f t="shared" si="193"/>
        <v>10000</v>
      </c>
      <c r="T1029" s="15" t="str">
        <f t="shared" si="194"/>
        <v>中级专属强化石</v>
      </c>
      <c r="U1029" s="15">
        <f t="shared" si="195"/>
        <v>8</v>
      </c>
      <c r="V1029" s="15" t="str">
        <f t="shared" si="196"/>
        <v>高级专属强化石</v>
      </c>
      <c r="W1029" s="15">
        <f t="shared" si="197"/>
        <v>3</v>
      </c>
      <c r="X1029" s="15">
        <f t="shared" si="198"/>
        <v>0.1</v>
      </c>
      <c r="Y1029" s="15">
        <f t="shared" si="199"/>
        <v>1</v>
      </c>
      <c r="Z1029" s="15">
        <f t="shared" si="200"/>
        <v>30</v>
      </c>
      <c r="AA1029" s="15">
        <f t="shared" si="201"/>
        <v>0.42670000000000002</v>
      </c>
    </row>
    <row r="1030" spans="13:27" ht="16.5" x14ac:dyDescent="0.2">
      <c r="M1030" s="15">
        <v>951</v>
      </c>
      <c r="N1030" s="15">
        <f t="shared" si="190"/>
        <v>19</v>
      </c>
      <c r="O1030" s="15">
        <f>INDEX(卡牌消耗!$H$13:$H$33,世界BOSS专属武器!N1030)</f>
        <v>1501019</v>
      </c>
      <c r="P1030" s="49" t="s">
        <v>480</v>
      </c>
      <c r="Q1030" s="15">
        <f t="shared" si="191"/>
        <v>32</v>
      </c>
      <c r="R1030" s="49" t="str">
        <f t="shared" si="192"/>
        <v>金币</v>
      </c>
      <c r="S1030" s="15">
        <f t="shared" si="193"/>
        <v>10000</v>
      </c>
      <c r="T1030" s="15" t="str">
        <f t="shared" si="194"/>
        <v>中级专属强化石</v>
      </c>
      <c r="U1030" s="15">
        <f t="shared" si="195"/>
        <v>8</v>
      </c>
      <c r="V1030" s="15" t="str">
        <f t="shared" si="196"/>
        <v>高级专属强化石</v>
      </c>
      <c r="W1030" s="15">
        <f t="shared" si="197"/>
        <v>3</v>
      </c>
      <c r="X1030" s="15">
        <f t="shared" si="198"/>
        <v>0.1</v>
      </c>
      <c r="Y1030" s="15">
        <f t="shared" si="199"/>
        <v>1</v>
      </c>
      <c r="Z1030" s="15">
        <f t="shared" si="200"/>
        <v>30</v>
      </c>
      <c r="AA1030" s="15">
        <f t="shared" si="201"/>
        <v>0.45329999999999998</v>
      </c>
    </row>
    <row r="1031" spans="13:27" ht="16.5" x14ac:dyDescent="0.2">
      <c r="M1031" s="15">
        <v>952</v>
      </c>
      <c r="N1031" s="15">
        <f t="shared" si="190"/>
        <v>19</v>
      </c>
      <c r="O1031" s="15">
        <f>INDEX(卡牌消耗!$H$13:$H$33,世界BOSS专属武器!N1031)</f>
        <v>1501019</v>
      </c>
      <c r="P1031" s="49" t="s">
        <v>480</v>
      </c>
      <c r="Q1031" s="15">
        <f t="shared" si="191"/>
        <v>33</v>
      </c>
      <c r="R1031" s="49" t="str">
        <f t="shared" si="192"/>
        <v>金币</v>
      </c>
      <c r="S1031" s="15">
        <f t="shared" si="193"/>
        <v>10000</v>
      </c>
      <c r="T1031" s="15" t="str">
        <f t="shared" si="194"/>
        <v>中级专属强化石</v>
      </c>
      <c r="U1031" s="15">
        <f t="shared" si="195"/>
        <v>8</v>
      </c>
      <c r="V1031" s="15" t="str">
        <f t="shared" si="196"/>
        <v>高级专属强化石</v>
      </c>
      <c r="W1031" s="15">
        <f t="shared" si="197"/>
        <v>3</v>
      </c>
      <c r="X1031" s="15">
        <f t="shared" si="198"/>
        <v>0.1</v>
      </c>
      <c r="Y1031" s="15">
        <f t="shared" si="199"/>
        <v>1</v>
      </c>
      <c r="Z1031" s="15">
        <f t="shared" si="200"/>
        <v>30</v>
      </c>
      <c r="AA1031" s="15">
        <f t="shared" si="201"/>
        <v>0.48</v>
      </c>
    </row>
    <row r="1032" spans="13:27" ht="16.5" x14ac:dyDescent="0.2">
      <c r="M1032" s="15">
        <v>953</v>
      </c>
      <c r="N1032" s="15">
        <f t="shared" si="190"/>
        <v>19</v>
      </c>
      <c r="O1032" s="15">
        <f>INDEX(卡牌消耗!$H$13:$H$33,世界BOSS专属武器!N1032)</f>
        <v>1501019</v>
      </c>
      <c r="P1032" s="49" t="s">
        <v>480</v>
      </c>
      <c r="Q1032" s="15">
        <f t="shared" si="191"/>
        <v>34</v>
      </c>
      <c r="R1032" s="49" t="str">
        <f t="shared" si="192"/>
        <v>金币</v>
      </c>
      <c r="S1032" s="15">
        <f t="shared" si="193"/>
        <v>10000</v>
      </c>
      <c r="T1032" s="15" t="str">
        <f t="shared" si="194"/>
        <v>中级专属强化石</v>
      </c>
      <c r="U1032" s="15">
        <f t="shared" si="195"/>
        <v>8</v>
      </c>
      <c r="V1032" s="15" t="str">
        <f t="shared" si="196"/>
        <v>高级专属强化石</v>
      </c>
      <c r="W1032" s="15">
        <f t="shared" si="197"/>
        <v>3</v>
      </c>
      <c r="X1032" s="15">
        <f t="shared" si="198"/>
        <v>0.1</v>
      </c>
      <c r="Y1032" s="15">
        <f t="shared" si="199"/>
        <v>1</v>
      </c>
      <c r="Z1032" s="15">
        <f t="shared" si="200"/>
        <v>30</v>
      </c>
      <c r="AA1032" s="15">
        <f t="shared" si="201"/>
        <v>0.50670000000000004</v>
      </c>
    </row>
    <row r="1033" spans="13:27" ht="16.5" x14ac:dyDescent="0.2">
      <c r="M1033" s="15">
        <v>954</v>
      </c>
      <c r="N1033" s="15">
        <f t="shared" si="190"/>
        <v>19</v>
      </c>
      <c r="O1033" s="15">
        <f>INDEX(卡牌消耗!$H$13:$H$33,世界BOSS专属武器!N1033)</f>
        <v>1501019</v>
      </c>
      <c r="P1033" s="49" t="s">
        <v>480</v>
      </c>
      <c r="Q1033" s="15">
        <f t="shared" si="191"/>
        <v>35</v>
      </c>
      <c r="R1033" s="49" t="str">
        <f t="shared" si="192"/>
        <v>金币</v>
      </c>
      <c r="S1033" s="15">
        <f t="shared" si="193"/>
        <v>10000</v>
      </c>
      <c r="T1033" s="15" t="str">
        <f t="shared" si="194"/>
        <v>中级专属强化石</v>
      </c>
      <c r="U1033" s="15">
        <f t="shared" si="195"/>
        <v>8</v>
      </c>
      <c r="V1033" s="15" t="str">
        <f t="shared" si="196"/>
        <v>高级专属强化石</v>
      </c>
      <c r="W1033" s="15">
        <f t="shared" si="197"/>
        <v>3</v>
      </c>
      <c r="X1033" s="15">
        <f t="shared" si="198"/>
        <v>0.1</v>
      </c>
      <c r="Y1033" s="15">
        <f t="shared" si="199"/>
        <v>1</v>
      </c>
      <c r="Z1033" s="15">
        <f t="shared" si="200"/>
        <v>30</v>
      </c>
      <c r="AA1033" s="15">
        <f t="shared" si="201"/>
        <v>0.5333</v>
      </c>
    </row>
    <row r="1034" spans="13:27" ht="16.5" x14ac:dyDescent="0.2">
      <c r="M1034" s="15">
        <v>955</v>
      </c>
      <c r="N1034" s="15">
        <f t="shared" si="190"/>
        <v>19</v>
      </c>
      <c r="O1034" s="15">
        <f>INDEX(卡牌消耗!$H$13:$H$33,世界BOSS专属武器!N1034)</f>
        <v>1501019</v>
      </c>
      <c r="P1034" s="49" t="s">
        <v>480</v>
      </c>
      <c r="Q1034" s="15">
        <f t="shared" si="191"/>
        <v>36</v>
      </c>
      <c r="R1034" s="49" t="str">
        <f t="shared" si="192"/>
        <v>金币</v>
      </c>
      <c r="S1034" s="15">
        <f t="shared" si="193"/>
        <v>10000</v>
      </c>
      <c r="T1034" s="15" t="str">
        <f t="shared" si="194"/>
        <v>中级专属强化石</v>
      </c>
      <c r="U1034" s="15">
        <f t="shared" si="195"/>
        <v>8</v>
      </c>
      <c r="V1034" s="15" t="str">
        <f t="shared" si="196"/>
        <v>高级专属强化石</v>
      </c>
      <c r="W1034" s="15">
        <f t="shared" si="197"/>
        <v>3</v>
      </c>
      <c r="X1034" s="15">
        <f t="shared" si="198"/>
        <v>0.1</v>
      </c>
      <c r="Y1034" s="15">
        <f t="shared" si="199"/>
        <v>1</v>
      </c>
      <c r="Z1034" s="15">
        <f t="shared" si="200"/>
        <v>30</v>
      </c>
      <c r="AA1034" s="15">
        <f t="shared" si="201"/>
        <v>0.56000000000000005</v>
      </c>
    </row>
    <row r="1035" spans="13:27" ht="16.5" x14ac:dyDescent="0.2">
      <c r="M1035" s="15">
        <v>956</v>
      </c>
      <c r="N1035" s="15">
        <f t="shared" si="190"/>
        <v>19</v>
      </c>
      <c r="O1035" s="15">
        <f>INDEX(卡牌消耗!$H$13:$H$33,世界BOSS专属武器!N1035)</f>
        <v>1501019</v>
      </c>
      <c r="P1035" s="49" t="s">
        <v>480</v>
      </c>
      <c r="Q1035" s="15">
        <f t="shared" si="191"/>
        <v>37</v>
      </c>
      <c r="R1035" s="49" t="str">
        <f t="shared" si="192"/>
        <v>金币</v>
      </c>
      <c r="S1035" s="15">
        <f t="shared" si="193"/>
        <v>10000</v>
      </c>
      <c r="T1035" s="15" t="str">
        <f t="shared" si="194"/>
        <v>中级专属强化石</v>
      </c>
      <c r="U1035" s="15">
        <f t="shared" si="195"/>
        <v>8</v>
      </c>
      <c r="V1035" s="15" t="str">
        <f t="shared" si="196"/>
        <v>高级专属强化石</v>
      </c>
      <c r="W1035" s="15">
        <f t="shared" si="197"/>
        <v>3</v>
      </c>
      <c r="X1035" s="15">
        <f t="shared" si="198"/>
        <v>0.1</v>
      </c>
      <c r="Y1035" s="15">
        <f t="shared" si="199"/>
        <v>1</v>
      </c>
      <c r="Z1035" s="15">
        <f t="shared" si="200"/>
        <v>30</v>
      </c>
      <c r="AA1035" s="15">
        <f t="shared" si="201"/>
        <v>0.5867</v>
      </c>
    </row>
    <row r="1036" spans="13:27" ht="16.5" x14ac:dyDescent="0.2">
      <c r="M1036" s="15">
        <v>957</v>
      </c>
      <c r="N1036" s="15">
        <f t="shared" si="190"/>
        <v>19</v>
      </c>
      <c r="O1036" s="15">
        <f>INDEX(卡牌消耗!$H$13:$H$33,世界BOSS专属武器!N1036)</f>
        <v>1501019</v>
      </c>
      <c r="P1036" s="49" t="s">
        <v>480</v>
      </c>
      <c r="Q1036" s="15">
        <f t="shared" si="191"/>
        <v>38</v>
      </c>
      <c r="R1036" s="49" t="str">
        <f t="shared" si="192"/>
        <v>金币</v>
      </c>
      <c r="S1036" s="15">
        <f t="shared" si="193"/>
        <v>10000</v>
      </c>
      <c r="T1036" s="15" t="str">
        <f t="shared" si="194"/>
        <v>中级专属强化石</v>
      </c>
      <c r="U1036" s="15">
        <f t="shared" si="195"/>
        <v>8</v>
      </c>
      <c r="V1036" s="15" t="str">
        <f t="shared" si="196"/>
        <v>高级专属强化石</v>
      </c>
      <c r="W1036" s="15">
        <f t="shared" si="197"/>
        <v>3</v>
      </c>
      <c r="X1036" s="15">
        <f t="shared" si="198"/>
        <v>0.1</v>
      </c>
      <c r="Y1036" s="15">
        <f t="shared" si="199"/>
        <v>1</v>
      </c>
      <c r="Z1036" s="15">
        <f t="shared" si="200"/>
        <v>30</v>
      </c>
      <c r="AA1036" s="15">
        <f t="shared" si="201"/>
        <v>0.61329999999999996</v>
      </c>
    </row>
    <row r="1037" spans="13:27" ht="16.5" x14ac:dyDescent="0.2">
      <c r="M1037" s="15">
        <v>958</v>
      </c>
      <c r="N1037" s="15">
        <f t="shared" si="190"/>
        <v>19</v>
      </c>
      <c r="O1037" s="15">
        <f>INDEX(卡牌消耗!$H$13:$H$33,世界BOSS专属武器!N1037)</f>
        <v>1501019</v>
      </c>
      <c r="P1037" s="49" t="s">
        <v>480</v>
      </c>
      <c r="Q1037" s="15">
        <f t="shared" si="191"/>
        <v>39</v>
      </c>
      <c r="R1037" s="49" t="str">
        <f t="shared" si="192"/>
        <v>金币</v>
      </c>
      <c r="S1037" s="15">
        <f t="shared" si="193"/>
        <v>10000</v>
      </c>
      <c r="T1037" s="15" t="str">
        <f t="shared" si="194"/>
        <v>中级专属强化石</v>
      </c>
      <c r="U1037" s="15">
        <f t="shared" si="195"/>
        <v>8</v>
      </c>
      <c r="V1037" s="15" t="str">
        <f t="shared" si="196"/>
        <v>高级专属强化石</v>
      </c>
      <c r="W1037" s="15">
        <f t="shared" si="197"/>
        <v>3</v>
      </c>
      <c r="X1037" s="15">
        <f t="shared" si="198"/>
        <v>0.1</v>
      </c>
      <c r="Y1037" s="15">
        <f t="shared" si="199"/>
        <v>1</v>
      </c>
      <c r="Z1037" s="15">
        <f t="shared" si="200"/>
        <v>30</v>
      </c>
      <c r="AA1037" s="15">
        <f t="shared" si="201"/>
        <v>0.64</v>
      </c>
    </row>
    <row r="1038" spans="13:27" ht="16.5" x14ac:dyDescent="0.2">
      <c r="M1038" s="15">
        <v>959</v>
      </c>
      <c r="N1038" s="15">
        <f t="shared" si="190"/>
        <v>19</v>
      </c>
      <c r="O1038" s="15">
        <f>INDEX(卡牌消耗!$H$13:$H$33,世界BOSS专属武器!N1038)</f>
        <v>1501019</v>
      </c>
      <c r="P1038" s="49" t="s">
        <v>480</v>
      </c>
      <c r="Q1038" s="15">
        <f t="shared" si="191"/>
        <v>40</v>
      </c>
      <c r="R1038" s="49" t="str">
        <f t="shared" si="192"/>
        <v>金币</v>
      </c>
      <c r="S1038" s="15">
        <f t="shared" si="193"/>
        <v>20000</v>
      </c>
      <c r="T1038" s="15" t="str">
        <f t="shared" si="194"/>
        <v>高级专属强化石</v>
      </c>
      <c r="U1038" s="15">
        <f t="shared" si="195"/>
        <v>5</v>
      </c>
      <c r="V1038" s="15" t="str">
        <f t="shared" si="196"/>
        <v>[x]</v>
      </c>
      <c r="W1038" s="15" t="str">
        <f t="shared" si="197"/>
        <v>[x]</v>
      </c>
      <c r="X1038" s="15">
        <f t="shared" si="198"/>
        <v>0.1</v>
      </c>
      <c r="Y1038" s="15">
        <f t="shared" si="199"/>
        <v>1</v>
      </c>
      <c r="Z1038" s="15">
        <f t="shared" si="200"/>
        <v>35</v>
      </c>
      <c r="AA1038" s="15">
        <f t="shared" si="201"/>
        <v>0.66669999999999996</v>
      </c>
    </row>
    <row r="1039" spans="13:27" ht="16.5" x14ac:dyDescent="0.2">
      <c r="M1039" s="15">
        <v>960</v>
      </c>
      <c r="N1039" s="15">
        <f t="shared" si="190"/>
        <v>19</v>
      </c>
      <c r="O1039" s="15">
        <f>INDEX(卡牌消耗!$H$13:$H$33,世界BOSS专属武器!N1039)</f>
        <v>1501019</v>
      </c>
      <c r="P1039" s="49" t="s">
        <v>480</v>
      </c>
      <c r="Q1039" s="15">
        <f t="shared" si="191"/>
        <v>41</v>
      </c>
      <c r="R1039" s="49" t="str">
        <f t="shared" si="192"/>
        <v>金币</v>
      </c>
      <c r="S1039" s="15">
        <f t="shared" si="193"/>
        <v>20000</v>
      </c>
      <c r="T1039" s="15" t="str">
        <f t="shared" si="194"/>
        <v>高级专属强化石</v>
      </c>
      <c r="U1039" s="15">
        <f t="shared" si="195"/>
        <v>5</v>
      </c>
      <c r="V1039" s="15" t="str">
        <f t="shared" si="196"/>
        <v>[x]</v>
      </c>
      <c r="W1039" s="15" t="str">
        <f t="shared" si="197"/>
        <v>[x]</v>
      </c>
      <c r="X1039" s="15">
        <f t="shared" si="198"/>
        <v>0.1</v>
      </c>
      <c r="Y1039" s="15">
        <f t="shared" si="199"/>
        <v>1</v>
      </c>
      <c r="Z1039" s="15">
        <f t="shared" si="200"/>
        <v>40</v>
      </c>
      <c r="AA1039" s="15">
        <f t="shared" si="201"/>
        <v>0.7</v>
      </c>
    </row>
    <row r="1040" spans="13:27" ht="16.5" x14ac:dyDescent="0.2">
      <c r="M1040" s="15">
        <v>961</v>
      </c>
      <c r="N1040" s="15">
        <f t="shared" si="190"/>
        <v>19</v>
      </c>
      <c r="O1040" s="15">
        <f>INDEX(卡牌消耗!$H$13:$H$33,世界BOSS专属武器!N1040)</f>
        <v>1501019</v>
      </c>
      <c r="P1040" s="49" t="s">
        <v>480</v>
      </c>
      <c r="Q1040" s="15">
        <f t="shared" si="191"/>
        <v>42</v>
      </c>
      <c r="R1040" s="49" t="str">
        <f t="shared" si="192"/>
        <v>金币</v>
      </c>
      <c r="S1040" s="15">
        <f t="shared" si="193"/>
        <v>20000</v>
      </c>
      <c r="T1040" s="15" t="str">
        <f t="shared" si="194"/>
        <v>高级专属强化石</v>
      </c>
      <c r="U1040" s="15">
        <f t="shared" si="195"/>
        <v>5</v>
      </c>
      <c r="V1040" s="15" t="str">
        <f t="shared" si="196"/>
        <v>[x]</v>
      </c>
      <c r="W1040" s="15" t="str">
        <f t="shared" si="197"/>
        <v>[x]</v>
      </c>
      <c r="X1040" s="15">
        <f t="shared" si="198"/>
        <v>0.1</v>
      </c>
      <c r="Y1040" s="15">
        <f t="shared" si="199"/>
        <v>1</v>
      </c>
      <c r="Z1040" s="15">
        <f t="shared" si="200"/>
        <v>45</v>
      </c>
      <c r="AA1040" s="15">
        <f t="shared" si="201"/>
        <v>0.73329999999999995</v>
      </c>
    </row>
    <row r="1041" spans="13:27" ht="16.5" x14ac:dyDescent="0.2">
      <c r="M1041" s="15">
        <v>962</v>
      </c>
      <c r="N1041" s="15">
        <f t="shared" ref="N1041:N1079" si="202">INT((M1041-1)/51)+1</f>
        <v>19</v>
      </c>
      <c r="O1041" s="15">
        <f>INDEX(卡牌消耗!$H$13:$H$33,世界BOSS专属武器!N1041)</f>
        <v>1501019</v>
      </c>
      <c r="P1041" s="49" t="s">
        <v>480</v>
      </c>
      <c r="Q1041" s="15">
        <f t="shared" ref="Q1041:Q1079" si="203">MOD(M1041-1,51)</f>
        <v>43</v>
      </c>
      <c r="R1041" s="49" t="str">
        <f t="shared" ref="R1041:R1079" si="204">IF(Q1041&gt;0,"金币","[x]")</f>
        <v>金币</v>
      </c>
      <c r="S1041" s="15">
        <f t="shared" ref="S1041:S1079" si="205">IF(Q1041&gt;0,INDEX($V$27:$V$76,Q1041),"[x]")</f>
        <v>20000</v>
      </c>
      <c r="T1041" s="15" t="str">
        <f t="shared" ref="T1041:T1079" si="206">IF(Q1041&gt;0,INDEX($W$27:$W$76,Q1041),"[x]")</f>
        <v>高级专属强化石</v>
      </c>
      <c r="U1041" s="15">
        <f t="shared" ref="U1041:U1079" si="207">IF(Q1041&gt;0,INDEX($AA$27:$AF$76,Q1041,INDEX($Y$27:$Y$76,Q1041)),"[x]")</f>
        <v>5</v>
      </c>
      <c r="V1041" s="15" t="str">
        <f t="shared" ref="V1041:V1079" si="208">IF(AND(Q1041&gt;=20,Q1041&lt;40),INDEX($X$27:$X$76,Q1041),"[x]")</f>
        <v>[x]</v>
      </c>
      <c r="W1041" s="15" t="str">
        <f t="shared" ref="W1041:W1079" si="209">IF(AND(Q1041&gt;=20,Q1041&lt;40),INDEX($AA$27:$AF$76,Q1041,INDEX($Z$27:$Z$76,Q1041)),"[x]")</f>
        <v>[x]</v>
      </c>
      <c r="X1041" s="15">
        <f t="shared" ref="X1041:X1079" si="210">IF(Q1041&gt;0,INDEX($T$27:$T$76,Q1041),"[x]")</f>
        <v>0.1</v>
      </c>
      <c r="Y1041" s="15">
        <f t="shared" ref="Y1041:Y1079" si="211">IF(Q1041&gt;0,1,"[x]")</f>
        <v>1</v>
      </c>
      <c r="Z1041" s="15">
        <f t="shared" ref="Z1041:Z1079" si="212">IF(Q1041&gt;0,INDEX($AG$27:$AG$76,Q1041),"[x]")</f>
        <v>50</v>
      </c>
      <c r="AA1041" s="15">
        <f t="shared" ref="AA1041:AA1079" si="213">IF(Q1041&gt;0,INDEX($AL$27:$AL$76,Q1041),"[x]")</f>
        <v>0.76670000000000005</v>
      </c>
    </row>
    <row r="1042" spans="13:27" ht="16.5" x14ac:dyDescent="0.2">
      <c r="M1042" s="15">
        <v>963</v>
      </c>
      <c r="N1042" s="15">
        <f t="shared" si="202"/>
        <v>19</v>
      </c>
      <c r="O1042" s="15">
        <f>INDEX(卡牌消耗!$H$13:$H$33,世界BOSS专属武器!N1042)</f>
        <v>1501019</v>
      </c>
      <c r="P1042" s="49" t="s">
        <v>480</v>
      </c>
      <c r="Q1042" s="15">
        <f t="shared" si="203"/>
        <v>44</v>
      </c>
      <c r="R1042" s="49" t="str">
        <f t="shared" si="204"/>
        <v>金币</v>
      </c>
      <c r="S1042" s="15">
        <f t="shared" si="205"/>
        <v>20000</v>
      </c>
      <c r="T1042" s="15" t="str">
        <f t="shared" si="206"/>
        <v>高级专属强化石</v>
      </c>
      <c r="U1042" s="15">
        <f t="shared" si="207"/>
        <v>5</v>
      </c>
      <c r="V1042" s="15" t="str">
        <f t="shared" si="208"/>
        <v>[x]</v>
      </c>
      <c r="W1042" s="15" t="str">
        <f t="shared" si="209"/>
        <v>[x]</v>
      </c>
      <c r="X1042" s="15">
        <f t="shared" si="210"/>
        <v>0.1</v>
      </c>
      <c r="Y1042" s="15">
        <f t="shared" si="211"/>
        <v>1</v>
      </c>
      <c r="Z1042" s="15">
        <f t="shared" si="212"/>
        <v>55</v>
      </c>
      <c r="AA1042" s="15">
        <f t="shared" si="213"/>
        <v>0.8</v>
      </c>
    </row>
    <row r="1043" spans="13:27" ht="16.5" x14ac:dyDescent="0.2">
      <c r="M1043" s="15">
        <v>964</v>
      </c>
      <c r="N1043" s="15">
        <f t="shared" si="202"/>
        <v>19</v>
      </c>
      <c r="O1043" s="15">
        <f>INDEX(卡牌消耗!$H$13:$H$33,世界BOSS专属武器!N1043)</f>
        <v>1501019</v>
      </c>
      <c r="P1043" s="49" t="s">
        <v>480</v>
      </c>
      <c r="Q1043" s="15">
        <f t="shared" si="203"/>
        <v>45</v>
      </c>
      <c r="R1043" s="49" t="str">
        <f t="shared" si="204"/>
        <v>金币</v>
      </c>
      <c r="S1043" s="15">
        <f t="shared" si="205"/>
        <v>20000</v>
      </c>
      <c r="T1043" s="15" t="str">
        <f t="shared" si="206"/>
        <v>高级专属强化石</v>
      </c>
      <c r="U1043" s="15">
        <f t="shared" si="207"/>
        <v>6</v>
      </c>
      <c r="V1043" s="15" t="str">
        <f t="shared" si="208"/>
        <v>[x]</v>
      </c>
      <c r="W1043" s="15" t="str">
        <f t="shared" si="209"/>
        <v>[x]</v>
      </c>
      <c r="X1043" s="15">
        <f t="shared" si="210"/>
        <v>0.1</v>
      </c>
      <c r="Y1043" s="15">
        <f t="shared" si="211"/>
        <v>1</v>
      </c>
      <c r="Z1043" s="15">
        <f t="shared" si="212"/>
        <v>60</v>
      </c>
      <c r="AA1043" s="15">
        <f t="shared" si="213"/>
        <v>0.83330000000000004</v>
      </c>
    </row>
    <row r="1044" spans="13:27" ht="16.5" x14ac:dyDescent="0.2">
      <c r="M1044" s="15">
        <v>965</v>
      </c>
      <c r="N1044" s="15">
        <f t="shared" si="202"/>
        <v>19</v>
      </c>
      <c r="O1044" s="15">
        <f>INDEX(卡牌消耗!$H$13:$H$33,世界BOSS专属武器!N1044)</f>
        <v>1501019</v>
      </c>
      <c r="P1044" s="49" t="s">
        <v>480</v>
      </c>
      <c r="Q1044" s="15">
        <f t="shared" si="203"/>
        <v>46</v>
      </c>
      <c r="R1044" s="49" t="str">
        <f t="shared" si="204"/>
        <v>金币</v>
      </c>
      <c r="S1044" s="15">
        <f t="shared" si="205"/>
        <v>20000</v>
      </c>
      <c r="T1044" s="15" t="str">
        <f t="shared" si="206"/>
        <v>高级专属强化石</v>
      </c>
      <c r="U1044" s="15">
        <f t="shared" si="207"/>
        <v>7</v>
      </c>
      <c r="V1044" s="15" t="str">
        <f t="shared" si="208"/>
        <v>[x]</v>
      </c>
      <c r="W1044" s="15" t="str">
        <f t="shared" si="209"/>
        <v>[x]</v>
      </c>
      <c r="X1044" s="15">
        <f t="shared" si="210"/>
        <v>0.1</v>
      </c>
      <c r="Y1044" s="15">
        <f t="shared" si="211"/>
        <v>1</v>
      </c>
      <c r="Z1044" s="15">
        <f t="shared" si="212"/>
        <v>70</v>
      </c>
      <c r="AA1044" s="15">
        <f t="shared" si="213"/>
        <v>0.86670000000000003</v>
      </c>
    </row>
    <row r="1045" spans="13:27" ht="16.5" x14ac:dyDescent="0.2">
      <c r="M1045" s="15">
        <v>966</v>
      </c>
      <c r="N1045" s="15">
        <f t="shared" si="202"/>
        <v>19</v>
      </c>
      <c r="O1045" s="15">
        <f>INDEX(卡牌消耗!$H$13:$H$33,世界BOSS专属武器!N1045)</f>
        <v>1501019</v>
      </c>
      <c r="P1045" s="49" t="s">
        <v>480</v>
      </c>
      <c r="Q1045" s="15">
        <f t="shared" si="203"/>
        <v>47</v>
      </c>
      <c r="R1045" s="49" t="str">
        <f t="shared" si="204"/>
        <v>金币</v>
      </c>
      <c r="S1045" s="15">
        <f t="shared" si="205"/>
        <v>20000</v>
      </c>
      <c r="T1045" s="15" t="str">
        <f t="shared" si="206"/>
        <v>高级专属强化石</v>
      </c>
      <c r="U1045" s="15">
        <f t="shared" si="207"/>
        <v>8</v>
      </c>
      <c r="V1045" s="15" t="str">
        <f t="shared" si="208"/>
        <v>[x]</v>
      </c>
      <c r="W1045" s="15" t="str">
        <f t="shared" si="209"/>
        <v>[x]</v>
      </c>
      <c r="X1045" s="15">
        <f t="shared" si="210"/>
        <v>0.1</v>
      </c>
      <c r="Y1045" s="15">
        <f t="shared" si="211"/>
        <v>1</v>
      </c>
      <c r="Z1045" s="15">
        <f t="shared" si="212"/>
        <v>80</v>
      </c>
      <c r="AA1045" s="15">
        <f t="shared" si="213"/>
        <v>0.9</v>
      </c>
    </row>
    <row r="1046" spans="13:27" ht="16.5" x14ac:dyDescent="0.2">
      <c r="M1046" s="15">
        <v>967</v>
      </c>
      <c r="N1046" s="15">
        <f t="shared" si="202"/>
        <v>19</v>
      </c>
      <c r="O1046" s="15">
        <f>INDEX(卡牌消耗!$H$13:$H$33,世界BOSS专属武器!N1046)</f>
        <v>1501019</v>
      </c>
      <c r="P1046" s="49" t="s">
        <v>480</v>
      </c>
      <c r="Q1046" s="15">
        <f t="shared" si="203"/>
        <v>48</v>
      </c>
      <c r="R1046" s="49" t="str">
        <f t="shared" si="204"/>
        <v>金币</v>
      </c>
      <c r="S1046" s="15">
        <f t="shared" si="205"/>
        <v>20000</v>
      </c>
      <c r="T1046" s="15" t="str">
        <f t="shared" si="206"/>
        <v>高级专属强化石</v>
      </c>
      <c r="U1046" s="15">
        <f t="shared" si="207"/>
        <v>9</v>
      </c>
      <c r="V1046" s="15" t="str">
        <f t="shared" si="208"/>
        <v>[x]</v>
      </c>
      <c r="W1046" s="15" t="str">
        <f t="shared" si="209"/>
        <v>[x]</v>
      </c>
      <c r="X1046" s="15">
        <f t="shared" si="210"/>
        <v>0.1</v>
      </c>
      <c r="Y1046" s="15">
        <f t="shared" si="211"/>
        <v>1</v>
      </c>
      <c r="Z1046" s="15">
        <f t="shared" si="212"/>
        <v>100</v>
      </c>
      <c r="AA1046" s="15">
        <f t="shared" si="213"/>
        <v>0.93330000000000002</v>
      </c>
    </row>
    <row r="1047" spans="13:27" ht="16.5" x14ac:dyDescent="0.2">
      <c r="M1047" s="15">
        <v>968</v>
      </c>
      <c r="N1047" s="15">
        <f t="shared" si="202"/>
        <v>19</v>
      </c>
      <c r="O1047" s="15">
        <f>INDEX(卡牌消耗!$H$13:$H$33,世界BOSS专属武器!N1047)</f>
        <v>1501019</v>
      </c>
      <c r="P1047" s="49" t="s">
        <v>480</v>
      </c>
      <c r="Q1047" s="15">
        <f t="shared" si="203"/>
        <v>49</v>
      </c>
      <c r="R1047" s="49" t="str">
        <f t="shared" si="204"/>
        <v>金币</v>
      </c>
      <c r="S1047" s="15">
        <f t="shared" si="205"/>
        <v>20000</v>
      </c>
      <c r="T1047" s="15" t="str">
        <f t="shared" si="206"/>
        <v>高级专属强化石</v>
      </c>
      <c r="U1047" s="15">
        <f t="shared" si="207"/>
        <v>10</v>
      </c>
      <c r="V1047" s="15" t="str">
        <f t="shared" si="208"/>
        <v>[x]</v>
      </c>
      <c r="W1047" s="15" t="str">
        <f t="shared" si="209"/>
        <v>[x]</v>
      </c>
      <c r="X1047" s="15">
        <f t="shared" si="210"/>
        <v>0.1</v>
      </c>
      <c r="Y1047" s="15">
        <f t="shared" si="211"/>
        <v>1</v>
      </c>
      <c r="Z1047" s="15">
        <f t="shared" si="212"/>
        <v>120</v>
      </c>
      <c r="AA1047" s="15">
        <f t="shared" si="213"/>
        <v>0.9667</v>
      </c>
    </row>
    <row r="1048" spans="13:27" ht="16.5" x14ac:dyDescent="0.2">
      <c r="M1048" s="15">
        <v>969</v>
      </c>
      <c r="N1048" s="15">
        <f t="shared" si="202"/>
        <v>19</v>
      </c>
      <c r="O1048" s="15">
        <f>INDEX(卡牌消耗!$H$13:$H$33,世界BOSS专属武器!N1048)</f>
        <v>1501019</v>
      </c>
      <c r="P1048" s="49" t="s">
        <v>480</v>
      </c>
      <c r="Q1048" s="15">
        <f t="shared" si="203"/>
        <v>50</v>
      </c>
      <c r="R1048" s="49" t="str">
        <f t="shared" si="204"/>
        <v>金币</v>
      </c>
      <c r="S1048" s="15">
        <f t="shared" si="205"/>
        <v>20000</v>
      </c>
      <c r="T1048" s="15" t="str">
        <f t="shared" si="206"/>
        <v>高级专属强化石</v>
      </c>
      <c r="U1048" s="15">
        <f t="shared" si="207"/>
        <v>15</v>
      </c>
      <c r="V1048" s="15" t="str">
        <f t="shared" si="208"/>
        <v>[x]</v>
      </c>
      <c r="W1048" s="15" t="str">
        <f t="shared" si="209"/>
        <v>[x]</v>
      </c>
      <c r="X1048" s="15">
        <f t="shared" si="210"/>
        <v>0.1</v>
      </c>
      <c r="Y1048" s="15">
        <f t="shared" si="211"/>
        <v>1</v>
      </c>
      <c r="Z1048" s="15">
        <f t="shared" si="212"/>
        <v>150</v>
      </c>
      <c r="AA1048" s="15">
        <f t="shared" si="213"/>
        <v>1</v>
      </c>
    </row>
    <row r="1049" spans="13:27" ht="16.5" x14ac:dyDescent="0.2">
      <c r="M1049" s="15">
        <v>970</v>
      </c>
      <c r="N1049" s="15">
        <f t="shared" si="202"/>
        <v>20</v>
      </c>
      <c r="O1049" s="15">
        <f>INDEX(卡牌消耗!$H$13:$H$33,世界BOSS专属武器!N1049)</f>
        <v>1501020</v>
      </c>
      <c r="P1049" s="49" t="s">
        <v>480</v>
      </c>
      <c r="Q1049" s="15">
        <f t="shared" si="203"/>
        <v>0</v>
      </c>
      <c r="R1049" s="49" t="str">
        <f t="shared" si="204"/>
        <v>[x]</v>
      </c>
      <c r="S1049" s="15" t="str">
        <f t="shared" si="205"/>
        <v>[x]</v>
      </c>
      <c r="T1049" s="15" t="str">
        <f t="shared" si="206"/>
        <v>[x]</v>
      </c>
      <c r="U1049" s="15" t="str">
        <f t="shared" si="207"/>
        <v>[x]</v>
      </c>
      <c r="V1049" s="15" t="str">
        <f t="shared" si="208"/>
        <v>[x]</v>
      </c>
      <c r="W1049" s="15" t="str">
        <f t="shared" si="209"/>
        <v>[x]</v>
      </c>
      <c r="X1049" s="15" t="str">
        <f t="shared" si="210"/>
        <v>[x]</v>
      </c>
      <c r="Y1049" s="15" t="str">
        <f t="shared" si="211"/>
        <v>[x]</v>
      </c>
      <c r="Z1049" s="15" t="str">
        <f t="shared" si="212"/>
        <v>[x]</v>
      </c>
      <c r="AA1049" s="15" t="str">
        <f t="shared" si="213"/>
        <v>[x]</v>
      </c>
    </row>
    <row r="1050" spans="13:27" ht="16.5" x14ac:dyDescent="0.2">
      <c r="M1050" s="15">
        <v>971</v>
      </c>
      <c r="N1050" s="15">
        <f t="shared" si="202"/>
        <v>20</v>
      </c>
      <c r="O1050" s="15">
        <f>INDEX(卡牌消耗!$H$13:$H$33,世界BOSS专属武器!N1050)</f>
        <v>1501020</v>
      </c>
      <c r="P1050" s="49" t="s">
        <v>480</v>
      </c>
      <c r="Q1050" s="15">
        <f t="shared" si="203"/>
        <v>1</v>
      </c>
      <c r="R1050" s="49" t="str">
        <f t="shared" si="204"/>
        <v>金币</v>
      </c>
      <c r="S1050" s="15">
        <f t="shared" si="205"/>
        <v>100</v>
      </c>
      <c r="T1050" s="15" t="str">
        <f t="shared" si="206"/>
        <v>低级专属强化石</v>
      </c>
      <c r="U1050" s="15">
        <f t="shared" si="207"/>
        <v>1</v>
      </c>
      <c r="V1050" s="15" t="str">
        <f t="shared" si="208"/>
        <v>[x]</v>
      </c>
      <c r="W1050" s="15" t="str">
        <f t="shared" si="209"/>
        <v>[x]</v>
      </c>
      <c r="X1050" s="15">
        <f t="shared" si="210"/>
        <v>1</v>
      </c>
      <c r="Y1050" s="15">
        <f t="shared" si="211"/>
        <v>1</v>
      </c>
      <c r="Z1050" s="15">
        <f t="shared" si="212"/>
        <v>1</v>
      </c>
      <c r="AA1050" s="15">
        <f t="shared" si="213"/>
        <v>6.7000000000000002E-3</v>
      </c>
    </row>
    <row r="1051" spans="13:27" ht="16.5" x14ac:dyDescent="0.2">
      <c r="M1051" s="15">
        <v>972</v>
      </c>
      <c r="N1051" s="15">
        <f t="shared" si="202"/>
        <v>20</v>
      </c>
      <c r="O1051" s="15">
        <f>INDEX(卡牌消耗!$H$13:$H$33,世界BOSS专属武器!N1051)</f>
        <v>1501020</v>
      </c>
      <c r="P1051" s="49" t="s">
        <v>480</v>
      </c>
      <c r="Q1051" s="15">
        <f t="shared" si="203"/>
        <v>2</v>
      </c>
      <c r="R1051" s="49" t="str">
        <f t="shared" si="204"/>
        <v>金币</v>
      </c>
      <c r="S1051" s="15">
        <f t="shared" si="205"/>
        <v>200</v>
      </c>
      <c r="T1051" s="15" t="str">
        <f t="shared" si="206"/>
        <v>低级专属强化石</v>
      </c>
      <c r="U1051" s="15">
        <f t="shared" si="207"/>
        <v>1</v>
      </c>
      <c r="V1051" s="15" t="str">
        <f t="shared" si="208"/>
        <v>[x]</v>
      </c>
      <c r="W1051" s="15" t="str">
        <f t="shared" si="209"/>
        <v>[x]</v>
      </c>
      <c r="X1051" s="15">
        <f t="shared" si="210"/>
        <v>0.5</v>
      </c>
      <c r="Y1051" s="15">
        <f t="shared" si="211"/>
        <v>1</v>
      </c>
      <c r="Z1051" s="15">
        <f t="shared" si="212"/>
        <v>2</v>
      </c>
      <c r="AA1051" s="15">
        <f t="shared" si="213"/>
        <v>1.3299999999999999E-2</v>
      </c>
    </row>
    <row r="1052" spans="13:27" ht="16.5" x14ac:dyDescent="0.2">
      <c r="M1052" s="15">
        <v>973</v>
      </c>
      <c r="N1052" s="15">
        <f t="shared" si="202"/>
        <v>20</v>
      </c>
      <c r="O1052" s="15">
        <f>INDEX(卡牌消耗!$H$13:$H$33,世界BOSS专属武器!N1052)</f>
        <v>1501020</v>
      </c>
      <c r="P1052" s="49" t="s">
        <v>480</v>
      </c>
      <c r="Q1052" s="15">
        <f t="shared" si="203"/>
        <v>3</v>
      </c>
      <c r="R1052" s="49" t="str">
        <f t="shared" si="204"/>
        <v>金币</v>
      </c>
      <c r="S1052" s="15">
        <f t="shared" si="205"/>
        <v>300</v>
      </c>
      <c r="T1052" s="15" t="str">
        <f t="shared" si="206"/>
        <v>低级专属强化石</v>
      </c>
      <c r="U1052" s="15">
        <f t="shared" si="207"/>
        <v>2</v>
      </c>
      <c r="V1052" s="15" t="str">
        <f t="shared" si="208"/>
        <v>[x]</v>
      </c>
      <c r="W1052" s="15" t="str">
        <f t="shared" si="209"/>
        <v>[x]</v>
      </c>
      <c r="X1052" s="15">
        <f t="shared" si="210"/>
        <v>0.48</v>
      </c>
      <c r="Y1052" s="15">
        <f t="shared" si="211"/>
        <v>1</v>
      </c>
      <c r="Z1052" s="15">
        <f t="shared" si="212"/>
        <v>3</v>
      </c>
      <c r="AA1052" s="15">
        <f t="shared" si="213"/>
        <v>0.02</v>
      </c>
    </row>
    <row r="1053" spans="13:27" ht="16.5" x14ac:dyDescent="0.2">
      <c r="M1053" s="15">
        <v>974</v>
      </c>
      <c r="N1053" s="15">
        <f t="shared" si="202"/>
        <v>20</v>
      </c>
      <c r="O1053" s="15">
        <f>INDEX(卡牌消耗!$H$13:$H$33,世界BOSS专属武器!N1053)</f>
        <v>1501020</v>
      </c>
      <c r="P1053" s="49" t="s">
        <v>480</v>
      </c>
      <c r="Q1053" s="15">
        <f t="shared" si="203"/>
        <v>4</v>
      </c>
      <c r="R1053" s="49" t="str">
        <f t="shared" si="204"/>
        <v>金币</v>
      </c>
      <c r="S1053" s="15">
        <f t="shared" si="205"/>
        <v>400</v>
      </c>
      <c r="T1053" s="15" t="str">
        <f t="shared" si="206"/>
        <v>低级专属强化石</v>
      </c>
      <c r="U1053" s="15">
        <f t="shared" si="207"/>
        <v>3</v>
      </c>
      <c r="V1053" s="15" t="str">
        <f t="shared" si="208"/>
        <v>[x]</v>
      </c>
      <c r="W1053" s="15" t="str">
        <f t="shared" si="209"/>
        <v>[x]</v>
      </c>
      <c r="X1053" s="15">
        <f t="shared" si="210"/>
        <v>0.46</v>
      </c>
      <c r="Y1053" s="15">
        <f t="shared" si="211"/>
        <v>1</v>
      </c>
      <c r="Z1053" s="15">
        <f t="shared" si="212"/>
        <v>3</v>
      </c>
      <c r="AA1053" s="15">
        <f t="shared" si="213"/>
        <v>2.6700000000000002E-2</v>
      </c>
    </row>
    <row r="1054" spans="13:27" ht="16.5" x14ac:dyDescent="0.2">
      <c r="M1054" s="15">
        <v>975</v>
      </c>
      <c r="N1054" s="15">
        <f t="shared" si="202"/>
        <v>20</v>
      </c>
      <c r="O1054" s="15">
        <f>INDEX(卡牌消耗!$H$13:$H$33,世界BOSS专属武器!N1054)</f>
        <v>1501020</v>
      </c>
      <c r="P1054" s="49" t="s">
        <v>480</v>
      </c>
      <c r="Q1054" s="15">
        <f t="shared" si="203"/>
        <v>5</v>
      </c>
      <c r="R1054" s="49" t="str">
        <f t="shared" si="204"/>
        <v>金币</v>
      </c>
      <c r="S1054" s="15">
        <f t="shared" si="205"/>
        <v>500</v>
      </c>
      <c r="T1054" s="15" t="str">
        <f t="shared" si="206"/>
        <v>低级专属强化石</v>
      </c>
      <c r="U1054" s="15">
        <f t="shared" si="207"/>
        <v>4</v>
      </c>
      <c r="V1054" s="15" t="str">
        <f t="shared" si="208"/>
        <v>[x]</v>
      </c>
      <c r="W1054" s="15" t="str">
        <f t="shared" si="209"/>
        <v>[x]</v>
      </c>
      <c r="X1054" s="15">
        <f t="shared" si="210"/>
        <v>0.44</v>
      </c>
      <c r="Y1054" s="15">
        <f t="shared" si="211"/>
        <v>1</v>
      </c>
      <c r="Z1054" s="15">
        <f t="shared" si="212"/>
        <v>3</v>
      </c>
      <c r="AA1054" s="15">
        <f t="shared" si="213"/>
        <v>3.3300000000000003E-2</v>
      </c>
    </row>
    <row r="1055" spans="13:27" ht="16.5" x14ac:dyDescent="0.2">
      <c r="M1055" s="15">
        <v>976</v>
      </c>
      <c r="N1055" s="15">
        <f t="shared" si="202"/>
        <v>20</v>
      </c>
      <c r="O1055" s="15">
        <f>INDEX(卡牌消耗!$H$13:$H$33,世界BOSS专属武器!N1055)</f>
        <v>1501020</v>
      </c>
      <c r="P1055" s="49" t="s">
        <v>480</v>
      </c>
      <c r="Q1055" s="15">
        <f t="shared" si="203"/>
        <v>6</v>
      </c>
      <c r="R1055" s="49" t="str">
        <f t="shared" si="204"/>
        <v>金币</v>
      </c>
      <c r="S1055" s="15">
        <f t="shared" si="205"/>
        <v>600</v>
      </c>
      <c r="T1055" s="15" t="str">
        <f t="shared" si="206"/>
        <v>低级专属强化石</v>
      </c>
      <c r="U1055" s="15">
        <f t="shared" si="207"/>
        <v>5</v>
      </c>
      <c r="V1055" s="15" t="str">
        <f t="shared" si="208"/>
        <v>[x]</v>
      </c>
      <c r="W1055" s="15" t="str">
        <f t="shared" si="209"/>
        <v>[x]</v>
      </c>
      <c r="X1055" s="15">
        <f t="shared" si="210"/>
        <v>0.42</v>
      </c>
      <c r="Y1055" s="15">
        <f t="shared" si="211"/>
        <v>1</v>
      </c>
      <c r="Z1055" s="15">
        <f t="shared" si="212"/>
        <v>4</v>
      </c>
      <c r="AA1055" s="15">
        <f t="shared" si="213"/>
        <v>0.04</v>
      </c>
    </row>
    <row r="1056" spans="13:27" ht="16.5" x14ac:dyDescent="0.2">
      <c r="M1056" s="15">
        <v>977</v>
      </c>
      <c r="N1056" s="15">
        <f t="shared" si="202"/>
        <v>20</v>
      </c>
      <c r="O1056" s="15">
        <f>INDEX(卡牌消耗!$H$13:$H$33,世界BOSS专属武器!N1056)</f>
        <v>1501020</v>
      </c>
      <c r="P1056" s="49" t="s">
        <v>480</v>
      </c>
      <c r="Q1056" s="15">
        <f t="shared" si="203"/>
        <v>7</v>
      </c>
      <c r="R1056" s="49" t="str">
        <f t="shared" si="204"/>
        <v>金币</v>
      </c>
      <c r="S1056" s="15">
        <f t="shared" si="205"/>
        <v>700</v>
      </c>
      <c r="T1056" s="15" t="str">
        <f t="shared" si="206"/>
        <v>低级专属强化石</v>
      </c>
      <c r="U1056" s="15">
        <f t="shared" si="207"/>
        <v>5</v>
      </c>
      <c r="V1056" s="15" t="str">
        <f t="shared" si="208"/>
        <v>[x]</v>
      </c>
      <c r="W1056" s="15" t="str">
        <f t="shared" si="209"/>
        <v>[x]</v>
      </c>
      <c r="X1056" s="15">
        <f t="shared" si="210"/>
        <v>0.4</v>
      </c>
      <c r="Y1056" s="15">
        <f t="shared" si="211"/>
        <v>1</v>
      </c>
      <c r="Z1056" s="15">
        <f t="shared" si="212"/>
        <v>4</v>
      </c>
      <c r="AA1056" s="15">
        <f t="shared" si="213"/>
        <v>4.6699999999999998E-2</v>
      </c>
    </row>
    <row r="1057" spans="13:27" ht="16.5" x14ac:dyDescent="0.2">
      <c r="M1057" s="15">
        <v>978</v>
      </c>
      <c r="N1057" s="15">
        <f t="shared" si="202"/>
        <v>20</v>
      </c>
      <c r="O1057" s="15">
        <f>INDEX(卡牌消耗!$H$13:$H$33,世界BOSS专属武器!N1057)</f>
        <v>1501020</v>
      </c>
      <c r="P1057" s="49" t="s">
        <v>480</v>
      </c>
      <c r="Q1057" s="15">
        <f t="shared" si="203"/>
        <v>8</v>
      </c>
      <c r="R1057" s="49" t="str">
        <f t="shared" si="204"/>
        <v>金币</v>
      </c>
      <c r="S1057" s="15">
        <f t="shared" si="205"/>
        <v>800</v>
      </c>
      <c r="T1057" s="15" t="str">
        <f t="shared" si="206"/>
        <v>低级专属强化石</v>
      </c>
      <c r="U1057" s="15">
        <f t="shared" si="207"/>
        <v>5</v>
      </c>
      <c r="V1057" s="15" t="str">
        <f t="shared" si="208"/>
        <v>[x]</v>
      </c>
      <c r="W1057" s="15" t="str">
        <f t="shared" si="209"/>
        <v>[x]</v>
      </c>
      <c r="X1057" s="15">
        <f t="shared" si="210"/>
        <v>0.38</v>
      </c>
      <c r="Y1057" s="15">
        <f t="shared" si="211"/>
        <v>1</v>
      </c>
      <c r="Z1057" s="15">
        <f t="shared" si="212"/>
        <v>5</v>
      </c>
      <c r="AA1057" s="15">
        <f t="shared" si="213"/>
        <v>5.33E-2</v>
      </c>
    </row>
    <row r="1058" spans="13:27" ht="16.5" x14ac:dyDescent="0.2">
      <c r="M1058" s="15">
        <v>979</v>
      </c>
      <c r="N1058" s="15">
        <f t="shared" si="202"/>
        <v>20</v>
      </c>
      <c r="O1058" s="15">
        <f>INDEX(卡牌消耗!$H$13:$H$33,世界BOSS专属武器!N1058)</f>
        <v>1501020</v>
      </c>
      <c r="P1058" s="49" t="s">
        <v>480</v>
      </c>
      <c r="Q1058" s="15">
        <f t="shared" si="203"/>
        <v>9</v>
      </c>
      <c r="R1058" s="49" t="str">
        <f t="shared" si="204"/>
        <v>金币</v>
      </c>
      <c r="S1058" s="15">
        <f t="shared" si="205"/>
        <v>900</v>
      </c>
      <c r="T1058" s="15" t="str">
        <f t="shared" si="206"/>
        <v>低级专属强化石</v>
      </c>
      <c r="U1058" s="15">
        <f t="shared" si="207"/>
        <v>5</v>
      </c>
      <c r="V1058" s="15" t="str">
        <f t="shared" si="208"/>
        <v>[x]</v>
      </c>
      <c r="W1058" s="15" t="str">
        <f t="shared" si="209"/>
        <v>[x]</v>
      </c>
      <c r="X1058" s="15">
        <f t="shared" si="210"/>
        <v>0.36</v>
      </c>
      <c r="Y1058" s="15">
        <f t="shared" si="211"/>
        <v>1</v>
      </c>
      <c r="Z1058" s="15">
        <f t="shared" si="212"/>
        <v>5</v>
      </c>
      <c r="AA1058" s="15">
        <f t="shared" si="213"/>
        <v>0.06</v>
      </c>
    </row>
    <row r="1059" spans="13:27" ht="16.5" x14ac:dyDescent="0.2">
      <c r="M1059" s="15">
        <v>980</v>
      </c>
      <c r="N1059" s="15">
        <f t="shared" si="202"/>
        <v>20</v>
      </c>
      <c r="O1059" s="15">
        <f>INDEX(卡牌消耗!$H$13:$H$33,世界BOSS专属武器!N1059)</f>
        <v>1501020</v>
      </c>
      <c r="P1059" s="49" t="s">
        <v>480</v>
      </c>
      <c r="Q1059" s="15">
        <f t="shared" si="203"/>
        <v>10</v>
      </c>
      <c r="R1059" s="49" t="str">
        <f t="shared" si="204"/>
        <v>金币</v>
      </c>
      <c r="S1059" s="15">
        <f t="shared" si="205"/>
        <v>1000</v>
      </c>
      <c r="T1059" s="15" t="str">
        <f t="shared" si="206"/>
        <v>低级专属强化石</v>
      </c>
      <c r="U1059" s="15">
        <f t="shared" si="207"/>
        <v>7</v>
      </c>
      <c r="V1059" s="15" t="str">
        <f t="shared" si="208"/>
        <v>[x]</v>
      </c>
      <c r="W1059" s="15" t="str">
        <f t="shared" si="209"/>
        <v>[x]</v>
      </c>
      <c r="X1059" s="15">
        <f t="shared" si="210"/>
        <v>0.35</v>
      </c>
      <c r="Y1059" s="15">
        <f t="shared" si="211"/>
        <v>1</v>
      </c>
      <c r="Z1059" s="15">
        <f t="shared" si="212"/>
        <v>5</v>
      </c>
      <c r="AA1059" s="15">
        <f t="shared" si="213"/>
        <v>6.6699999999999995E-2</v>
      </c>
    </row>
    <row r="1060" spans="13:27" ht="16.5" x14ac:dyDescent="0.2">
      <c r="M1060" s="15">
        <v>981</v>
      </c>
      <c r="N1060" s="15">
        <f t="shared" si="202"/>
        <v>20</v>
      </c>
      <c r="O1060" s="15">
        <f>INDEX(卡牌消耗!$H$13:$H$33,世界BOSS专属武器!N1060)</f>
        <v>1501020</v>
      </c>
      <c r="P1060" s="49" t="s">
        <v>480</v>
      </c>
      <c r="Q1060" s="15">
        <f t="shared" si="203"/>
        <v>11</v>
      </c>
      <c r="R1060" s="49" t="str">
        <f t="shared" si="204"/>
        <v>金币</v>
      </c>
      <c r="S1060" s="15">
        <f t="shared" si="205"/>
        <v>1000</v>
      </c>
      <c r="T1060" s="15" t="str">
        <f t="shared" si="206"/>
        <v>低级专属强化石</v>
      </c>
      <c r="U1060" s="15">
        <f t="shared" si="207"/>
        <v>7</v>
      </c>
      <c r="V1060" s="15" t="str">
        <f t="shared" si="208"/>
        <v>[x]</v>
      </c>
      <c r="W1060" s="15" t="str">
        <f t="shared" si="209"/>
        <v>[x]</v>
      </c>
      <c r="X1060" s="15">
        <f t="shared" si="210"/>
        <v>0.33</v>
      </c>
      <c r="Y1060" s="15">
        <f t="shared" si="211"/>
        <v>1</v>
      </c>
      <c r="Z1060" s="15">
        <f t="shared" si="212"/>
        <v>6</v>
      </c>
      <c r="AA1060" s="15">
        <f t="shared" si="213"/>
        <v>0.08</v>
      </c>
    </row>
    <row r="1061" spans="13:27" ht="16.5" x14ac:dyDescent="0.2">
      <c r="M1061" s="15">
        <v>982</v>
      </c>
      <c r="N1061" s="15">
        <f t="shared" si="202"/>
        <v>20</v>
      </c>
      <c r="O1061" s="15">
        <f>INDEX(卡牌消耗!$H$13:$H$33,世界BOSS专属武器!N1061)</f>
        <v>1501020</v>
      </c>
      <c r="P1061" s="49" t="s">
        <v>480</v>
      </c>
      <c r="Q1061" s="15">
        <f t="shared" si="203"/>
        <v>12</v>
      </c>
      <c r="R1061" s="49" t="str">
        <f t="shared" si="204"/>
        <v>金币</v>
      </c>
      <c r="S1061" s="15">
        <f t="shared" si="205"/>
        <v>1000</v>
      </c>
      <c r="T1061" s="15" t="str">
        <f t="shared" si="206"/>
        <v>低级专属强化石</v>
      </c>
      <c r="U1061" s="15">
        <f t="shared" si="207"/>
        <v>7</v>
      </c>
      <c r="V1061" s="15" t="str">
        <f t="shared" si="208"/>
        <v>[x]</v>
      </c>
      <c r="W1061" s="15" t="str">
        <f t="shared" si="209"/>
        <v>[x]</v>
      </c>
      <c r="X1061" s="15">
        <f t="shared" si="210"/>
        <v>0.31</v>
      </c>
      <c r="Y1061" s="15">
        <f t="shared" si="211"/>
        <v>1</v>
      </c>
      <c r="Z1061" s="15">
        <f t="shared" si="212"/>
        <v>6</v>
      </c>
      <c r="AA1061" s="15">
        <f t="shared" si="213"/>
        <v>9.3299999999999994E-2</v>
      </c>
    </row>
    <row r="1062" spans="13:27" ht="16.5" x14ac:dyDescent="0.2">
      <c r="M1062" s="15">
        <v>983</v>
      </c>
      <c r="N1062" s="15">
        <f t="shared" si="202"/>
        <v>20</v>
      </c>
      <c r="O1062" s="15">
        <f>INDEX(卡牌消耗!$H$13:$H$33,世界BOSS专属武器!N1062)</f>
        <v>1501020</v>
      </c>
      <c r="P1062" s="49" t="s">
        <v>480</v>
      </c>
      <c r="Q1062" s="15">
        <f t="shared" si="203"/>
        <v>13</v>
      </c>
      <c r="R1062" s="49" t="str">
        <f t="shared" si="204"/>
        <v>金币</v>
      </c>
      <c r="S1062" s="15">
        <f t="shared" si="205"/>
        <v>1000</v>
      </c>
      <c r="T1062" s="15" t="str">
        <f t="shared" si="206"/>
        <v>低级专属强化石</v>
      </c>
      <c r="U1062" s="15">
        <f t="shared" si="207"/>
        <v>7</v>
      </c>
      <c r="V1062" s="15" t="str">
        <f t="shared" si="208"/>
        <v>[x]</v>
      </c>
      <c r="W1062" s="15" t="str">
        <f t="shared" si="209"/>
        <v>[x]</v>
      </c>
      <c r="X1062" s="15">
        <f t="shared" si="210"/>
        <v>0.28999999999999998</v>
      </c>
      <c r="Y1062" s="15">
        <f t="shared" si="211"/>
        <v>1</v>
      </c>
      <c r="Z1062" s="15">
        <f t="shared" si="212"/>
        <v>7</v>
      </c>
      <c r="AA1062" s="15">
        <f t="shared" si="213"/>
        <v>0.1067</v>
      </c>
    </row>
    <row r="1063" spans="13:27" ht="16.5" x14ac:dyDescent="0.2">
      <c r="M1063" s="15">
        <v>984</v>
      </c>
      <c r="N1063" s="15">
        <f t="shared" si="202"/>
        <v>20</v>
      </c>
      <c r="O1063" s="15">
        <f>INDEX(卡牌消耗!$H$13:$H$33,世界BOSS专属武器!N1063)</f>
        <v>1501020</v>
      </c>
      <c r="P1063" s="49" t="s">
        <v>480</v>
      </c>
      <c r="Q1063" s="15">
        <f t="shared" si="203"/>
        <v>14</v>
      </c>
      <c r="R1063" s="49" t="str">
        <f t="shared" si="204"/>
        <v>金币</v>
      </c>
      <c r="S1063" s="15">
        <f t="shared" si="205"/>
        <v>1000</v>
      </c>
      <c r="T1063" s="15" t="str">
        <f t="shared" si="206"/>
        <v>低级专属强化石</v>
      </c>
      <c r="U1063" s="15">
        <f t="shared" si="207"/>
        <v>7</v>
      </c>
      <c r="V1063" s="15" t="str">
        <f t="shared" si="208"/>
        <v>[x]</v>
      </c>
      <c r="W1063" s="15" t="str">
        <f t="shared" si="209"/>
        <v>[x]</v>
      </c>
      <c r="X1063" s="15">
        <f t="shared" si="210"/>
        <v>0.27</v>
      </c>
      <c r="Y1063" s="15">
        <f t="shared" si="211"/>
        <v>1</v>
      </c>
      <c r="Z1063" s="15">
        <f t="shared" si="212"/>
        <v>7</v>
      </c>
      <c r="AA1063" s="15">
        <f t="shared" si="213"/>
        <v>0.12</v>
      </c>
    </row>
    <row r="1064" spans="13:27" ht="16.5" x14ac:dyDescent="0.2">
      <c r="M1064" s="15">
        <v>985</v>
      </c>
      <c r="N1064" s="15">
        <f t="shared" si="202"/>
        <v>20</v>
      </c>
      <c r="O1064" s="15">
        <f>INDEX(卡牌消耗!$H$13:$H$33,世界BOSS专属武器!N1064)</f>
        <v>1501020</v>
      </c>
      <c r="P1064" s="49" t="s">
        <v>480</v>
      </c>
      <c r="Q1064" s="15">
        <f t="shared" si="203"/>
        <v>15</v>
      </c>
      <c r="R1064" s="49" t="str">
        <f t="shared" si="204"/>
        <v>金币</v>
      </c>
      <c r="S1064" s="15">
        <f t="shared" si="205"/>
        <v>1000</v>
      </c>
      <c r="T1064" s="15" t="str">
        <f t="shared" si="206"/>
        <v>低级专属强化石</v>
      </c>
      <c r="U1064" s="15">
        <f t="shared" si="207"/>
        <v>10</v>
      </c>
      <c r="V1064" s="15" t="str">
        <f t="shared" si="208"/>
        <v>[x]</v>
      </c>
      <c r="W1064" s="15" t="str">
        <f t="shared" si="209"/>
        <v>[x]</v>
      </c>
      <c r="X1064" s="15">
        <f t="shared" si="210"/>
        <v>0.25</v>
      </c>
      <c r="Y1064" s="15">
        <f t="shared" si="211"/>
        <v>1</v>
      </c>
      <c r="Z1064" s="15">
        <f t="shared" si="212"/>
        <v>8</v>
      </c>
      <c r="AA1064" s="15">
        <f t="shared" si="213"/>
        <v>0.1333</v>
      </c>
    </row>
    <row r="1065" spans="13:27" ht="16.5" x14ac:dyDescent="0.2">
      <c r="M1065" s="15">
        <v>986</v>
      </c>
      <c r="N1065" s="15">
        <f t="shared" si="202"/>
        <v>20</v>
      </c>
      <c r="O1065" s="15">
        <f>INDEX(卡牌消耗!$H$13:$H$33,世界BOSS专属武器!N1065)</f>
        <v>1501020</v>
      </c>
      <c r="P1065" s="49" t="s">
        <v>480</v>
      </c>
      <c r="Q1065" s="15">
        <f t="shared" si="203"/>
        <v>16</v>
      </c>
      <c r="R1065" s="49" t="str">
        <f t="shared" si="204"/>
        <v>金币</v>
      </c>
      <c r="S1065" s="15">
        <f t="shared" si="205"/>
        <v>1000</v>
      </c>
      <c r="T1065" s="15" t="str">
        <f t="shared" si="206"/>
        <v>低级专属强化石</v>
      </c>
      <c r="U1065" s="15">
        <f t="shared" si="207"/>
        <v>10</v>
      </c>
      <c r="V1065" s="15" t="str">
        <f t="shared" si="208"/>
        <v>[x]</v>
      </c>
      <c r="W1065" s="15" t="str">
        <f t="shared" si="209"/>
        <v>[x]</v>
      </c>
      <c r="X1065" s="15">
        <f t="shared" si="210"/>
        <v>0.23</v>
      </c>
      <c r="Y1065" s="15">
        <f t="shared" si="211"/>
        <v>1</v>
      </c>
      <c r="Z1065" s="15">
        <f t="shared" si="212"/>
        <v>9</v>
      </c>
      <c r="AA1065" s="15">
        <f t="shared" si="213"/>
        <v>0.1467</v>
      </c>
    </row>
    <row r="1066" spans="13:27" ht="16.5" x14ac:dyDescent="0.2">
      <c r="M1066" s="15">
        <v>987</v>
      </c>
      <c r="N1066" s="15">
        <f t="shared" si="202"/>
        <v>20</v>
      </c>
      <c r="O1066" s="15">
        <f>INDEX(卡牌消耗!$H$13:$H$33,世界BOSS专属武器!N1066)</f>
        <v>1501020</v>
      </c>
      <c r="P1066" s="49" t="s">
        <v>480</v>
      </c>
      <c r="Q1066" s="15">
        <f t="shared" si="203"/>
        <v>17</v>
      </c>
      <c r="R1066" s="49" t="str">
        <f t="shared" si="204"/>
        <v>金币</v>
      </c>
      <c r="S1066" s="15">
        <f t="shared" si="205"/>
        <v>1000</v>
      </c>
      <c r="T1066" s="15" t="str">
        <f t="shared" si="206"/>
        <v>低级专属强化石</v>
      </c>
      <c r="U1066" s="15">
        <f t="shared" si="207"/>
        <v>10</v>
      </c>
      <c r="V1066" s="15" t="str">
        <f t="shared" si="208"/>
        <v>[x]</v>
      </c>
      <c r="W1066" s="15" t="str">
        <f t="shared" si="209"/>
        <v>[x]</v>
      </c>
      <c r="X1066" s="15">
        <f t="shared" si="210"/>
        <v>0.21</v>
      </c>
      <c r="Y1066" s="15">
        <f t="shared" si="211"/>
        <v>1</v>
      </c>
      <c r="Z1066" s="15">
        <f t="shared" si="212"/>
        <v>10</v>
      </c>
      <c r="AA1066" s="15">
        <f t="shared" si="213"/>
        <v>0.16</v>
      </c>
    </row>
    <row r="1067" spans="13:27" ht="16.5" x14ac:dyDescent="0.2">
      <c r="M1067" s="15">
        <v>988</v>
      </c>
      <c r="N1067" s="15">
        <f t="shared" si="202"/>
        <v>20</v>
      </c>
      <c r="O1067" s="15">
        <f>INDEX(卡牌消耗!$H$13:$H$33,世界BOSS专属武器!N1067)</f>
        <v>1501020</v>
      </c>
      <c r="P1067" s="49" t="s">
        <v>480</v>
      </c>
      <c r="Q1067" s="15">
        <f t="shared" si="203"/>
        <v>18</v>
      </c>
      <c r="R1067" s="49" t="str">
        <f t="shared" si="204"/>
        <v>金币</v>
      </c>
      <c r="S1067" s="15">
        <f t="shared" si="205"/>
        <v>1000</v>
      </c>
      <c r="T1067" s="15" t="str">
        <f t="shared" si="206"/>
        <v>低级专属强化石</v>
      </c>
      <c r="U1067" s="15">
        <f t="shared" si="207"/>
        <v>10</v>
      </c>
      <c r="V1067" s="15" t="str">
        <f t="shared" si="208"/>
        <v>[x]</v>
      </c>
      <c r="W1067" s="15" t="str">
        <f t="shared" si="209"/>
        <v>[x]</v>
      </c>
      <c r="X1067" s="15">
        <f t="shared" si="210"/>
        <v>0.19</v>
      </c>
      <c r="Y1067" s="15">
        <f t="shared" si="211"/>
        <v>1</v>
      </c>
      <c r="Z1067" s="15">
        <f t="shared" si="212"/>
        <v>11</v>
      </c>
      <c r="AA1067" s="15">
        <f t="shared" si="213"/>
        <v>0.17330000000000001</v>
      </c>
    </row>
    <row r="1068" spans="13:27" ht="16.5" x14ac:dyDescent="0.2">
      <c r="M1068" s="15">
        <v>989</v>
      </c>
      <c r="N1068" s="15">
        <f t="shared" si="202"/>
        <v>20</v>
      </c>
      <c r="O1068" s="15">
        <f>INDEX(卡牌消耗!$H$13:$H$33,世界BOSS专属武器!N1068)</f>
        <v>1501020</v>
      </c>
      <c r="P1068" s="49" t="s">
        <v>480</v>
      </c>
      <c r="Q1068" s="15">
        <f t="shared" si="203"/>
        <v>19</v>
      </c>
      <c r="R1068" s="49" t="str">
        <f t="shared" si="204"/>
        <v>金币</v>
      </c>
      <c r="S1068" s="15">
        <f t="shared" si="205"/>
        <v>1000</v>
      </c>
      <c r="T1068" s="15" t="str">
        <f t="shared" si="206"/>
        <v>低级专属强化石</v>
      </c>
      <c r="U1068" s="15">
        <f t="shared" si="207"/>
        <v>10</v>
      </c>
      <c r="V1068" s="15" t="str">
        <f t="shared" si="208"/>
        <v>[x]</v>
      </c>
      <c r="W1068" s="15" t="str">
        <f t="shared" si="209"/>
        <v>[x]</v>
      </c>
      <c r="X1068" s="15">
        <f t="shared" si="210"/>
        <v>0.17</v>
      </c>
      <c r="Y1068" s="15">
        <f t="shared" si="211"/>
        <v>1</v>
      </c>
      <c r="Z1068" s="15">
        <f t="shared" si="212"/>
        <v>12</v>
      </c>
      <c r="AA1068" s="15">
        <f t="shared" si="213"/>
        <v>0.1867</v>
      </c>
    </row>
    <row r="1069" spans="13:27" ht="16.5" x14ac:dyDescent="0.2">
      <c r="M1069" s="15">
        <v>990</v>
      </c>
      <c r="N1069" s="15">
        <f t="shared" si="202"/>
        <v>20</v>
      </c>
      <c r="O1069" s="15">
        <f>INDEX(卡牌消耗!$H$13:$H$33,世界BOSS专属武器!N1069)</f>
        <v>1501020</v>
      </c>
      <c r="P1069" s="49" t="s">
        <v>480</v>
      </c>
      <c r="Q1069" s="15">
        <f t="shared" si="203"/>
        <v>20</v>
      </c>
      <c r="R1069" s="49" t="str">
        <f t="shared" si="204"/>
        <v>金币</v>
      </c>
      <c r="S1069" s="15">
        <f t="shared" si="205"/>
        <v>5000</v>
      </c>
      <c r="T1069" s="15" t="str">
        <f t="shared" si="206"/>
        <v>低级专属强化石</v>
      </c>
      <c r="U1069" s="15">
        <f t="shared" si="207"/>
        <v>15</v>
      </c>
      <c r="V1069" s="15" t="str">
        <f t="shared" si="208"/>
        <v>中级专属强化石</v>
      </c>
      <c r="W1069" s="15">
        <f t="shared" si="209"/>
        <v>7</v>
      </c>
      <c r="X1069" s="15">
        <f t="shared" si="210"/>
        <v>0.15</v>
      </c>
      <c r="Y1069" s="15">
        <f t="shared" si="211"/>
        <v>1</v>
      </c>
      <c r="Z1069" s="15">
        <f t="shared" si="212"/>
        <v>15</v>
      </c>
      <c r="AA1069" s="15">
        <f t="shared" si="213"/>
        <v>0.2</v>
      </c>
    </row>
    <row r="1070" spans="13:27" ht="16.5" x14ac:dyDescent="0.2">
      <c r="M1070" s="15">
        <v>991</v>
      </c>
      <c r="N1070" s="15">
        <f t="shared" si="202"/>
        <v>20</v>
      </c>
      <c r="O1070" s="15">
        <f>INDEX(卡牌消耗!$H$13:$H$33,世界BOSS专属武器!N1070)</f>
        <v>1501020</v>
      </c>
      <c r="P1070" s="49" t="s">
        <v>480</v>
      </c>
      <c r="Q1070" s="15">
        <f t="shared" si="203"/>
        <v>21</v>
      </c>
      <c r="R1070" s="49" t="str">
        <f t="shared" si="204"/>
        <v>金币</v>
      </c>
      <c r="S1070" s="15">
        <f t="shared" si="205"/>
        <v>5000</v>
      </c>
      <c r="T1070" s="15" t="str">
        <f t="shared" si="206"/>
        <v>低级专属强化石</v>
      </c>
      <c r="U1070" s="15">
        <f t="shared" si="207"/>
        <v>15</v>
      </c>
      <c r="V1070" s="15" t="str">
        <f t="shared" si="208"/>
        <v>中级专属强化石</v>
      </c>
      <c r="W1070" s="15">
        <f t="shared" si="209"/>
        <v>7</v>
      </c>
      <c r="X1070" s="15">
        <f t="shared" si="210"/>
        <v>0.15</v>
      </c>
      <c r="Y1070" s="15">
        <f t="shared" si="211"/>
        <v>1</v>
      </c>
      <c r="Z1070" s="15">
        <f t="shared" si="212"/>
        <v>15</v>
      </c>
      <c r="AA1070" s="15">
        <f t="shared" si="213"/>
        <v>0.22</v>
      </c>
    </row>
    <row r="1071" spans="13:27" ht="16.5" x14ac:dyDescent="0.2">
      <c r="M1071" s="15">
        <v>992</v>
      </c>
      <c r="N1071" s="15">
        <f t="shared" si="202"/>
        <v>20</v>
      </c>
      <c r="O1071" s="15">
        <f>INDEX(卡牌消耗!$H$13:$H$33,世界BOSS专属武器!N1071)</f>
        <v>1501020</v>
      </c>
      <c r="P1071" s="49" t="s">
        <v>480</v>
      </c>
      <c r="Q1071" s="15">
        <f t="shared" si="203"/>
        <v>22</v>
      </c>
      <c r="R1071" s="49" t="str">
        <f t="shared" si="204"/>
        <v>金币</v>
      </c>
      <c r="S1071" s="15">
        <f t="shared" si="205"/>
        <v>5000</v>
      </c>
      <c r="T1071" s="15" t="str">
        <f t="shared" si="206"/>
        <v>低级专属强化石</v>
      </c>
      <c r="U1071" s="15">
        <f t="shared" si="207"/>
        <v>15</v>
      </c>
      <c r="V1071" s="15" t="str">
        <f t="shared" si="208"/>
        <v>中级专属强化石</v>
      </c>
      <c r="W1071" s="15">
        <f t="shared" si="209"/>
        <v>7</v>
      </c>
      <c r="X1071" s="15">
        <f t="shared" si="210"/>
        <v>0.15</v>
      </c>
      <c r="Y1071" s="15">
        <f t="shared" si="211"/>
        <v>1</v>
      </c>
      <c r="Z1071" s="15">
        <f t="shared" si="212"/>
        <v>15</v>
      </c>
      <c r="AA1071" s="15">
        <f t="shared" si="213"/>
        <v>0.24</v>
      </c>
    </row>
    <row r="1072" spans="13:27" ht="16.5" x14ac:dyDescent="0.2">
      <c r="M1072" s="15">
        <v>993</v>
      </c>
      <c r="N1072" s="15">
        <f t="shared" si="202"/>
        <v>20</v>
      </c>
      <c r="O1072" s="15">
        <f>INDEX(卡牌消耗!$H$13:$H$33,世界BOSS专属武器!N1072)</f>
        <v>1501020</v>
      </c>
      <c r="P1072" s="49" t="s">
        <v>480</v>
      </c>
      <c r="Q1072" s="15">
        <f t="shared" si="203"/>
        <v>23</v>
      </c>
      <c r="R1072" s="49" t="str">
        <f t="shared" si="204"/>
        <v>金币</v>
      </c>
      <c r="S1072" s="15">
        <f t="shared" si="205"/>
        <v>5000</v>
      </c>
      <c r="T1072" s="15" t="str">
        <f t="shared" si="206"/>
        <v>低级专属强化石</v>
      </c>
      <c r="U1072" s="15">
        <f t="shared" si="207"/>
        <v>15</v>
      </c>
      <c r="V1072" s="15" t="str">
        <f t="shared" si="208"/>
        <v>中级专属强化石</v>
      </c>
      <c r="W1072" s="15">
        <f t="shared" si="209"/>
        <v>7</v>
      </c>
      <c r="X1072" s="15">
        <f t="shared" si="210"/>
        <v>0.15</v>
      </c>
      <c r="Y1072" s="15">
        <f t="shared" si="211"/>
        <v>1</v>
      </c>
      <c r="Z1072" s="15">
        <f t="shared" si="212"/>
        <v>18</v>
      </c>
      <c r="AA1072" s="15">
        <f t="shared" si="213"/>
        <v>0.26</v>
      </c>
    </row>
    <row r="1073" spans="13:27" ht="16.5" x14ac:dyDescent="0.2">
      <c r="M1073" s="15">
        <v>994</v>
      </c>
      <c r="N1073" s="15">
        <f t="shared" si="202"/>
        <v>20</v>
      </c>
      <c r="O1073" s="15">
        <f>INDEX(卡牌消耗!$H$13:$H$33,世界BOSS专属武器!N1073)</f>
        <v>1501020</v>
      </c>
      <c r="P1073" s="49" t="s">
        <v>480</v>
      </c>
      <c r="Q1073" s="15">
        <f t="shared" si="203"/>
        <v>24</v>
      </c>
      <c r="R1073" s="49" t="str">
        <f t="shared" si="204"/>
        <v>金币</v>
      </c>
      <c r="S1073" s="15">
        <f t="shared" si="205"/>
        <v>5000</v>
      </c>
      <c r="T1073" s="15" t="str">
        <f t="shared" si="206"/>
        <v>低级专属强化石</v>
      </c>
      <c r="U1073" s="15">
        <f t="shared" si="207"/>
        <v>15</v>
      </c>
      <c r="V1073" s="15" t="str">
        <f t="shared" si="208"/>
        <v>中级专属强化石</v>
      </c>
      <c r="W1073" s="15">
        <f t="shared" si="209"/>
        <v>7</v>
      </c>
      <c r="X1073" s="15">
        <f t="shared" si="210"/>
        <v>0.15</v>
      </c>
      <c r="Y1073" s="15">
        <f t="shared" si="211"/>
        <v>1</v>
      </c>
      <c r="Z1073" s="15">
        <f t="shared" si="212"/>
        <v>18</v>
      </c>
      <c r="AA1073" s="15">
        <f t="shared" si="213"/>
        <v>0.28000000000000003</v>
      </c>
    </row>
    <row r="1074" spans="13:27" ht="16.5" x14ac:dyDescent="0.2">
      <c r="M1074" s="15">
        <v>995</v>
      </c>
      <c r="N1074" s="15">
        <f t="shared" si="202"/>
        <v>20</v>
      </c>
      <c r="O1074" s="15">
        <f>INDEX(卡牌消耗!$H$13:$H$33,世界BOSS专属武器!N1074)</f>
        <v>1501020</v>
      </c>
      <c r="P1074" s="49" t="s">
        <v>480</v>
      </c>
      <c r="Q1074" s="15">
        <f t="shared" si="203"/>
        <v>25</v>
      </c>
      <c r="R1074" s="49" t="str">
        <f t="shared" si="204"/>
        <v>金币</v>
      </c>
      <c r="S1074" s="15">
        <f t="shared" si="205"/>
        <v>5000</v>
      </c>
      <c r="T1074" s="15" t="str">
        <f t="shared" si="206"/>
        <v>低级专属强化石</v>
      </c>
      <c r="U1074" s="15">
        <f t="shared" si="207"/>
        <v>15</v>
      </c>
      <c r="V1074" s="15" t="str">
        <f t="shared" si="208"/>
        <v>中级专属强化石</v>
      </c>
      <c r="W1074" s="15">
        <f t="shared" si="209"/>
        <v>7</v>
      </c>
      <c r="X1074" s="15">
        <f t="shared" si="210"/>
        <v>0.15</v>
      </c>
      <c r="Y1074" s="15">
        <f t="shared" si="211"/>
        <v>1</v>
      </c>
      <c r="Z1074" s="15">
        <f t="shared" si="212"/>
        <v>18</v>
      </c>
      <c r="AA1074" s="15">
        <f t="shared" si="213"/>
        <v>0.3</v>
      </c>
    </row>
    <row r="1075" spans="13:27" ht="16.5" x14ac:dyDescent="0.2">
      <c r="M1075" s="15">
        <v>996</v>
      </c>
      <c r="N1075" s="15">
        <f t="shared" si="202"/>
        <v>20</v>
      </c>
      <c r="O1075" s="15">
        <f>INDEX(卡牌消耗!$H$13:$H$33,世界BOSS专属武器!N1075)</f>
        <v>1501020</v>
      </c>
      <c r="P1075" s="49" t="s">
        <v>480</v>
      </c>
      <c r="Q1075" s="15">
        <f t="shared" si="203"/>
        <v>26</v>
      </c>
      <c r="R1075" s="49" t="str">
        <f t="shared" si="204"/>
        <v>金币</v>
      </c>
      <c r="S1075" s="15">
        <f t="shared" si="205"/>
        <v>5000</v>
      </c>
      <c r="T1075" s="15" t="str">
        <f t="shared" si="206"/>
        <v>低级专属强化石</v>
      </c>
      <c r="U1075" s="15">
        <f t="shared" si="207"/>
        <v>15</v>
      </c>
      <c r="V1075" s="15" t="str">
        <f t="shared" si="208"/>
        <v>中级专属强化石</v>
      </c>
      <c r="W1075" s="15">
        <f t="shared" si="209"/>
        <v>7</v>
      </c>
      <c r="X1075" s="15">
        <f t="shared" si="210"/>
        <v>0.15</v>
      </c>
      <c r="Y1075" s="15">
        <f t="shared" si="211"/>
        <v>1</v>
      </c>
      <c r="Z1075" s="15">
        <f t="shared" si="212"/>
        <v>21</v>
      </c>
      <c r="AA1075" s="15">
        <f t="shared" si="213"/>
        <v>0.32</v>
      </c>
    </row>
    <row r="1076" spans="13:27" ht="16.5" x14ac:dyDescent="0.2">
      <c r="M1076" s="15">
        <v>997</v>
      </c>
      <c r="N1076" s="15">
        <f t="shared" si="202"/>
        <v>20</v>
      </c>
      <c r="O1076" s="15">
        <f>INDEX(卡牌消耗!$H$13:$H$33,世界BOSS专属武器!N1076)</f>
        <v>1501020</v>
      </c>
      <c r="P1076" s="49" t="s">
        <v>480</v>
      </c>
      <c r="Q1076" s="15">
        <f t="shared" si="203"/>
        <v>27</v>
      </c>
      <c r="R1076" s="49" t="str">
        <f t="shared" si="204"/>
        <v>金币</v>
      </c>
      <c r="S1076" s="15">
        <f t="shared" si="205"/>
        <v>5000</v>
      </c>
      <c r="T1076" s="15" t="str">
        <f t="shared" si="206"/>
        <v>低级专属强化石</v>
      </c>
      <c r="U1076" s="15">
        <f t="shared" si="207"/>
        <v>15</v>
      </c>
      <c r="V1076" s="15" t="str">
        <f t="shared" si="208"/>
        <v>中级专属强化石</v>
      </c>
      <c r="W1076" s="15">
        <f t="shared" si="209"/>
        <v>7</v>
      </c>
      <c r="X1076" s="15">
        <f t="shared" si="210"/>
        <v>0.15</v>
      </c>
      <c r="Y1076" s="15">
        <f t="shared" si="211"/>
        <v>1</v>
      </c>
      <c r="Z1076" s="15">
        <f t="shared" si="212"/>
        <v>22</v>
      </c>
      <c r="AA1076" s="15">
        <f t="shared" si="213"/>
        <v>0.34</v>
      </c>
    </row>
    <row r="1077" spans="13:27" ht="16.5" x14ac:dyDescent="0.2">
      <c r="M1077" s="15">
        <v>998</v>
      </c>
      <c r="N1077" s="15">
        <f t="shared" si="202"/>
        <v>20</v>
      </c>
      <c r="O1077" s="15">
        <f>INDEX(卡牌消耗!$H$13:$H$33,世界BOSS专属武器!N1077)</f>
        <v>1501020</v>
      </c>
      <c r="P1077" s="49" t="s">
        <v>480</v>
      </c>
      <c r="Q1077" s="15">
        <f t="shared" si="203"/>
        <v>28</v>
      </c>
      <c r="R1077" s="49" t="str">
        <f t="shared" si="204"/>
        <v>金币</v>
      </c>
      <c r="S1077" s="15">
        <f t="shared" si="205"/>
        <v>5000</v>
      </c>
      <c r="T1077" s="15" t="str">
        <f t="shared" si="206"/>
        <v>低级专属强化石</v>
      </c>
      <c r="U1077" s="15">
        <f t="shared" si="207"/>
        <v>15</v>
      </c>
      <c r="V1077" s="15" t="str">
        <f t="shared" si="208"/>
        <v>中级专属强化石</v>
      </c>
      <c r="W1077" s="15">
        <f t="shared" si="209"/>
        <v>7</v>
      </c>
      <c r="X1077" s="15">
        <f t="shared" si="210"/>
        <v>0.15</v>
      </c>
      <c r="Y1077" s="15">
        <f t="shared" si="211"/>
        <v>1</v>
      </c>
      <c r="Z1077" s="15">
        <f t="shared" si="212"/>
        <v>23</v>
      </c>
      <c r="AA1077" s="15">
        <f t="shared" si="213"/>
        <v>0.36</v>
      </c>
    </row>
    <row r="1078" spans="13:27" ht="16.5" x14ac:dyDescent="0.2">
      <c r="M1078" s="15">
        <v>999</v>
      </c>
      <c r="N1078" s="15">
        <f t="shared" si="202"/>
        <v>20</v>
      </c>
      <c r="O1078" s="15">
        <f>INDEX(卡牌消耗!$H$13:$H$33,世界BOSS专属武器!N1078)</f>
        <v>1501020</v>
      </c>
      <c r="P1078" s="49" t="s">
        <v>480</v>
      </c>
      <c r="Q1078" s="15">
        <f t="shared" si="203"/>
        <v>29</v>
      </c>
      <c r="R1078" s="49" t="str">
        <f t="shared" si="204"/>
        <v>金币</v>
      </c>
      <c r="S1078" s="15">
        <f t="shared" si="205"/>
        <v>5000</v>
      </c>
      <c r="T1078" s="15" t="str">
        <f t="shared" si="206"/>
        <v>低级专属强化石</v>
      </c>
      <c r="U1078" s="15">
        <f t="shared" si="207"/>
        <v>15</v>
      </c>
      <c r="V1078" s="15" t="str">
        <f t="shared" si="208"/>
        <v>中级专属强化石</v>
      </c>
      <c r="W1078" s="15">
        <f t="shared" si="209"/>
        <v>7</v>
      </c>
      <c r="X1078" s="15">
        <f t="shared" si="210"/>
        <v>0.15</v>
      </c>
      <c r="Y1078" s="15">
        <f t="shared" si="211"/>
        <v>1</v>
      </c>
      <c r="Z1078" s="15">
        <f t="shared" si="212"/>
        <v>25</v>
      </c>
      <c r="AA1078" s="15">
        <f t="shared" si="213"/>
        <v>0.38</v>
      </c>
    </row>
    <row r="1079" spans="13:27" ht="16.5" x14ac:dyDescent="0.2">
      <c r="M1079" s="15">
        <v>1000</v>
      </c>
      <c r="N1079" s="15">
        <f t="shared" si="202"/>
        <v>20</v>
      </c>
      <c r="O1079" s="15">
        <f>INDEX(卡牌消耗!$H$13:$H$33,世界BOSS专属武器!N1079)</f>
        <v>1501020</v>
      </c>
      <c r="P1079" s="49" t="s">
        <v>480</v>
      </c>
      <c r="Q1079" s="15">
        <f t="shared" si="203"/>
        <v>30</v>
      </c>
      <c r="R1079" s="49" t="str">
        <f t="shared" si="204"/>
        <v>金币</v>
      </c>
      <c r="S1079" s="15">
        <f t="shared" si="205"/>
        <v>10000</v>
      </c>
      <c r="T1079" s="15" t="str">
        <f t="shared" si="206"/>
        <v>中级专属强化石</v>
      </c>
      <c r="U1079" s="15">
        <f t="shared" si="207"/>
        <v>8</v>
      </c>
      <c r="V1079" s="15" t="str">
        <f t="shared" si="208"/>
        <v>高级专属强化石</v>
      </c>
      <c r="W1079" s="15">
        <f t="shared" si="209"/>
        <v>3</v>
      </c>
      <c r="X1079" s="15">
        <f t="shared" si="210"/>
        <v>0.1</v>
      </c>
      <c r="Y1079" s="15">
        <f t="shared" si="211"/>
        <v>1</v>
      </c>
      <c r="Z1079" s="15">
        <f t="shared" si="212"/>
        <v>30</v>
      </c>
      <c r="AA1079" s="15">
        <f t="shared" si="213"/>
        <v>0.4</v>
      </c>
    </row>
    <row r="1080" spans="13:27" ht="16.5" x14ac:dyDescent="0.2">
      <c r="M1080" s="15">
        <v>1001</v>
      </c>
      <c r="N1080" s="15">
        <f t="shared" ref="N1080:N1143" si="214">INT((M1080-1)/51)+1</f>
        <v>20</v>
      </c>
      <c r="O1080" s="15">
        <f>INDEX(卡牌消耗!$H$13:$H$33,世界BOSS专属武器!N1080)</f>
        <v>1501020</v>
      </c>
      <c r="P1080" s="52" t="s">
        <v>480</v>
      </c>
      <c r="Q1080" s="15">
        <f t="shared" ref="Q1080:Q1129" si="215">MOD(M1080-1,51)</f>
        <v>31</v>
      </c>
      <c r="R1080" s="52" t="str">
        <f t="shared" ref="R1080:R1129" si="216">IF(Q1080&gt;0,"金币","[x]")</f>
        <v>金币</v>
      </c>
      <c r="S1080" s="15">
        <f t="shared" ref="S1080:S1129" si="217">IF(Q1080&gt;0,INDEX($V$27:$V$76,Q1080),"[x]")</f>
        <v>10000</v>
      </c>
      <c r="T1080" s="15" t="str">
        <f t="shared" ref="T1080:T1129" si="218">IF(Q1080&gt;0,INDEX($W$27:$W$76,Q1080),"[x]")</f>
        <v>中级专属强化石</v>
      </c>
      <c r="U1080" s="15">
        <f t="shared" ref="U1080:U1129" si="219">IF(Q1080&gt;0,INDEX($AA$27:$AF$76,Q1080,INDEX($Y$27:$Y$76,Q1080)),"[x]")</f>
        <v>8</v>
      </c>
      <c r="V1080" s="15" t="str">
        <f t="shared" ref="V1080:V1129" si="220">IF(AND(Q1080&gt;=20,Q1080&lt;40),INDEX($X$27:$X$76,Q1080),"[x]")</f>
        <v>高级专属强化石</v>
      </c>
      <c r="W1080" s="15">
        <f t="shared" ref="W1080:W1129" si="221">IF(AND(Q1080&gt;=20,Q1080&lt;40),INDEX($AA$27:$AF$76,Q1080,INDEX($Z$27:$Z$76,Q1080)),"[x]")</f>
        <v>3</v>
      </c>
      <c r="X1080" s="15">
        <f t="shared" ref="X1080:X1129" si="222">IF(Q1080&gt;0,INDEX($T$27:$T$76,Q1080),"[x]")</f>
        <v>0.1</v>
      </c>
      <c r="Y1080" s="15">
        <f t="shared" ref="Y1080:Y1129" si="223">IF(Q1080&gt;0,1,"[x]")</f>
        <v>1</v>
      </c>
      <c r="Z1080" s="15">
        <f t="shared" ref="Z1080:Z1129" si="224">IF(Q1080&gt;0,INDEX($AG$27:$AG$76,Q1080),"[x]")</f>
        <v>30</v>
      </c>
      <c r="AA1080" s="15">
        <f t="shared" ref="AA1080:AA1129" si="225">IF(Q1080&gt;0,INDEX($AL$27:$AL$76,Q1080),"[x]")</f>
        <v>0.42670000000000002</v>
      </c>
    </row>
    <row r="1081" spans="13:27" ht="16.5" x14ac:dyDescent="0.2">
      <c r="M1081" s="15">
        <v>1002</v>
      </c>
      <c r="N1081" s="15">
        <f t="shared" si="214"/>
        <v>20</v>
      </c>
      <c r="O1081" s="15">
        <f>INDEX(卡牌消耗!$H$13:$H$33,世界BOSS专属武器!N1081)</f>
        <v>1501020</v>
      </c>
      <c r="P1081" s="52" t="s">
        <v>480</v>
      </c>
      <c r="Q1081" s="15">
        <f t="shared" si="215"/>
        <v>32</v>
      </c>
      <c r="R1081" s="52" t="str">
        <f t="shared" si="216"/>
        <v>金币</v>
      </c>
      <c r="S1081" s="15">
        <f t="shared" si="217"/>
        <v>10000</v>
      </c>
      <c r="T1081" s="15" t="str">
        <f t="shared" si="218"/>
        <v>中级专属强化石</v>
      </c>
      <c r="U1081" s="15">
        <f t="shared" si="219"/>
        <v>8</v>
      </c>
      <c r="V1081" s="15" t="str">
        <f t="shared" si="220"/>
        <v>高级专属强化石</v>
      </c>
      <c r="W1081" s="15">
        <f t="shared" si="221"/>
        <v>3</v>
      </c>
      <c r="X1081" s="15">
        <f t="shared" si="222"/>
        <v>0.1</v>
      </c>
      <c r="Y1081" s="15">
        <f t="shared" si="223"/>
        <v>1</v>
      </c>
      <c r="Z1081" s="15">
        <f t="shared" si="224"/>
        <v>30</v>
      </c>
      <c r="AA1081" s="15">
        <f t="shared" si="225"/>
        <v>0.45329999999999998</v>
      </c>
    </row>
    <row r="1082" spans="13:27" ht="16.5" x14ac:dyDescent="0.2">
      <c r="M1082" s="15">
        <v>1003</v>
      </c>
      <c r="N1082" s="15">
        <f t="shared" si="214"/>
        <v>20</v>
      </c>
      <c r="O1082" s="15">
        <f>INDEX(卡牌消耗!$H$13:$H$33,世界BOSS专属武器!N1082)</f>
        <v>1501020</v>
      </c>
      <c r="P1082" s="52" t="s">
        <v>480</v>
      </c>
      <c r="Q1082" s="15">
        <f t="shared" si="215"/>
        <v>33</v>
      </c>
      <c r="R1082" s="52" t="str">
        <f t="shared" si="216"/>
        <v>金币</v>
      </c>
      <c r="S1082" s="15">
        <f t="shared" si="217"/>
        <v>10000</v>
      </c>
      <c r="T1082" s="15" t="str">
        <f t="shared" si="218"/>
        <v>中级专属强化石</v>
      </c>
      <c r="U1082" s="15">
        <f t="shared" si="219"/>
        <v>8</v>
      </c>
      <c r="V1082" s="15" t="str">
        <f t="shared" si="220"/>
        <v>高级专属强化石</v>
      </c>
      <c r="W1082" s="15">
        <f t="shared" si="221"/>
        <v>3</v>
      </c>
      <c r="X1082" s="15">
        <f t="shared" si="222"/>
        <v>0.1</v>
      </c>
      <c r="Y1082" s="15">
        <f t="shared" si="223"/>
        <v>1</v>
      </c>
      <c r="Z1082" s="15">
        <f t="shared" si="224"/>
        <v>30</v>
      </c>
      <c r="AA1082" s="15">
        <f t="shared" si="225"/>
        <v>0.48</v>
      </c>
    </row>
    <row r="1083" spans="13:27" ht="16.5" x14ac:dyDescent="0.2">
      <c r="M1083" s="15">
        <v>1004</v>
      </c>
      <c r="N1083" s="15">
        <f t="shared" si="214"/>
        <v>20</v>
      </c>
      <c r="O1083" s="15">
        <f>INDEX(卡牌消耗!$H$13:$H$33,世界BOSS专属武器!N1083)</f>
        <v>1501020</v>
      </c>
      <c r="P1083" s="52" t="s">
        <v>480</v>
      </c>
      <c r="Q1083" s="15">
        <f t="shared" si="215"/>
        <v>34</v>
      </c>
      <c r="R1083" s="52" t="str">
        <f t="shared" si="216"/>
        <v>金币</v>
      </c>
      <c r="S1083" s="15">
        <f t="shared" si="217"/>
        <v>10000</v>
      </c>
      <c r="T1083" s="15" t="str">
        <f t="shared" si="218"/>
        <v>中级专属强化石</v>
      </c>
      <c r="U1083" s="15">
        <f t="shared" si="219"/>
        <v>8</v>
      </c>
      <c r="V1083" s="15" t="str">
        <f t="shared" si="220"/>
        <v>高级专属强化石</v>
      </c>
      <c r="W1083" s="15">
        <f t="shared" si="221"/>
        <v>3</v>
      </c>
      <c r="X1083" s="15">
        <f t="shared" si="222"/>
        <v>0.1</v>
      </c>
      <c r="Y1083" s="15">
        <f t="shared" si="223"/>
        <v>1</v>
      </c>
      <c r="Z1083" s="15">
        <f t="shared" si="224"/>
        <v>30</v>
      </c>
      <c r="AA1083" s="15">
        <f t="shared" si="225"/>
        <v>0.50670000000000004</v>
      </c>
    </row>
    <row r="1084" spans="13:27" ht="16.5" x14ac:dyDescent="0.2">
      <c r="M1084" s="15">
        <v>1005</v>
      </c>
      <c r="N1084" s="15">
        <f t="shared" si="214"/>
        <v>20</v>
      </c>
      <c r="O1084" s="15">
        <f>INDEX(卡牌消耗!$H$13:$H$33,世界BOSS专属武器!N1084)</f>
        <v>1501020</v>
      </c>
      <c r="P1084" s="52" t="s">
        <v>480</v>
      </c>
      <c r="Q1084" s="15">
        <f t="shared" si="215"/>
        <v>35</v>
      </c>
      <c r="R1084" s="52" t="str">
        <f t="shared" si="216"/>
        <v>金币</v>
      </c>
      <c r="S1084" s="15">
        <f t="shared" si="217"/>
        <v>10000</v>
      </c>
      <c r="T1084" s="15" t="str">
        <f t="shared" si="218"/>
        <v>中级专属强化石</v>
      </c>
      <c r="U1084" s="15">
        <f t="shared" si="219"/>
        <v>8</v>
      </c>
      <c r="V1084" s="15" t="str">
        <f t="shared" si="220"/>
        <v>高级专属强化石</v>
      </c>
      <c r="W1084" s="15">
        <f t="shared" si="221"/>
        <v>3</v>
      </c>
      <c r="X1084" s="15">
        <f t="shared" si="222"/>
        <v>0.1</v>
      </c>
      <c r="Y1084" s="15">
        <f t="shared" si="223"/>
        <v>1</v>
      </c>
      <c r="Z1084" s="15">
        <f t="shared" si="224"/>
        <v>30</v>
      </c>
      <c r="AA1084" s="15">
        <f t="shared" si="225"/>
        <v>0.5333</v>
      </c>
    </row>
    <row r="1085" spans="13:27" ht="16.5" x14ac:dyDescent="0.2">
      <c r="M1085" s="15">
        <v>1006</v>
      </c>
      <c r="N1085" s="15">
        <f t="shared" si="214"/>
        <v>20</v>
      </c>
      <c r="O1085" s="15">
        <f>INDEX(卡牌消耗!$H$13:$H$33,世界BOSS专属武器!N1085)</f>
        <v>1501020</v>
      </c>
      <c r="P1085" s="52" t="s">
        <v>480</v>
      </c>
      <c r="Q1085" s="15">
        <f t="shared" si="215"/>
        <v>36</v>
      </c>
      <c r="R1085" s="52" t="str">
        <f t="shared" si="216"/>
        <v>金币</v>
      </c>
      <c r="S1085" s="15">
        <f t="shared" si="217"/>
        <v>10000</v>
      </c>
      <c r="T1085" s="15" t="str">
        <f t="shared" si="218"/>
        <v>中级专属强化石</v>
      </c>
      <c r="U1085" s="15">
        <f t="shared" si="219"/>
        <v>8</v>
      </c>
      <c r="V1085" s="15" t="str">
        <f t="shared" si="220"/>
        <v>高级专属强化石</v>
      </c>
      <c r="W1085" s="15">
        <f t="shared" si="221"/>
        <v>3</v>
      </c>
      <c r="X1085" s="15">
        <f t="shared" si="222"/>
        <v>0.1</v>
      </c>
      <c r="Y1085" s="15">
        <f t="shared" si="223"/>
        <v>1</v>
      </c>
      <c r="Z1085" s="15">
        <f t="shared" si="224"/>
        <v>30</v>
      </c>
      <c r="AA1085" s="15">
        <f t="shared" si="225"/>
        <v>0.56000000000000005</v>
      </c>
    </row>
    <row r="1086" spans="13:27" ht="16.5" x14ac:dyDescent="0.2">
      <c r="M1086" s="15">
        <v>1007</v>
      </c>
      <c r="N1086" s="15">
        <f t="shared" si="214"/>
        <v>20</v>
      </c>
      <c r="O1086" s="15">
        <f>INDEX(卡牌消耗!$H$13:$H$33,世界BOSS专属武器!N1086)</f>
        <v>1501020</v>
      </c>
      <c r="P1086" s="52" t="s">
        <v>480</v>
      </c>
      <c r="Q1086" s="15">
        <f t="shared" si="215"/>
        <v>37</v>
      </c>
      <c r="R1086" s="52" t="str">
        <f t="shared" si="216"/>
        <v>金币</v>
      </c>
      <c r="S1086" s="15">
        <f t="shared" si="217"/>
        <v>10000</v>
      </c>
      <c r="T1086" s="15" t="str">
        <f t="shared" si="218"/>
        <v>中级专属强化石</v>
      </c>
      <c r="U1086" s="15">
        <f t="shared" si="219"/>
        <v>8</v>
      </c>
      <c r="V1086" s="15" t="str">
        <f t="shared" si="220"/>
        <v>高级专属强化石</v>
      </c>
      <c r="W1086" s="15">
        <f t="shared" si="221"/>
        <v>3</v>
      </c>
      <c r="X1086" s="15">
        <f t="shared" si="222"/>
        <v>0.1</v>
      </c>
      <c r="Y1086" s="15">
        <f t="shared" si="223"/>
        <v>1</v>
      </c>
      <c r="Z1086" s="15">
        <f t="shared" si="224"/>
        <v>30</v>
      </c>
      <c r="AA1086" s="15">
        <f t="shared" si="225"/>
        <v>0.5867</v>
      </c>
    </row>
    <row r="1087" spans="13:27" ht="16.5" x14ac:dyDescent="0.2">
      <c r="M1087" s="15">
        <v>1008</v>
      </c>
      <c r="N1087" s="15">
        <f t="shared" si="214"/>
        <v>20</v>
      </c>
      <c r="O1087" s="15">
        <f>INDEX(卡牌消耗!$H$13:$H$33,世界BOSS专属武器!N1087)</f>
        <v>1501020</v>
      </c>
      <c r="P1087" s="52" t="s">
        <v>480</v>
      </c>
      <c r="Q1087" s="15">
        <f t="shared" si="215"/>
        <v>38</v>
      </c>
      <c r="R1087" s="52" t="str">
        <f t="shared" si="216"/>
        <v>金币</v>
      </c>
      <c r="S1087" s="15">
        <f t="shared" si="217"/>
        <v>10000</v>
      </c>
      <c r="T1087" s="15" t="str">
        <f t="shared" si="218"/>
        <v>中级专属强化石</v>
      </c>
      <c r="U1087" s="15">
        <f t="shared" si="219"/>
        <v>8</v>
      </c>
      <c r="V1087" s="15" t="str">
        <f t="shared" si="220"/>
        <v>高级专属强化石</v>
      </c>
      <c r="W1087" s="15">
        <f t="shared" si="221"/>
        <v>3</v>
      </c>
      <c r="X1087" s="15">
        <f t="shared" si="222"/>
        <v>0.1</v>
      </c>
      <c r="Y1087" s="15">
        <f t="shared" si="223"/>
        <v>1</v>
      </c>
      <c r="Z1087" s="15">
        <f t="shared" si="224"/>
        <v>30</v>
      </c>
      <c r="AA1087" s="15">
        <f t="shared" si="225"/>
        <v>0.61329999999999996</v>
      </c>
    </row>
    <row r="1088" spans="13:27" ht="16.5" x14ac:dyDescent="0.2">
      <c r="M1088" s="15">
        <v>1009</v>
      </c>
      <c r="N1088" s="15">
        <f t="shared" si="214"/>
        <v>20</v>
      </c>
      <c r="O1088" s="15">
        <f>INDEX(卡牌消耗!$H$13:$H$33,世界BOSS专属武器!N1088)</f>
        <v>1501020</v>
      </c>
      <c r="P1088" s="52" t="s">
        <v>480</v>
      </c>
      <c r="Q1088" s="15">
        <f t="shared" si="215"/>
        <v>39</v>
      </c>
      <c r="R1088" s="52" t="str">
        <f t="shared" si="216"/>
        <v>金币</v>
      </c>
      <c r="S1088" s="15">
        <f t="shared" si="217"/>
        <v>10000</v>
      </c>
      <c r="T1088" s="15" t="str">
        <f t="shared" si="218"/>
        <v>中级专属强化石</v>
      </c>
      <c r="U1088" s="15">
        <f t="shared" si="219"/>
        <v>8</v>
      </c>
      <c r="V1088" s="15" t="str">
        <f t="shared" si="220"/>
        <v>高级专属强化石</v>
      </c>
      <c r="W1088" s="15">
        <f t="shared" si="221"/>
        <v>3</v>
      </c>
      <c r="X1088" s="15">
        <f t="shared" si="222"/>
        <v>0.1</v>
      </c>
      <c r="Y1088" s="15">
        <f t="shared" si="223"/>
        <v>1</v>
      </c>
      <c r="Z1088" s="15">
        <f t="shared" si="224"/>
        <v>30</v>
      </c>
      <c r="AA1088" s="15">
        <f t="shared" si="225"/>
        <v>0.64</v>
      </c>
    </row>
    <row r="1089" spans="13:27" ht="16.5" x14ac:dyDescent="0.2">
      <c r="M1089" s="15">
        <v>1010</v>
      </c>
      <c r="N1089" s="15">
        <f t="shared" si="214"/>
        <v>20</v>
      </c>
      <c r="O1089" s="15">
        <f>INDEX(卡牌消耗!$H$13:$H$33,世界BOSS专属武器!N1089)</f>
        <v>1501020</v>
      </c>
      <c r="P1089" s="52" t="s">
        <v>480</v>
      </c>
      <c r="Q1089" s="15">
        <f t="shared" si="215"/>
        <v>40</v>
      </c>
      <c r="R1089" s="52" t="str">
        <f t="shared" si="216"/>
        <v>金币</v>
      </c>
      <c r="S1089" s="15">
        <f t="shared" si="217"/>
        <v>20000</v>
      </c>
      <c r="T1089" s="15" t="str">
        <f t="shared" si="218"/>
        <v>高级专属强化石</v>
      </c>
      <c r="U1089" s="15">
        <f t="shared" si="219"/>
        <v>5</v>
      </c>
      <c r="V1089" s="15" t="str">
        <f t="shared" si="220"/>
        <v>[x]</v>
      </c>
      <c r="W1089" s="15" t="str">
        <f t="shared" si="221"/>
        <v>[x]</v>
      </c>
      <c r="X1089" s="15">
        <f t="shared" si="222"/>
        <v>0.1</v>
      </c>
      <c r="Y1089" s="15">
        <f t="shared" si="223"/>
        <v>1</v>
      </c>
      <c r="Z1089" s="15">
        <f t="shared" si="224"/>
        <v>35</v>
      </c>
      <c r="AA1089" s="15">
        <f t="shared" si="225"/>
        <v>0.66669999999999996</v>
      </c>
    </row>
    <row r="1090" spans="13:27" ht="16.5" x14ac:dyDescent="0.2">
      <c r="M1090" s="15">
        <v>1011</v>
      </c>
      <c r="N1090" s="15">
        <f t="shared" si="214"/>
        <v>20</v>
      </c>
      <c r="O1090" s="15">
        <f>INDEX(卡牌消耗!$H$13:$H$33,世界BOSS专属武器!N1090)</f>
        <v>1501020</v>
      </c>
      <c r="P1090" s="52" t="s">
        <v>480</v>
      </c>
      <c r="Q1090" s="15">
        <f t="shared" si="215"/>
        <v>41</v>
      </c>
      <c r="R1090" s="52" t="str">
        <f t="shared" si="216"/>
        <v>金币</v>
      </c>
      <c r="S1090" s="15">
        <f t="shared" si="217"/>
        <v>20000</v>
      </c>
      <c r="T1090" s="15" t="str">
        <f t="shared" si="218"/>
        <v>高级专属强化石</v>
      </c>
      <c r="U1090" s="15">
        <f t="shared" si="219"/>
        <v>5</v>
      </c>
      <c r="V1090" s="15" t="str">
        <f t="shared" si="220"/>
        <v>[x]</v>
      </c>
      <c r="W1090" s="15" t="str">
        <f t="shared" si="221"/>
        <v>[x]</v>
      </c>
      <c r="X1090" s="15">
        <f t="shared" si="222"/>
        <v>0.1</v>
      </c>
      <c r="Y1090" s="15">
        <f t="shared" si="223"/>
        <v>1</v>
      </c>
      <c r="Z1090" s="15">
        <f t="shared" si="224"/>
        <v>40</v>
      </c>
      <c r="AA1090" s="15">
        <f t="shared" si="225"/>
        <v>0.7</v>
      </c>
    </row>
    <row r="1091" spans="13:27" ht="16.5" x14ac:dyDescent="0.2">
      <c r="M1091" s="15">
        <v>1012</v>
      </c>
      <c r="N1091" s="15">
        <f t="shared" si="214"/>
        <v>20</v>
      </c>
      <c r="O1091" s="15">
        <f>INDEX(卡牌消耗!$H$13:$H$33,世界BOSS专属武器!N1091)</f>
        <v>1501020</v>
      </c>
      <c r="P1091" s="52" t="s">
        <v>480</v>
      </c>
      <c r="Q1091" s="15">
        <f t="shared" si="215"/>
        <v>42</v>
      </c>
      <c r="R1091" s="52" t="str">
        <f t="shared" si="216"/>
        <v>金币</v>
      </c>
      <c r="S1091" s="15">
        <f t="shared" si="217"/>
        <v>20000</v>
      </c>
      <c r="T1091" s="15" t="str">
        <f t="shared" si="218"/>
        <v>高级专属强化石</v>
      </c>
      <c r="U1091" s="15">
        <f t="shared" si="219"/>
        <v>5</v>
      </c>
      <c r="V1091" s="15" t="str">
        <f t="shared" si="220"/>
        <v>[x]</v>
      </c>
      <c r="W1091" s="15" t="str">
        <f t="shared" si="221"/>
        <v>[x]</v>
      </c>
      <c r="X1091" s="15">
        <f t="shared" si="222"/>
        <v>0.1</v>
      </c>
      <c r="Y1091" s="15">
        <f t="shared" si="223"/>
        <v>1</v>
      </c>
      <c r="Z1091" s="15">
        <f t="shared" si="224"/>
        <v>45</v>
      </c>
      <c r="AA1091" s="15">
        <f t="shared" si="225"/>
        <v>0.73329999999999995</v>
      </c>
    </row>
    <row r="1092" spans="13:27" ht="16.5" x14ac:dyDescent="0.2">
      <c r="M1092" s="15">
        <v>1013</v>
      </c>
      <c r="N1092" s="15">
        <f t="shared" si="214"/>
        <v>20</v>
      </c>
      <c r="O1092" s="15">
        <f>INDEX(卡牌消耗!$H$13:$H$33,世界BOSS专属武器!N1092)</f>
        <v>1501020</v>
      </c>
      <c r="P1092" s="52" t="s">
        <v>480</v>
      </c>
      <c r="Q1092" s="15">
        <f t="shared" si="215"/>
        <v>43</v>
      </c>
      <c r="R1092" s="52" t="str">
        <f t="shared" si="216"/>
        <v>金币</v>
      </c>
      <c r="S1092" s="15">
        <f t="shared" si="217"/>
        <v>20000</v>
      </c>
      <c r="T1092" s="15" t="str">
        <f t="shared" si="218"/>
        <v>高级专属强化石</v>
      </c>
      <c r="U1092" s="15">
        <f t="shared" si="219"/>
        <v>5</v>
      </c>
      <c r="V1092" s="15" t="str">
        <f t="shared" si="220"/>
        <v>[x]</v>
      </c>
      <c r="W1092" s="15" t="str">
        <f t="shared" si="221"/>
        <v>[x]</v>
      </c>
      <c r="X1092" s="15">
        <f t="shared" si="222"/>
        <v>0.1</v>
      </c>
      <c r="Y1092" s="15">
        <f t="shared" si="223"/>
        <v>1</v>
      </c>
      <c r="Z1092" s="15">
        <f t="shared" si="224"/>
        <v>50</v>
      </c>
      <c r="AA1092" s="15">
        <f t="shared" si="225"/>
        <v>0.76670000000000005</v>
      </c>
    </row>
    <row r="1093" spans="13:27" ht="16.5" x14ac:dyDescent="0.2">
      <c r="M1093" s="15">
        <v>1014</v>
      </c>
      <c r="N1093" s="15">
        <f t="shared" si="214"/>
        <v>20</v>
      </c>
      <c r="O1093" s="15">
        <f>INDEX(卡牌消耗!$H$13:$H$33,世界BOSS专属武器!N1093)</f>
        <v>1501020</v>
      </c>
      <c r="P1093" s="52" t="s">
        <v>480</v>
      </c>
      <c r="Q1093" s="15">
        <f t="shared" si="215"/>
        <v>44</v>
      </c>
      <c r="R1093" s="52" t="str">
        <f t="shared" si="216"/>
        <v>金币</v>
      </c>
      <c r="S1093" s="15">
        <f t="shared" si="217"/>
        <v>20000</v>
      </c>
      <c r="T1093" s="15" t="str">
        <f t="shared" si="218"/>
        <v>高级专属强化石</v>
      </c>
      <c r="U1093" s="15">
        <f t="shared" si="219"/>
        <v>5</v>
      </c>
      <c r="V1093" s="15" t="str">
        <f t="shared" si="220"/>
        <v>[x]</v>
      </c>
      <c r="W1093" s="15" t="str">
        <f t="shared" si="221"/>
        <v>[x]</v>
      </c>
      <c r="X1093" s="15">
        <f t="shared" si="222"/>
        <v>0.1</v>
      </c>
      <c r="Y1093" s="15">
        <f t="shared" si="223"/>
        <v>1</v>
      </c>
      <c r="Z1093" s="15">
        <f t="shared" si="224"/>
        <v>55</v>
      </c>
      <c r="AA1093" s="15">
        <f t="shared" si="225"/>
        <v>0.8</v>
      </c>
    </row>
    <row r="1094" spans="13:27" ht="16.5" x14ac:dyDescent="0.2">
      <c r="M1094" s="15">
        <v>1015</v>
      </c>
      <c r="N1094" s="15">
        <f t="shared" si="214"/>
        <v>20</v>
      </c>
      <c r="O1094" s="15">
        <f>INDEX(卡牌消耗!$H$13:$H$33,世界BOSS专属武器!N1094)</f>
        <v>1501020</v>
      </c>
      <c r="P1094" s="52" t="s">
        <v>480</v>
      </c>
      <c r="Q1094" s="15">
        <f t="shared" si="215"/>
        <v>45</v>
      </c>
      <c r="R1094" s="52" t="str">
        <f t="shared" si="216"/>
        <v>金币</v>
      </c>
      <c r="S1094" s="15">
        <f t="shared" si="217"/>
        <v>20000</v>
      </c>
      <c r="T1094" s="15" t="str">
        <f t="shared" si="218"/>
        <v>高级专属强化石</v>
      </c>
      <c r="U1094" s="15">
        <f t="shared" si="219"/>
        <v>6</v>
      </c>
      <c r="V1094" s="15" t="str">
        <f t="shared" si="220"/>
        <v>[x]</v>
      </c>
      <c r="W1094" s="15" t="str">
        <f t="shared" si="221"/>
        <v>[x]</v>
      </c>
      <c r="X1094" s="15">
        <f t="shared" si="222"/>
        <v>0.1</v>
      </c>
      <c r="Y1094" s="15">
        <f t="shared" si="223"/>
        <v>1</v>
      </c>
      <c r="Z1094" s="15">
        <f t="shared" si="224"/>
        <v>60</v>
      </c>
      <c r="AA1094" s="15">
        <f t="shared" si="225"/>
        <v>0.83330000000000004</v>
      </c>
    </row>
    <row r="1095" spans="13:27" ht="16.5" x14ac:dyDescent="0.2">
      <c r="M1095" s="15">
        <v>1016</v>
      </c>
      <c r="N1095" s="15">
        <f t="shared" si="214"/>
        <v>20</v>
      </c>
      <c r="O1095" s="15">
        <f>INDEX(卡牌消耗!$H$13:$H$33,世界BOSS专属武器!N1095)</f>
        <v>1501020</v>
      </c>
      <c r="P1095" s="52" t="s">
        <v>480</v>
      </c>
      <c r="Q1095" s="15">
        <f t="shared" si="215"/>
        <v>46</v>
      </c>
      <c r="R1095" s="52" t="str">
        <f t="shared" si="216"/>
        <v>金币</v>
      </c>
      <c r="S1095" s="15">
        <f t="shared" si="217"/>
        <v>20000</v>
      </c>
      <c r="T1095" s="15" t="str">
        <f t="shared" si="218"/>
        <v>高级专属强化石</v>
      </c>
      <c r="U1095" s="15">
        <f t="shared" si="219"/>
        <v>7</v>
      </c>
      <c r="V1095" s="15" t="str">
        <f t="shared" si="220"/>
        <v>[x]</v>
      </c>
      <c r="W1095" s="15" t="str">
        <f t="shared" si="221"/>
        <v>[x]</v>
      </c>
      <c r="X1095" s="15">
        <f t="shared" si="222"/>
        <v>0.1</v>
      </c>
      <c r="Y1095" s="15">
        <f t="shared" si="223"/>
        <v>1</v>
      </c>
      <c r="Z1095" s="15">
        <f t="shared" si="224"/>
        <v>70</v>
      </c>
      <c r="AA1095" s="15">
        <f t="shared" si="225"/>
        <v>0.86670000000000003</v>
      </c>
    </row>
    <row r="1096" spans="13:27" ht="16.5" x14ac:dyDescent="0.2">
      <c r="M1096" s="15">
        <v>1017</v>
      </c>
      <c r="N1096" s="15">
        <f t="shared" si="214"/>
        <v>20</v>
      </c>
      <c r="O1096" s="15">
        <f>INDEX(卡牌消耗!$H$13:$H$33,世界BOSS专属武器!N1096)</f>
        <v>1501020</v>
      </c>
      <c r="P1096" s="52" t="s">
        <v>480</v>
      </c>
      <c r="Q1096" s="15">
        <f t="shared" si="215"/>
        <v>47</v>
      </c>
      <c r="R1096" s="52" t="str">
        <f t="shared" si="216"/>
        <v>金币</v>
      </c>
      <c r="S1096" s="15">
        <f t="shared" si="217"/>
        <v>20000</v>
      </c>
      <c r="T1096" s="15" t="str">
        <f t="shared" si="218"/>
        <v>高级专属强化石</v>
      </c>
      <c r="U1096" s="15">
        <f t="shared" si="219"/>
        <v>8</v>
      </c>
      <c r="V1096" s="15" t="str">
        <f t="shared" si="220"/>
        <v>[x]</v>
      </c>
      <c r="W1096" s="15" t="str">
        <f t="shared" si="221"/>
        <v>[x]</v>
      </c>
      <c r="X1096" s="15">
        <f t="shared" si="222"/>
        <v>0.1</v>
      </c>
      <c r="Y1096" s="15">
        <f t="shared" si="223"/>
        <v>1</v>
      </c>
      <c r="Z1096" s="15">
        <f t="shared" si="224"/>
        <v>80</v>
      </c>
      <c r="AA1096" s="15">
        <f t="shared" si="225"/>
        <v>0.9</v>
      </c>
    </row>
    <row r="1097" spans="13:27" ht="16.5" x14ac:dyDescent="0.2">
      <c r="M1097" s="15">
        <v>1018</v>
      </c>
      <c r="N1097" s="15">
        <f t="shared" si="214"/>
        <v>20</v>
      </c>
      <c r="O1097" s="15">
        <f>INDEX(卡牌消耗!$H$13:$H$33,世界BOSS专属武器!N1097)</f>
        <v>1501020</v>
      </c>
      <c r="P1097" s="52" t="s">
        <v>480</v>
      </c>
      <c r="Q1097" s="15">
        <f t="shared" si="215"/>
        <v>48</v>
      </c>
      <c r="R1097" s="52" t="str">
        <f t="shared" si="216"/>
        <v>金币</v>
      </c>
      <c r="S1097" s="15">
        <f t="shared" si="217"/>
        <v>20000</v>
      </c>
      <c r="T1097" s="15" t="str">
        <f t="shared" si="218"/>
        <v>高级专属强化石</v>
      </c>
      <c r="U1097" s="15">
        <f t="shared" si="219"/>
        <v>9</v>
      </c>
      <c r="V1097" s="15" t="str">
        <f t="shared" si="220"/>
        <v>[x]</v>
      </c>
      <c r="W1097" s="15" t="str">
        <f t="shared" si="221"/>
        <v>[x]</v>
      </c>
      <c r="X1097" s="15">
        <f t="shared" si="222"/>
        <v>0.1</v>
      </c>
      <c r="Y1097" s="15">
        <f t="shared" si="223"/>
        <v>1</v>
      </c>
      <c r="Z1097" s="15">
        <f t="shared" si="224"/>
        <v>100</v>
      </c>
      <c r="AA1097" s="15">
        <f t="shared" si="225"/>
        <v>0.93330000000000002</v>
      </c>
    </row>
    <row r="1098" spans="13:27" ht="16.5" x14ac:dyDescent="0.2">
      <c r="M1098" s="15">
        <v>1019</v>
      </c>
      <c r="N1098" s="15">
        <f t="shared" si="214"/>
        <v>20</v>
      </c>
      <c r="O1098" s="15">
        <f>INDEX(卡牌消耗!$H$13:$H$33,世界BOSS专属武器!N1098)</f>
        <v>1501020</v>
      </c>
      <c r="P1098" s="52" t="s">
        <v>480</v>
      </c>
      <c r="Q1098" s="15">
        <f t="shared" si="215"/>
        <v>49</v>
      </c>
      <c r="R1098" s="52" t="str">
        <f t="shared" si="216"/>
        <v>金币</v>
      </c>
      <c r="S1098" s="15">
        <f t="shared" si="217"/>
        <v>20000</v>
      </c>
      <c r="T1098" s="15" t="str">
        <f t="shared" si="218"/>
        <v>高级专属强化石</v>
      </c>
      <c r="U1098" s="15">
        <f t="shared" si="219"/>
        <v>10</v>
      </c>
      <c r="V1098" s="15" t="str">
        <f t="shared" si="220"/>
        <v>[x]</v>
      </c>
      <c r="W1098" s="15" t="str">
        <f t="shared" si="221"/>
        <v>[x]</v>
      </c>
      <c r="X1098" s="15">
        <f t="shared" si="222"/>
        <v>0.1</v>
      </c>
      <c r="Y1098" s="15">
        <f t="shared" si="223"/>
        <v>1</v>
      </c>
      <c r="Z1098" s="15">
        <f t="shared" si="224"/>
        <v>120</v>
      </c>
      <c r="AA1098" s="15">
        <f t="shared" si="225"/>
        <v>0.9667</v>
      </c>
    </row>
    <row r="1099" spans="13:27" ht="16.5" x14ac:dyDescent="0.2">
      <c r="M1099" s="15">
        <v>1020</v>
      </c>
      <c r="N1099" s="15">
        <f t="shared" si="214"/>
        <v>20</v>
      </c>
      <c r="O1099" s="15">
        <f>INDEX(卡牌消耗!$H$13:$H$33,世界BOSS专属武器!N1099)</f>
        <v>1501020</v>
      </c>
      <c r="P1099" s="52" t="s">
        <v>480</v>
      </c>
      <c r="Q1099" s="15">
        <f t="shared" si="215"/>
        <v>50</v>
      </c>
      <c r="R1099" s="52" t="str">
        <f t="shared" si="216"/>
        <v>金币</v>
      </c>
      <c r="S1099" s="15">
        <f t="shared" si="217"/>
        <v>20000</v>
      </c>
      <c r="T1099" s="15" t="str">
        <f t="shared" si="218"/>
        <v>高级专属强化石</v>
      </c>
      <c r="U1099" s="15">
        <f t="shared" si="219"/>
        <v>15</v>
      </c>
      <c r="V1099" s="15" t="str">
        <f t="shared" si="220"/>
        <v>[x]</v>
      </c>
      <c r="W1099" s="15" t="str">
        <f t="shared" si="221"/>
        <v>[x]</v>
      </c>
      <c r="X1099" s="15">
        <f t="shared" si="222"/>
        <v>0.1</v>
      </c>
      <c r="Y1099" s="15">
        <f t="shared" si="223"/>
        <v>1</v>
      </c>
      <c r="Z1099" s="15">
        <f t="shared" si="224"/>
        <v>150</v>
      </c>
      <c r="AA1099" s="15">
        <f t="shared" si="225"/>
        <v>1</v>
      </c>
    </row>
    <row r="1100" spans="13:27" ht="16.5" x14ac:dyDescent="0.2">
      <c r="M1100" s="15">
        <v>1021</v>
      </c>
      <c r="N1100" s="15">
        <f t="shared" si="214"/>
        <v>21</v>
      </c>
      <c r="O1100" s="15">
        <f>INDEX(卡牌消耗!$H$13:$H$33,世界BOSS专属武器!N1100)</f>
        <v>1501021</v>
      </c>
      <c r="P1100" s="52" t="s">
        <v>480</v>
      </c>
      <c r="Q1100" s="15">
        <f t="shared" si="215"/>
        <v>0</v>
      </c>
      <c r="R1100" s="52" t="str">
        <f t="shared" si="216"/>
        <v>[x]</v>
      </c>
      <c r="S1100" s="15" t="str">
        <f t="shared" si="217"/>
        <v>[x]</v>
      </c>
      <c r="T1100" s="15" t="str">
        <f t="shared" si="218"/>
        <v>[x]</v>
      </c>
      <c r="U1100" s="15" t="str">
        <f t="shared" si="219"/>
        <v>[x]</v>
      </c>
      <c r="V1100" s="15" t="str">
        <f t="shared" si="220"/>
        <v>[x]</v>
      </c>
      <c r="W1100" s="15" t="str">
        <f t="shared" si="221"/>
        <v>[x]</v>
      </c>
      <c r="X1100" s="15" t="str">
        <f t="shared" si="222"/>
        <v>[x]</v>
      </c>
      <c r="Y1100" s="15" t="str">
        <f t="shared" si="223"/>
        <v>[x]</v>
      </c>
      <c r="Z1100" s="15" t="str">
        <f t="shared" si="224"/>
        <v>[x]</v>
      </c>
      <c r="AA1100" s="15" t="str">
        <f t="shared" si="225"/>
        <v>[x]</v>
      </c>
    </row>
    <row r="1101" spans="13:27" ht="16.5" x14ac:dyDescent="0.2">
      <c r="M1101" s="15">
        <v>1022</v>
      </c>
      <c r="N1101" s="15">
        <f t="shared" si="214"/>
        <v>21</v>
      </c>
      <c r="O1101" s="15">
        <f>INDEX(卡牌消耗!$H$13:$H$33,世界BOSS专属武器!N1101)</f>
        <v>1501021</v>
      </c>
      <c r="P1101" s="52" t="s">
        <v>480</v>
      </c>
      <c r="Q1101" s="15">
        <f t="shared" si="215"/>
        <v>1</v>
      </c>
      <c r="R1101" s="52" t="str">
        <f t="shared" si="216"/>
        <v>金币</v>
      </c>
      <c r="S1101" s="15">
        <f t="shared" si="217"/>
        <v>100</v>
      </c>
      <c r="T1101" s="15" t="str">
        <f t="shared" si="218"/>
        <v>低级专属强化石</v>
      </c>
      <c r="U1101" s="15">
        <f t="shared" si="219"/>
        <v>1</v>
      </c>
      <c r="V1101" s="15" t="str">
        <f t="shared" si="220"/>
        <v>[x]</v>
      </c>
      <c r="W1101" s="15" t="str">
        <f t="shared" si="221"/>
        <v>[x]</v>
      </c>
      <c r="X1101" s="15">
        <f t="shared" si="222"/>
        <v>1</v>
      </c>
      <c r="Y1101" s="15">
        <f t="shared" si="223"/>
        <v>1</v>
      </c>
      <c r="Z1101" s="15">
        <f t="shared" si="224"/>
        <v>1</v>
      </c>
      <c r="AA1101" s="15">
        <f t="shared" si="225"/>
        <v>6.7000000000000002E-3</v>
      </c>
    </row>
    <row r="1102" spans="13:27" ht="16.5" x14ac:dyDescent="0.2">
      <c r="M1102" s="15">
        <v>1023</v>
      </c>
      <c r="N1102" s="15">
        <f t="shared" si="214"/>
        <v>21</v>
      </c>
      <c r="O1102" s="15">
        <f>INDEX(卡牌消耗!$H$13:$H$33,世界BOSS专属武器!N1102)</f>
        <v>1501021</v>
      </c>
      <c r="P1102" s="52" t="s">
        <v>480</v>
      </c>
      <c r="Q1102" s="15">
        <f t="shared" si="215"/>
        <v>2</v>
      </c>
      <c r="R1102" s="52" t="str">
        <f t="shared" si="216"/>
        <v>金币</v>
      </c>
      <c r="S1102" s="15">
        <f t="shared" si="217"/>
        <v>200</v>
      </c>
      <c r="T1102" s="15" t="str">
        <f t="shared" si="218"/>
        <v>低级专属强化石</v>
      </c>
      <c r="U1102" s="15">
        <f t="shared" si="219"/>
        <v>1</v>
      </c>
      <c r="V1102" s="15" t="str">
        <f t="shared" si="220"/>
        <v>[x]</v>
      </c>
      <c r="W1102" s="15" t="str">
        <f t="shared" si="221"/>
        <v>[x]</v>
      </c>
      <c r="X1102" s="15">
        <f t="shared" si="222"/>
        <v>0.5</v>
      </c>
      <c r="Y1102" s="15">
        <f t="shared" si="223"/>
        <v>1</v>
      </c>
      <c r="Z1102" s="15">
        <f t="shared" si="224"/>
        <v>2</v>
      </c>
      <c r="AA1102" s="15">
        <f t="shared" si="225"/>
        <v>1.3299999999999999E-2</v>
      </c>
    </row>
    <row r="1103" spans="13:27" ht="16.5" x14ac:dyDescent="0.2">
      <c r="M1103" s="15">
        <v>1024</v>
      </c>
      <c r="N1103" s="15">
        <f t="shared" si="214"/>
        <v>21</v>
      </c>
      <c r="O1103" s="15">
        <f>INDEX(卡牌消耗!$H$13:$H$33,世界BOSS专属武器!N1103)</f>
        <v>1501021</v>
      </c>
      <c r="P1103" s="52" t="s">
        <v>480</v>
      </c>
      <c r="Q1103" s="15">
        <f t="shared" si="215"/>
        <v>3</v>
      </c>
      <c r="R1103" s="52" t="str">
        <f t="shared" si="216"/>
        <v>金币</v>
      </c>
      <c r="S1103" s="15">
        <f t="shared" si="217"/>
        <v>300</v>
      </c>
      <c r="T1103" s="15" t="str">
        <f t="shared" si="218"/>
        <v>低级专属强化石</v>
      </c>
      <c r="U1103" s="15">
        <f t="shared" si="219"/>
        <v>2</v>
      </c>
      <c r="V1103" s="15" t="str">
        <f t="shared" si="220"/>
        <v>[x]</v>
      </c>
      <c r="W1103" s="15" t="str">
        <f t="shared" si="221"/>
        <v>[x]</v>
      </c>
      <c r="X1103" s="15">
        <f t="shared" si="222"/>
        <v>0.48</v>
      </c>
      <c r="Y1103" s="15">
        <f t="shared" si="223"/>
        <v>1</v>
      </c>
      <c r="Z1103" s="15">
        <f t="shared" si="224"/>
        <v>3</v>
      </c>
      <c r="AA1103" s="15">
        <f t="shared" si="225"/>
        <v>0.02</v>
      </c>
    </row>
    <row r="1104" spans="13:27" ht="16.5" x14ac:dyDescent="0.2">
      <c r="M1104" s="15">
        <v>1025</v>
      </c>
      <c r="N1104" s="15">
        <f t="shared" si="214"/>
        <v>21</v>
      </c>
      <c r="O1104" s="15">
        <f>INDEX(卡牌消耗!$H$13:$H$33,世界BOSS专属武器!N1104)</f>
        <v>1501021</v>
      </c>
      <c r="P1104" s="52" t="s">
        <v>480</v>
      </c>
      <c r="Q1104" s="15">
        <f t="shared" si="215"/>
        <v>4</v>
      </c>
      <c r="R1104" s="52" t="str">
        <f t="shared" si="216"/>
        <v>金币</v>
      </c>
      <c r="S1104" s="15">
        <f t="shared" si="217"/>
        <v>400</v>
      </c>
      <c r="T1104" s="15" t="str">
        <f t="shared" si="218"/>
        <v>低级专属强化石</v>
      </c>
      <c r="U1104" s="15">
        <f t="shared" si="219"/>
        <v>3</v>
      </c>
      <c r="V1104" s="15" t="str">
        <f t="shared" si="220"/>
        <v>[x]</v>
      </c>
      <c r="W1104" s="15" t="str">
        <f t="shared" si="221"/>
        <v>[x]</v>
      </c>
      <c r="X1104" s="15">
        <f t="shared" si="222"/>
        <v>0.46</v>
      </c>
      <c r="Y1104" s="15">
        <f t="shared" si="223"/>
        <v>1</v>
      </c>
      <c r="Z1104" s="15">
        <f t="shared" si="224"/>
        <v>3</v>
      </c>
      <c r="AA1104" s="15">
        <f t="shared" si="225"/>
        <v>2.6700000000000002E-2</v>
      </c>
    </row>
    <row r="1105" spans="13:27" ht="16.5" x14ac:dyDescent="0.2">
      <c r="M1105" s="15">
        <v>1026</v>
      </c>
      <c r="N1105" s="15">
        <f t="shared" si="214"/>
        <v>21</v>
      </c>
      <c r="O1105" s="15">
        <f>INDEX(卡牌消耗!$H$13:$H$33,世界BOSS专属武器!N1105)</f>
        <v>1501021</v>
      </c>
      <c r="P1105" s="52" t="s">
        <v>480</v>
      </c>
      <c r="Q1105" s="15">
        <f t="shared" si="215"/>
        <v>5</v>
      </c>
      <c r="R1105" s="52" t="str">
        <f t="shared" si="216"/>
        <v>金币</v>
      </c>
      <c r="S1105" s="15">
        <f t="shared" si="217"/>
        <v>500</v>
      </c>
      <c r="T1105" s="15" t="str">
        <f t="shared" si="218"/>
        <v>低级专属强化石</v>
      </c>
      <c r="U1105" s="15">
        <f t="shared" si="219"/>
        <v>4</v>
      </c>
      <c r="V1105" s="15" t="str">
        <f t="shared" si="220"/>
        <v>[x]</v>
      </c>
      <c r="W1105" s="15" t="str">
        <f t="shared" si="221"/>
        <v>[x]</v>
      </c>
      <c r="X1105" s="15">
        <f t="shared" si="222"/>
        <v>0.44</v>
      </c>
      <c r="Y1105" s="15">
        <f t="shared" si="223"/>
        <v>1</v>
      </c>
      <c r="Z1105" s="15">
        <f t="shared" si="224"/>
        <v>3</v>
      </c>
      <c r="AA1105" s="15">
        <f t="shared" si="225"/>
        <v>3.3300000000000003E-2</v>
      </c>
    </row>
    <row r="1106" spans="13:27" ht="16.5" x14ac:dyDescent="0.2">
      <c r="M1106" s="15">
        <v>1027</v>
      </c>
      <c r="N1106" s="15">
        <f t="shared" si="214"/>
        <v>21</v>
      </c>
      <c r="O1106" s="15">
        <f>INDEX(卡牌消耗!$H$13:$H$33,世界BOSS专属武器!N1106)</f>
        <v>1501021</v>
      </c>
      <c r="P1106" s="52" t="s">
        <v>480</v>
      </c>
      <c r="Q1106" s="15">
        <f t="shared" si="215"/>
        <v>6</v>
      </c>
      <c r="R1106" s="52" t="str">
        <f t="shared" si="216"/>
        <v>金币</v>
      </c>
      <c r="S1106" s="15">
        <f t="shared" si="217"/>
        <v>600</v>
      </c>
      <c r="T1106" s="15" t="str">
        <f t="shared" si="218"/>
        <v>低级专属强化石</v>
      </c>
      <c r="U1106" s="15">
        <f t="shared" si="219"/>
        <v>5</v>
      </c>
      <c r="V1106" s="15" t="str">
        <f t="shared" si="220"/>
        <v>[x]</v>
      </c>
      <c r="W1106" s="15" t="str">
        <f t="shared" si="221"/>
        <v>[x]</v>
      </c>
      <c r="X1106" s="15">
        <f t="shared" si="222"/>
        <v>0.42</v>
      </c>
      <c r="Y1106" s="15">
        <f t="shared" si="223"/>
        <v>1</v>
      </c>
      <c r="Z1106" s="15">
        <f t="shared" si="224"/>
        <v>4</v>
      </c>
      <c r="AA1106" s="15">
        <f t="shared" si="225"/>
        <v>0.04</v>
      </c>
    </row>
    <row r="1107" spans="13:27" ht="16.5" x14ac:dyDescent="0.2">
      <c r="M1107" s="15">
        <v>1028</v>
      </c>
      <c r="N1107" s="15">
        <f t="shared" si="214"/>
        <v>21</v>
      </c>
      <c r="O1107" s="15">
        <f>INDEX(卡牌消耗!$H$13:$H$33,世界BOSS专属武器!N1107)</f>
        <v>1501021</v>
      </c>
      <c r="P1107" s="52" t="s">
        <v>480</v>
      </c>
      <c r="Q1107" s="15">
        <f t="shared" si="215"/>
        <v>7</v>
      </c>
      <c r="R1107" s="52" t="str">
        <f t="shared" si="216"/>
        <v>金币</v>
      </c>
      <c r="S1107" s="15">
        <f t="shared" si="217"/>
        <v>700</v>
      </c>
      <c r="T1107" s="15" t="str">
        <f t="shared" si="218"/>
        <v>低级专属强化石</v>
      </c>
      <c r="U1107" s="15">
        <f t="shared" si="219"/>
        <v>5</v>
      </c>
      <c r="V1107" s="15" t="str">
        <f t="shared" si="220"/>
        <v>[x]</v>
      </c>
      <c r="W1107" s="15" t="str">
        <f t="shared" si="221"/>
        <v>[x]</v>
      </c>
      <c r="X1107" s="15">
        <f t="shared" si="222"/>
        <v>0.4</v>
      </c>
      <c r="Y1107" s="15">
        <f t="shared" si="223"/>
        <v>1</v>
      </c>
      <c r="Z1107" s="15">
        <f t="shared" si="224"/>
        <v>4</v>
      </c>
      <c r="AA1107" s="15">
        <f t="shared" si="225"/>
        <v>4.6699999999999998E-2</v>
      </c>
    </row>
    <row r="1108" spans="13:27" ht="16.5" x14ac:dyDescent="0.2">
      <c r="M1108" s="15">
        <v>1029</v>
      </c>
      <c r="N1108" s="15">
        <f t="shared" si="214"/>
        <v>21</v>
      </c>
      <c r="O1108" s="15">
        <f>INDEX(卡牌消耗!$H$13:$H$33,世界BOSS专属武器!N1108)</f>
        <v>1501021</v>
      </c>
      <c r="P1108" s="52" t="s">
        <v>480</v>
      </c>
      <c r="Q1108" s="15">
        <f t="shared" si="215"/>
        <v>8</v>
      </c>
      <c r="R1108" s="52" t="str">
        <f t="shared" si="216"/>
        <v>金币</v>
      </c>
      <c r="S1108" s="15">
        <f t="shared" si="217"/>
        <v>800</v>
      </c>
      <c r="T1108" s="15" t="str">
        <f t="shared" si="218"/>
        <v>低级专属强化石</v>
      </c>
      <c r="U1108" s="15">
        <f t="shared" si="219"/>
        <v>5</v>
      </c>
      <c r="V1108" s="15" t="str">
        <f t="shared" si="220"/>
        <v>[x]</v>
      </c>
      <c r="W1108" s="15" t="str">
        <f t="shared" si="221"/>
        <v>[x]</v>
      </c>
      <c r="X1108" s="15">
        <f t="shared" si="222"/>
        <v>0.38</v>
      </c>
      <c r="Y1108" s="15">
        <f t="shared" si="223"/>
        <v>1</v>
      </c>
      <c r="Z1108" s="15">
        <f t="shared" si="224"/>
        <v>5</v>
      </c>
      <c r="AA1108" s="15">
        <f t="shared" si="225"/>
        <v>5.33E-2</v>
      </c>
    </row>
    <row r="1109" spans="13:27" ht="16.5" x14ac:dyDescent="0.2">
      <c r="M1109" s="15">
        <v>1030</v>
      </c>
      <c r="N1109" s="15">
        <f t="shared" si="214"/>
        <v>21</v>
      </c>
      <c r="O1109" s="15">
        <f>INDEX(卡牌消耗!$H$13:$H$33,世界BOSS专属武器!N1109)</f>
        <v>1501021</v>
      </c>
      <c r="P1109" s="52" t="s">
        <v>480</v>
      </c>
      <c r="Q1109" s="15">
        <f t="shared" si="215"/>
        <v>9</v>
      </c>
      <c r="R1109" s="52" t="str">
        <f t="shared" si="216"/>
        <v>金币</v>
      </c>
      <c r="S1109" s="15">
        <f t="shared" si="217"/>
        <v>900</v>
      </c>
      <c r="T1109" s="15" t="str">
        <f t="shared" si="218"/>
        <v>低级专属强化石</v>
      </c>
      <c r="U1109" s="15">
        <f t="shared" si="219"/>
        <v>5</v>
      </c>
      <c r="V1109" s="15" t="str">
        <f t="shared" si="220"/>
        <v>[x]</v>
      </c>
      <c r="W1109" s="15" t="str">
        <f t="shared" si="221"/>
        <v>[x]</v>
      </c>
      <c r="X1109" s="15">
        <f t="shared" si="222"/>
        <v>0.36</v>
      </c>
      <c r="Y1109" s="15">
        <f t="shared" si="223"/>
        <v>1</v>
      </c>
      <c r="Z1109" s="15">
        <f t="shared" si="224"/>
        <v>5</v>
      </c>
      <c r="AA1109" s="15">
        <f t="shared" si="225"/>
        <v>0.06</v>
      </c>
    </row>
    <row r="1110" spans="13:27" ht="16.5" x14ac:dyDescent="0.2">
      <c r="M1110" s="15">
        <v>1031</v>
      </c>
      <c r="N1110" s="15">
        <f t="shared" si="214"/>
        <v>21</v>
      </c>
      <c r="O1110" s="15">
        <f>INDEX(卡牌消耗!$H$13:$H$33,世界BOSS专属武器!N1110)</f>
        <v>1501021</v>
      </c>
      <c r="P1110" s="52" t="s">
        <v>480</v>
      </c>
      <c r="Q1110" s="15">
        <f t="shared" si="215"/>
        <v>10</v>
      </c>
      <c r="R1110" s="52" t="str">
        <f t="shared" si="216"/>
        <v>金币</v>
      </c>
      <c r="S1110" s="15">
        <f t="shared" si="217"/>
        <v>1000</v>
      </c>
      <c r="T1110" s="15" t="str">
        <f t="shared" si="218"/>
        <v>低级专属强化石</v>
      </c>
      <c r="U1110" s="15">
        <f t="shared" si="219"/>
        <v>7</v>
      </c>
      <c r="V1110" s="15" t="str">
        <f t="shared" si="220"/>
        <v>[x]</v>
      </c>
      <c r="W1110" s="15" t="str">
        <f t="shared" si="221"/>
        <v>[x]</v>
      </c>
      <c r="X1110" s="15">
        <f t="shared" si="222"/>
        <v>0.35</v>
      </c>
      <c r="Y1110" s="15">
        <f t="shared" si="223"/>
        <v>1</v>
      </c>
      <c r="Z1110" s="15">
        <f t="shared" si="224"/>
        <v>5</v>
      </c>
      <c r="AA1110" s="15">
        <f t="shared" si="225"/>
        <v>6.6699999999999995E-2</v>
      </c>
    </row>
    <row r="1111" spans="13:27" ht="16.5" x14ac:dyDescent="0.2">
      <c r="M1111" s="15">
        <v>1032</v>
      </c>
      <c r="N1111" s="15">
        <f t="shared" si="214"/>
        <v>21</v>
      </c>
      <c r="O1111" s="15">
        <f>INDEX(卡牌消耗!$H$13:$H$33,世界BOSS专属武器!N1111)</f>
        <v>1501021</v>
      </c>
      <c r="P1111" s="52" t="s">
        <v>480</v>
      </c>
      <c r="Q1111" s="15">
        <f t="shared" si="215"/>
        <v>11</v>
      </c>
      <c r="R1111" s="52" t="str">
        <f t="shared" si="216"/>
        <v>金币</v>
      </c>
      <c r="S1111" s="15">
        <f t="shared" si="217"/>
        <v>1000</v>
      </c>
      <c r="T1111" s="15" t="str">
        <f t="shared" si="218"/>
        <v>低级专属强化石</v>
      </c>
      <c r="U1111" s="15">
        <f t="shared" si="219"/>
        <v>7</v>
      </c>
      <c r="V1111" s="15" t="str">
        <f t="shared" si="220"/>
        <v>[x]</v>
      </c>
      <c r="W1111" s="15" t="str">
        <f t="shared" si="221"/>
        <v>[x]</v>
      </c>
      <c r="X1111" s="15">
        <f t="shared" si="222"/>
        <v>0.33</v>
      </c>
      <c r="Y1111" s="15">
        <f t="shared" si="223"/>
        <v>1</v>
      </c>
      <c r="Z1111" s="15">
        <f t="shared" si="224"/>
        <v>6</v>
      </c>
      <c r="AA1111" s="15">
        <f t="shared" si="225"/>
        <v>0.08</v>
      </c>
    </row>
    <row r="1112" spans="13:27" ht="16.5" x14ac:dyDescent="0.2">
      <c r="M1112" s="15">
        <v>1033</v>
      </c>
      <c r="N1112" s="15">
        <f t="shared" si="214"/>
        <v>21</v>
      </c>
      <c r="O1112" s="15">
        <f>INDEX(卡牌消耗!$H$13:$H$33,世界BOSS专属武器!N1112)</f>
        <v>1501021</v>
      </c>
      <c r="P1112" s="52" t="s">
        <v>480</v>
      </c>
      <c r="Q1112" s="15">
        <f t="shared" si="215"/>
        <v>12</v>
      </c>
      <c r="R1112" s="52" t="str">
        <f t="shared" si="216"/>
        <v>金币</v>
      </c>
      <c r="S1112" s="15">
        <f t="shared" si="217"/>
        <v>1000</v>
      </c>
      <c r="T1112" s="15" t="str">
        <f t="shared" si="218"/>
        <v>低级专属强化石</v>
      </c>
      <c r="U1112" s="15">
        <f t="shared" si="219"/>
        <v>7</v>
      </c>
      <c r="V1112" s="15" t="str">
        <f t="shared" si="220"/>
        <v>[x]</v>
      </c>
      <c r="W1112" s="15" t="str">
        <f t="shared" si="221"/>
        <v>[x]</v>
      </c>
      <c r="X1112" s="15">
        <f t="shared" si="222"/>
        <v>0.31</v>
      </c>
      <c r="Y1112" s="15">
        <f t="shared" si="223"/>
        <v>1</v>
      </c>
      <c r="Z1112" s="15">
        <f t="shared" si="224"/>
        <v>6</v>
      </c>
      <c r="AA1112" s="15">
        <f t="shared" si="225"/>
        <v>9.3299999999999994E-2</v>
      </c>
    </row>
    <row r="1113" spans="13:27" ht="16.5" x14ac:dyDescent="0.2">
      <c r="M1113" s="15">
        <v>1034</v>
      </c>
      <c r="N1113" s="15">
        <f t="shared" si="214"/>
        <v>21</v>
      </c>
      <c r="O1113" s="15">
        <f>INDEX(卡牌消耗!$H$13:$H$33,世界BOSS专属武器!N1113)</f>
        <v>1501021</v>
      </c>
      <c r="P1113" s="52" t="s">
        <v>480</v>
      </c>
      <c r="Q1113" s="15">
        <f t="shared" si="215"/>
        <v>13</v>
      </c>
      <c r="R1113" s="52" t="str">
        <f t="shared" si="216"/>
        <v>金币</v>
      </c>
      <c r="S1113" s="15">
        <f t="shared" si="217"/>
        <v>1000</v>
      </c>
      <c r="T1113" s="15" t="str">
        <f t="shared" si="218"/>
        <v>低级专属强化石</v>
      </c>
      <c r="U1113" s="15">
        <f t="shared" si="219"/>
        <v>7</v>
      </c>
      <c r="V1113" s="15" t="str">
        <f t="shared" si="220"/>
        <v>[x]</v>
      </c>
      <c r="W1113" s="15" t="str">
        <f t="shared" si="221"/>
        <v>[x]</v>
      </c>
      <c r="X1113" s="15">
        <f t="shared" si="222"/>
        <v>0.28999999999999998</v>
      </c>
      <c r="Y1113" s="15">
        <f t="shared" si="223"/>
        <v>1</v>
      </c>
      <c r="Z1113" s="15">
        <f t="shared" si="224"/>
        <v>7</v>
      </c>
      <c r="AA1113" s="15">
        <f t="shared" si="225"/>
        <v>0.1067</v>
      </c>
    </row>
    <row r="1114" spans="13:27" ht="16.5" x14ac:dyDescent="0.2">
      <c r="M1114" s="15">
        <v>1035</v>
      </c>
      <c r="N1114" s="15">
        <f t="shared" si="214"/>
        <v>21</v>
      </c>
      <c r="O1114" s="15">
        <f>INDEX(卡牌消耗!$H$13:$H$33,世界BOSS专属武器!N1114)</f>
        <v>1501021</v>
      </c>
      <c r="P1114" s="52" t="s">
        <v>480</v>
      </c>
      <c r="Q1114" s="15">
        <f t="shared" si="215"/>
        <v>14</v>
      </c>
      <c r="R1114" s="52" t="str">
        <f t="shared" si="216"/>
        <v>金币</v>
      </c>
      <c r="S1114" s="15">
        <f t="shared" si="217"/>
        <v>1000</v>
      </c>
      <c r="T1114" s="15" t="str">
        <f t="shared" si="218"/>
        <v>低级专属强化石</v>
      </c>
      <c r="U1114" s="15">
        <f t="shared" si="219"/>
        <v>7</v>
      </c>
      <c r="V1114" s="15" t="str">
        <f t="shared" si="220"/>
        <v>[x]</v>
      </c>
      <c r="W1114" s="15" t="str">
        <f t="shared" si="221"/>
        <v>[x]</v>
      </c>
      <c r="X1114" s="15">
        <f t="shared" si="222"/>
        <v>0.27</v>
      </c>
      <c r="Y1114" s="15">
        <f t="shared" si="223"/>
        <v>1</v>
      </c>
      <c r="Z1114" s="15">
        <f t="shared" si="224"/>
        <v>7</v>
      </c>
      <c r="AA1114" s="15">
        <f t="shared" si="225"/>
        <v>0.12</v>
      </c>
    </row>
    <row r="1115" spans="13:27" ht="16.5" x14ac:dyDescent="0.2">
      <c r="M1115" s="15">
        <v>1036</v>
      </c>
      <c r="N1115" s="15">
        <f t="shared" si="214"/>
        <v>21</v>
      </c>
      <c r="O1115" s="15">
        <f>INDEX(卡牌消耗!$H$13:$H$33,世界BOSS专属武器!N1115)</f>
        <v>1501021</v>
      </c>
      <c r="P1115" s="52" t="s">
        <v>480</v>
      </c>
      <c r="Q1115" s="15">
        <f t="shared" si="215"/>
        <v>15</v>
      </c>
      <c r="R1115" s="52" t="str">
        <f t="shared" si="216"/>
        <v>金币</v>
      </c>
      <c r="S1115" s="15">
        <f t="shared" si="217"/>
        <v>1000</v>
      </c>
      <c r="T1115" s="15" t="str">
        <f t="shared" si="218"/>
        <v>低级专属强化石</v>
      </c>
      <c r="U1115" s="15">
        <f t="shared" si="219"/>
        <v>10</v>
      </c>
      <c r="V1115" s="15" t="str">
        <f t="shared" si="220"/>
        <v>[x]</v>
      </c>
      <c r="W1115" s="15" t="str">
        <f t="shared" si="221"/>
        <v>[x]</v>
      </c>
      <c r="X1115" s="15">
        <f t="shared" si="222"/>
        <v>0.25</v>
      </c>
      <c r="Y1115" s="15">
        <f t="shared" si="223"/>
        <v>1</v>
      </c>
      <c r="Z1115" s="15">
        <f t="shared" si="224"/>
        <v>8</v>
      </c>
      <c r="AA1115" s="15">
        <f t="shared" si="225"/>
        <v>0.1333</v>
      </c>
    </row>
    <row r="1116" spans="13:27" ht="16.5" x14ac:dyDescent="0.2">
      <c r="M1116" s="15">
        <v>1037</v>
      </c>
      <c r="N1116" s="15">
        <f t="shared" si="214"/>
        <v>21</v>
      </c>
      <c r="O1116" s="15">
        <f>INDEX(卡牌消耗!$H$13:$H$33,世界BOSS专属武器!N1116)</f>
        <v>1501021</v>
      </c>
      <c r="P1116" s="52" t="s">
        <v>480</v>
      </c>
      <c r="Q1116" s="15">
        <f t="shared" si="215"/>
        <v>16</v>
      </c>
      <c r="R1116" s="52" t="str">
        <f t="shared" si="216"/>
        <v>金币</v>
      </c>
      <c r="S1116" s="15">
        <f t="shared" si="217"/>
        <v>1000</v>
      </c>
      <c r="T1116" s="15" t="str">
        <f t="shared" si="218"/>
        <v>低级专属强化石</v>
      </c>
      <c r="U1116" s="15">
        <f t="shared" si="219"/>
        <v>10</v>
      </c>
      <c r="V1116" s="15" t="str">
        <f t="shared" si="220"/>
        <v>[x]</v>
      </c>
      <c r="W1116" s="15" t="str">
        <f t="shared" si="221"/>
        <v>[x]</v>
      </c>
      <c r="X1116" s="15">
        <f t="shared" si="222"/>
        <v>0.23</v>
      </c>
      <c r="Y1116" s="15">
        <f t="shared" si="223"/>
        <v>1</v>
      </c>
      <c r="Z1116" s="15">
        <f t="shared" si="224"/>
        <v>9</v>
      </c>
      <c r="AA1116" s="15">
        <f t="shared" si="225"/>
        <v>0.1467</v>
      </c>
    </row>
    <row r="1117" spans="13:27" ht="16.5" x14ac:dyDescent="0.2">
      <c r="M1117" s="15">
        <v>1038</v>
      </c>
      <c r="N1117" s="15">
        <f t="shared" si="214"/>
        <v>21</v>
      </c>
      <c r="O1117" s="15">
        <f>INDEX(卡牌消耗!$H$13:$H$33,世界BOSS专属武器!N1117)</f>
        <v>1501021</v>
      </c>
      <c r="P1117" s="52" t="s">
        <v>480</v>
      </c>
      <c r="Q1117" s="15">
        <f t="shared" si="215"/>
        <v>17</v>
      </c>
      <c r="R1117" s="52" t="str">
        <f t="shared" si="216"/>
        <v>金币</v>
      </c>
      <c r="S1117" s="15">
        <f t="shared" si="217"/>
        <v>1000</v>
      </c>
      <c r="T1117" s="15" t="str">
        <f t="shared" si="218"/>
        <v>低级专属强化石</v>
      </c>
      <c r="U1117" s="15">
        <f t="shared" si="219"/>
        <v>10</v>
      </c>
      <c r="V1117" s="15" t="str">
        <f t="shared" si="220"/>
        <v>[x]</v>
      </c>
      <c r="W1117" s="15" t="str">
        <f t="shared" si="221"/>
        <v>[x]</v>
      </c>
      <c r="X1117" s="15">
        <f t="shared" si="222"/>
        <v>0.21</v>
      </c>
      <c r="Y1117" s="15">
        <f t="shared" si="223"/>
        <v>1</v>
      </c>
      <c r="Z1117" s="15">
        <f t="shared" si="224"/>
        <v>10</v>
      </c>
      <c r="AA1117" s="15">
        <f t="shared" si="225"/>
        <v>0.16</v>
      </c>
    </row>
    <row r="1118" spans="13:27" ht="16.5" x14ac:dyDescent="0.2">
      <c r="M1118" s="15">
        <v>1039</v>
      </c>
      <c r="N1118" s="15">
        <f t="shared" si="214"/>
        <v>21</v>
      </c>
      <c r="O1118" s="15">
        <f>INDEX(卡牌消耗!$H$13:$H$33,世界BOSS专属武器!N1118)</f>
        <v>1501021</v>
      </c>
      <c r="P1118" s="52" t="s">
        <v>480</v>
      </c>
      <c r="Q1118" s="15">
        <f t="shared" si="215"/>
        <v>18</v>
      </c>
      <c r="R1118" s="52" t="str">
        <f t="shared" si="216"/>
        <v>金币</v>
      </c>
      <c r="S1118" s="15">
        <f t="shared" si="217"/>
        <v>1000</v>
      </c>
      <c r="T1118" s="15" t="str">
        <f t="shared" si="218"/>
        <v>低级专属强化石</v>
      </c>
      <c r="U1118" s="15">
        <f t="shared" si="219"/>
        <v>10</v>
      </c>
      <c r="V1118" s="15" t="str">
        <f t="shared" si="220"/>
        <v>[x]</v>
      </c>
      <c r="W1118" s="15" t="str">
        <f t="shared" si="221"/>
        <v>[x]</v>
      </c>
      <c r="X1118" s="15">
        <f t="shared" si="222"/>
        <v>0.19</v>
      </c>
      <c r="Y1118" s="15">
        <f t="shared" si="223"/>
        <v>1</v>
      </c>
      <c r="Z1118" s="15">
        <f t="shared" si="224"/>
        <v>11</v>
      </c>
      <c r="AA1118" s="15">
        <f t="shared" si="225"/>
        <v>0.17330000000000001</v>
      </c>
    </row>
    <row r="1119" spans="13:27" ht="16.5" x14ac:dyDescent="0.2">
      <c r="M1119" s="15">
        <v>1040</v>
      </c>
      <c r="N1119" s="15">
        <f t="shared" si="214"/>
        <v>21</v>
      </c>
      <c r="O1119" s="15">
        <f>INDEX(卡牌消耗!$H$13:$H$33,世界BOSS专属武器!N1119)</f>
        <v>1501021</v>
      </c>
      <c r="P1119" s="52" t="s">
        <v>480</v>
      </c>
      <c r="Q1119" s="15">
        <f t="shared" si="215"/>
        <v>19</v>
      </c>
      <c r="R1119" s="52" t="str">
        <f t="shared" si="216"/>
        <v>金币</v>
      </c>
      <c r="S1119" s="15">
        <f t="shared" si="217"/>
        <v>1000</v>
      </c>
      <c r="T1119" s="15" t="str">
        <f t="shared" si="218"/>
        <v>低级专属强化石</v>
      </c>
      <c r="U1119" s="15">
        <f t="shared" si="219"/>
        <v>10</v>
      </c>
      <c r="V1119" s="15" t="str">
        <f t="shared" si="220"/>
        <v>[x]</v>
      </c>
      <c r="W1119" s="15" t="str">
        <f t="shared" si="221"/>
        <v>[x]</v>
      </c>
      <c r="X1119" s="15">
        <f t="shared" si="222"/>
        <v>0.17</v>
      </c>
      <c r="Y1119" s="15">
        <f t="shared" si="223"/>
        <v>1</v>
      </c>
      <c r="Z1119" s="15">
        <f t="shared" si="224"/>
        <v>12</v>
      </c>
      <c r="AA1119" s="15">
        <f t="shared" si="225"/>
        <v>0.1867</v>
      </c>
    </row>
    <row r="1120" spans="13:27" ht="16.5" x14ac:dyDescent="0.2">
      <c r="M1120" s="15">
        <v>1041</v>
      </c>
      <c r="N1120" s="15">
        <f t="shared" si="214"/>
        <v>21</v>
      </c>
      <c r="O1120" s="15">
        <f>INDEX(卡牌消耗!$H$13:$H$33,世界BOSS专属武器!N1120)</f>
        <v>1501021</v>
      </c>
      <c r="P1120" s="52" t="s">
        <v>480</v>
      </c>
      <c r="Q1120" s="15">
        <f t="shared" si="215"/>
        <v>20</v>
      </c>
      <c r="R1120" s="52" t="str">
        <f t="shared" si="216"/>
        <v>金币</v>
      </c>
      <c r="S1120" s="15">
        <f t="shared" si="217"/>
        <v>5000</v>
      </c>
      <c r="T1120" s="15" t="str">
        <f t="shared" si="218"/>
        <v>低级专属强化石</v>
      </c>
      <c r="U1120" s="15">
        <f t="shared" si="219"/>
        <v>15</v>
      </c>
      <c r="V1120" s="15" t="str">
        <f t="shared" si="220"/>
        <v>中级专属强化石</v>
      </c>
      <c r="W1120" s="15">
        <f t="shared" si="221"/>
        <v>7</v>
      </c>
      <c r="X1120" s="15">
        <f t="shared" si="222"/>
        <v>0.15</v>
      </c>
      <c r="Y1120" s="15">
        <f t="shared" si="223"/>
        <v>1</v>
      </c>
      <c r="Z1120" s="15">
        <f t="shared" si="224"/>
        <v>15</v>
      </c>
      <c r="AA1120" s="15">
        <f t="shared" si="225"/>
        <v>0.2</v>
      </c>
    </row>
    <row r="1121" spans="13:27" ht="16.5" x14ac:dyDescent="0.2">
      <c r="M1121" s="15">
        <v>1042</v>
      </c>
      <c r="N1121" s="15">
        <f t="shared" si="214"/>
        <v>21</v>
      </c>
      <c r="O1121" s="15">
        <f>INDEX(卡牌消耗!$H$13:$H$33,世界BOSS专属武器!N1121)</f>
        <v>1501021</v>
      </c>
      <c r="P1121" s="52" t="s">
        <v>480</v>
      </c>
      <c r="Q1121" s="15">
        <f t="shared" si="215"/>
        <v>21</v>
      </c>
      <c r="R1121" s="52" t="str">
        <f t="shared" si="216"/>
        <v>金币</v>
      </c>
      <c r="S1121" s="15">
        <f t="shared" si="217"/>
        <v>5000</v>
      </c>
      <c r="T1121" s="15" t="str">
        <f t="shared" si="218"/>
        <v>低级专属强化石</v>
      </c>
      <c r="U1121" s="15">
        <f t="shared" si="219"/>
        <v>15</v>
      </c>
      <c r="V1121" s="15" t="str">
        <f t="shared" si="220"/>
        <v>中级专属强化石</v>
      </c>
      <c r="W1121" s="15">
        <f t="shared" si="221"/>
        <v>7</v>
      </c>
      <c r="X1121" s="15">
        <f t="shared" si="222"/>
        <v>0.15</v>
      </c>
      <c r="Y1121" s="15">
        <f t="shared" si="223"/>
        <v>1</v>
      </c>
      <c r="Z1121" s="15">
        <f t="shared" si="224"/>
        <v>15</v>
      </c>
      <c r="AA1121" s="15">
        <f t="shared" si="225"/>
        <v>0.22</v>
      </c>
    </row>
    <row r="1122" spans="13:27" ht="16.5" x14ac:dyDescent="0.2">
      <c r="M1122" s="15">
        <v>1043</v>
      </c>
      <c r="N1122" s="15">
        <f t="shared" si="214"/>
        <v>21</v>
      </c>
      <c r="O1122" s="15">
        <f>INDEX(卡牌消耗!$H$13:$H$33,世界BOSS专属武器!N1122)</f>
        <v>1501021</v>
      </c>
      <c r="P1122" s="52" t="s">
        <v>480</v>
      </c>
      <c r="Q1122" s="15">
        <f t="shared" si="215"/>
        <v>22</v>
      </c>
      <c r="R1122" s="52" t="str">
        <f t="shared" si="216"/>
        <v>金币</v>
      </c>
      <c r="S1122" s="15">
        <f t="shared" si="217"/>
        <v>5000</v>
      </c>
      <c r="T1122" s="15" t="str">
        <f t="shared" si="218"/>
        <v>低级专属强化石</v>
      </c>
      <c r="U1122" s="15">
        <f t="shared" si="219"/>
        <v>15</v>
      </c>
      <c r="V1122" s="15" t="str">
        <f t="shared" si="220"/>
        <v>中级专属强化石</v>
      </c>
      <c r="W1122" s="15">
        <f t="shared" si="221"/>
        <v>7</v>
      </c>
      <c r="X1122" s="15">
        <f t="shared" si="222"/>
        <v>0.15</v>
      </c>
      <c r="Y1122" s="15">
        <f t="shared" si="223"/>
        <v>1</v>
      </c>
      <c r="Z1122" s="15">
        <f t="shared" si="224"/>
        <v>15</v>
      </c>
      <c r="AA1122" s="15">
        <f t="shared" si="225"/>
        <v>0.24</v>
      </c>
    </row>
    <row r="1123" spans="13:27" ht="16.5" x14ac:dyDescent="0.2">
      <c r="M1123" s="15">
        <v>1044</v>
      </c>
      <c r="N1123" s="15">
        <f t="shared" si="214"/>
        <v>21</v>
      </c>
      <c r="O1123" s="15">
        <f>INDEX(卡牌消耗!$H$13:$H$33,世界BOSS专属武器!N1123)</f>
        <v>1501021</v>
      </c>
      <c r="P1123" s="52" t="s">
        <v>480</v>
      </c>
      <c r="Q1123" s="15">
        <f t="shared" si="215"/>
        <v>23</v>
      </c>
      <c r="R1123" s="52" t="str">
        <f t="shared" si="216"/>
        <v>金币</v>
      </c>
      <c r="S1123" s="15">
        <f t="shared" si="217"/>
        <v>5000</v>
      </c>
      <c r="T1123" s="15" t="str">
        <f t="shared" si="218"/>
        <v>低级专属强化石</v>
      </c>
      <c r="U1123" s="15">
        <f t="shared" si="219"/>
        <v>15</v>
      </c>
      <c r="V1123" s="15" t="str">
        <f t="shared" si="220"/>
        <v>中级专属强化石</v>
      </c>
      <c r="W1123" s="15">
        <f t="shared" si="221"/>
        <v>7</v>
      </c>
      <c r="X1123" s="15">
        <f t="shared" si="222"/>
        <v>0.15</v>
      </c>
      <c r="Y1123" s="15">
        <f t="shared" si="223"/>
        <v>1</v>
      </c>
      <c r="Z1123" s="15">
        <f t="shared" si="224"/>
        <v>18</v>
      </c>
      <c r="AA1123" s="15">
        <f t="shared" si="225"/>
        <v>0.26</v>
      </c>
    </row>
    <row r="1124" spans="13:27" ht="16.5" x14ac:dyDescent="0.2">
      <c r="M1124" s="15">
        <v>1045</v>
      </c>
      <c r="N1124" s="15">
        <f t="shared" si="214"/>
        <v>21</v>
      </c>
      <c r="O1124" s="15">
        <f>INDEX(卡牌消耗!$H$13:$H$33,世界BOSS专属武器!N1124)</f>
        <v>1501021</v>
      </c>
      <c r="P1124" s="52" t="s">
        <v>480</v>
      </c>
      <c r="Q1124" s="15">
        <f t="shared" si="215"/>
        <v>24</v>
      </c>
      <c r="R1124" s="52" t="str">
        <f t="shared" si="216"/>
        <v>金币</v>
      </c>
      <c r="S1124" s="15">
        <f t="shared" si="217"/>
        <v>5000</v>
      </c>
      <c r="T1124" s="15" t="str">
        <f t="shared" si="218"/>
        <v>低级专属强化石</v>
      </c>
      <c r="U1124" s="15">
        <f t="shared" si="219"/>
        <v>15</v>
      </c>
      <c r="V1124" s="15" t="str">
        <f t="shared" si="220"/>
        <v>中级专属强化石</v>
      </c>
      <c r="W1124" s="15">
        <f t="shared" si="221"/>
        <v>7</v>
      </c>
      <c r="X1124" s="15">
        <f t="shared" si="222"/>
        <v>0.15</v>
      </c>
      <c r="Y1124" s="15">
        <f t="shared" si="223"/>
        <v>1</v>
      </c>
      <c r="Z1124" s="15">
        <f t="shared" si="224"/>
        <v>18</v>
      </c>
      <c r="AA1124" s="15">
        <f t="shared" si="225"/>
        <v>0.28000000000000003</v>
      </c>
    </row>
    <row r="1125" spans="13:27" ht="16.5" x14ac:dyDescent="0.2">
      <c r="M1125" s="15">
        <v>1046</v>
      </c>
      <c r="N1125" s="15">
        <f t="shared" si="214"/>
        <v>21</v>
      </c>
      <c r="O1125" s="15">
        <f>INDEX(卡牌消耗!$H$13:$H$33,世界BOSS专属武器!N1125)</f>
        <v>1501021</v>
      </c>
      <c r="P1125" s="52" t="s">
        <v>480</v>
      </c>
      <c r="Q1125" s="15">
        <f t="shared" si="215"/>
        <v>25</v>
      </c>
      <c r="R1125" s="52" t="str">
        <f t="shared" si="216"/>
        <v>金币</v>
      </c>
      <c r="S1125" s="15">
        <f t="shared" si="217"/>
        <v>5000</v>
      </c>
      <c r="T1125" s="15" t="str">
        <f t="shared" si="218"/>
        <v>低级专属强化石</v>
      </c>
      <c r="U1125" s="15">
        <f t="shared" si="219"/>
        <v>15</v>
      </c>
      <c r="V1125" s="15" t="str">
        <f t="shared" si="220"/>
        <v>中级专属强化石</v>
      </c>
      <c r="W1125" s="15">
        <f t="shared" si="221"/>
        <v>7</v>
      </c>
      <c r="X1125" s="15">
        <f t="shared" si="222"/>
        <v>0.15</v>
      </c>
      <c r="Y1125" s="15">
        <f t="shared" si="223"/>
        <v>1</v>
      </c>
      <c r="Z1125" s="15">
        <f t="shared" si="224"/>
        <v>18</v>
      </c>
      <c r="AA1125" s="15">
        <f t="shared" si="225"/>
        <v>0.3</v>
      </c>
    </row>
    <row r="1126" spans="13:27" ht="16.5" x14ac:dyDescent="0.2">
      <c r="M1126" s="15">
        <v>1047</v>
      </c>
      <c r="N1126" s="15">
        <f t="shared" si="214"/>
        <v>21</v>
      </c>
      <c r="O1126" s="15">
        <f>INDEX(卡牌消耗!$H$13:$H$33,世界BOSS专属武器!N1126)</f>
        <v>1501021</v>
      </c>
      <c r="P1126" s="52" t="s">
        <v>480</v>
      </c>
      <c r="Q1126" s="15">
        <f t="shared" si="215"/>
        <v>26</v>
      </c>
      <c r="R1126" s="52" t="str">
        <f t="shared" si="216"/>
        <v>金币</v>
      </c>
      <c r="S1126" s="15">
        <f t="shared" si="217"/>
        <v>5000</v>
      </c>
      <c r="T1126" s="15" t="str">
        <f t="shared" si="218"/>
        <v>低级专属强化石</v>
      </c>
      <c r="U1126" s="15">
        <f t="shared" si="219"/>
        <v>15</v>
      </c>
      <c r="V1126" s="15" t="str">
        <f t="shared" si="220"/>
        <v>中级专属强化石</v>
      </c>
      <c r="W1126" s="15">
        <f t="shared" si="221"/>
        <v>7</v>
      </c>
      <c r="X1126" s="15">
        <f t="shared" si="222"/>
        <v>0.15</v>
      </c>
      <c r="Y1126" s="15">
        <f t="shared" si="223"/>
        <v>1</v>
      </c>
      <c r="Z1126" s="15">
        <f t="shared" si="224"/>
        <v>21</v>
      </c>
      <c r="AA1126" s="15">
        <f t="shared" si="225"/>
        <v>0.32</v>
      </c>
    </row>
    <row r="1127" spans="13:27" ht="16.5" x14ac:dyDescent="0.2">
      <c r="M1127" s="15">
        <v>1048</v>
      </c>
      <c r="N1127" s="15">
        <f t="shared" si="214"/>
        <v>21</v>
      </c>
      <c r="O1127" s="15">
        <f>INDEX(卡牌消耗!$H$13:$H$33,世界BOSS专属武器!N1127)</f>
        <v>1501021</v>
      </c>
      <c r="P1127" s="52" t="s">
        <v>480</v>
      </c>
      <c r="Q1127" s="15">
        <f t="shared" si="215"/>
        <v>27</v>
      </c>
      <c r="R1127" s="52" t="str">
        <f t="shared" si="216"/>
        <v>金币</v>
      </c>
      <c r="S1127" s="15">
        <f t="shared" si="217"/>
        <v>5000</v>
      </c>
      <c r="T1127" s="15" t="str">
        <f t="shared" si="218"/>
        <v>低级专属强化石</v>
      </c>
      <c r="U1127" s="15">
        <f t="shared" si="219"/>
        <v>15</v>
      </c>
      <c r="V1127" s="15" t="str">
        <f t="shared" si="220"/>
        <v>中级专属强化石</v>
      </c>
      <c r="W1127" s="15">
        <f t="shared" si="221"/>
        <v>7</v>
      </c>
      <c r="X1127" s="15">
        <f t="shared" si="222"/>
        <v>0.15</v>
      </c>
      <c r="Y1127" s="15">
        <f t="shared" si="223"/>
        <v>1</v>
      </c>
      <c r="Z1127" s="15">
        <f t="shared" si="224"/>
        <v>22</v>
      </c>
      <c r="AA1127" s="15">
        <f t="shared" si="225"/>
        <v>0.34</v>
      </c>
    </row>
    <row r="1128" spans="13:27" ht="16.5" x14ac:dyDescent="0.2">
      <c r="M1128" s="15">
        <v>1049</v>
      </c>
      <c r="N1128" s="15">
        <f t="shared" si="214"/>
        <v>21</v>
      </c>
      <c r="O1128" s="15">
        <f>INDEX(卡牌消耗!$H$13:$H$33,世界BOSS专属武器!N1128)</f>
        <v>1501021</v>
      </c>
      <c r="P1128" s="52" t="s">
        <v>480</v>
      </c>
      <c r="Q1128" s="15">
        <f t="shared" si="215"/>
        <v>28</v>
      </c>
      <c r="R1128" s="52" t="str">
        <f t="shared" si="216"/>
        <v>金币</v>
      </c>
      <c r="S1128" s="15">
        <f t="shared" si="217"/>
        <v>5000</v>
      </c>
      <c r="T1128" s="15" t="str">
        <f t="shared" si="218"/>
        <v>低级专属强化石</v>
      </c>
      <c r="U1128" s="15">
        <f t="shared" si="219"/>
        <v>15</v>
      </c>
      <c r="V1128" s="15" t="str">
        <f t="shared" si="220"/>
        <v>中级专属强化石</v>
      </c>
      <c r="W1128" s="15">
        <f t="shared" si="221"/>
        <v>7</v>
      </c>
      <c r="X1128" s="15">
        <f t="shared" si="222"/>
        <v>0.15</v>
      </c>
      <c r="Y1128" s="15">
        <f t="shared" si="223"/>
        <v>1</v>
      </c>
      <c r="Z1128" s="15">
        <f t="shared" si="224"/>
        <v>23</v>
      </c>
      <c r="AA1128" s="15">
        <f t="shared" si="225"/>
        <v>0.36</v>
      </c>
    </row>
    <row r="1129" spans="13:27" ht="16.5" x14ac:dyDescent="0.2">
      <c r="M1129" s="15">
        <v>1050</v>
      </c>
      <c r="N1129" s="15">
        <f t="shared" si="214"/>
        <v>21</v>
      </c>
      <c r="O1129" s="15">
        <f>INDEX(卡牌消耗!$H$13:$H$33,世界BOSS专属武器!N1129)</f>
        <v>1501021</v>
      </c>
      <c r="P1129" s="52" t="s">
        <v>480</v>
      </c>
      <c r="Q1129" s="15">
        <f t="shared" si="215"/>
        <v>29</v>
      </c>
      <c r="R1129" s="52" t="str">
        <f t="shared" si="216"/>
        <v>金币</v>
      </c>
      <c r="S1129" s="15">
        <f t="shared" si="217"/>
        <v>5000</v>
      </c>
      <c r="T1129" s="15" t="str">
        <f t="shared" si="218"/>
        <v>低级专属强化石</v>
      </c>
      <c r="U1129" s="15">
        <f t="shared" si="219"/>
        <v>15</v>
      </c>
      <c r="V1129" s="15" t="str">
        <f t="shared" si="220"/>
        <v>中级专属强化石</v>
      </c>
      <c r="W1129" s="15">
        <f t="shared" si="221"/>
        <v>7</v>
      </c>
      <c r="X1129" s="15">
        <f t="shared" si="222"/>
        <v>0.15</v>
      </c>
      <c r="Y1129" s="15">
        <f t="shared" si="223"/>
        <v>1</v>
      </c>
      <c r="Z1129" s="15">
        <f t="shared" si="224"/>
        <v>25</v>
      </c>
      <c r="AA1129" s="15">
        <f t="shared" si="225"/>
        <v>0.38</v>
      </c>
    </row>
    <row r="1130" spans="13:27" ht="16.5" x14ac:dyDescent="0.2">
      <c r="M1130" s="15">
        <v>1051</v>
      </c>
      <c r="N1130" s="15">
        <f t="shared" si="214"/>
        <v>21</v>
      </c>
      <c r="O1130" s="15">
        <f>INDEX(卡牌消耗!$H$13:$H$33,世界BOSS专属武器!N1130)</f>
        <v>1501021</v>
      </c>
      <c r="P1130" s="52" t="s">
        <v>480</v>
      </c>
      <c r="Q1130" s="15">
        <f t="shared" ref="Q1130:Q1150" si="226">MOD(M1130-1,51)</f>
        <v>30</v>
      </c>
      <c r="R1130" s="52" t="str">
        <f t="shared" ref="R1130:R1150" si="227">IF(Q1130&gt;0,"金币","[x]")</f>
        <v>金币</v>
      </c>
      <c r="S1130" s="15">
        <f t="shared" ref="S1130:S1150" si="228">IF(Q1130&gt;0,INDEX($V$27:$V$76,Q1130),"[x]")</f>
        <v>10000</v>
      </c>
      <c r="T1130" s="15" t="str">
        <f t="shared" ref="T1130:T1150" si="229">IF(Q1130&gt;0,INDEX($W$27:$W$76,Q1130),"[x]")</f>
        <v>中级专属强化石</v>
      </c>
      <c r="U1130" s="15">
        <f t="shared" ref="U1130:U1150" si="230">IF(Q1130&gt;0,INDEX($AA$27:$AF$76,Q1130,INDEX($Y$27:$Y$76,Q1130)),"[x]")</f>
        <v>8</v>
      </c>
      <c r="V1130" s="15" t="str">
        <f t="shared" ref="V1130:V1150" si="231">IF(AND(Q1130&gt;=20,Q1130&lt;40),INDEX($X$27:$X$76,Q1130),"[x]")</f>
        <v>高级专属强化石</v>
      </c>
      <c r="W1130" s="15">
        <f t="shared" ref="W1130:W1150" si="232">IF(AND(Q1130&gt;=20,Q1130&lt;40),INDEX($AA$27:$AF$76,Q1130,INDEX($Z$27:$Z$76,Q1130)),"[x]")</f>
        <v>3</v>
      </c>
      <c r="X1130" s="15">
        <f t="shared" ref="X1130:X1150" si="233">IF(Q1130&gt;0,INDEX($T$27:$T$76,Q1130),"[x]")</f>
        <v>0.1</v>
      </c>
      <c r="Y1130" s="15">
        <f t="shared" ref="Y1130:Y1150" si="234">IF(Q1130&gt;0,1,"[x]")</f>
        <v>1</v>
      </c>
      <c r="Z1130" s="15">
        <f t="shared" ref="Z1130:Z1150" si="235">IF(Q1130&gt;0,INDEX($AG$27:$AG$76,Q1130),"[x]")</f>
        <v>30</v>
      </c>
      <c r="AA1130" s="15">
        <f t="shared" ref="AA1130:AA1150" si="236">IF(Q1130&gt;0,INDEX($AL$27:$AL$76,Q1130),"[x]")</f>
        <v>0.4</v>
      </c>
    </row>
    <row r="1131" spans="13:27" ht="16.5" x14ac:dyDescent="0.2">
      <c r="M1131" s="15">
        <v>1052</v>
      </c>
      <c r="N1131" s="15">
        <f t="shared" si="214"/>
        <v>21</v>
      </c>
      <c r="O1131" s="15">
        <f>INDEX(卡牌消耗!$H$13:$H$33,世界BOSS专属武器!N1131)</f>
        <v>1501021</v>
      </c>
      <c r="P1131" s="52" t="s">
        <v>480</v>
      </c>
      <c r="Q1131" s="15">
        <f t="shared" si="226"/>
        <v>31</v>
      </c>
      <c r="R1131" s="52" t="str">
        <f t="shared" si="227"/>
        <v>金币</v>
      </c>
      <c r="S1131" s="15">
        <f t="shared" si="228"/>
        <v>10000</v>
      </c>
      <c r="T1131" s="15" t="str">
        <f t="shared" si="229"/>
        <v>中级专属强化石</v>
      </c>
      <c r="U1131" s="15">
        <f t="shared" si="230"/>
        <v>8</v>
      </c>
      <c r="V1131" s="15" t="str">
        <f t="shared" si="231"/>
        <v>高级专属强化石</v>
      </c>
      <c r="W1131" s="15">
        <f t="shared" si="232"/>
        <v>3</v>
      </c>
      <c r="X1131" s="15">
        <f t="shared" si="233"/>
        <v>0.1</v>
      </c>
      <c r="Y1131" s="15">
        <f t="shared" si="234"/>
        <v>1</v>
      </c>
      <c r="Z1131" s="15">
        <f t="shared" si="235"/>
        <v>30</v>
      </c>
      <c r="AA1131" s="15">
        <f t="shared" si="236"/>
        <v>0.42670000000000002</v>
      </c>
    </row>
    <row r="1132" spans="13:27" ht="16.5" x14ac:dyDescent="0.2">
      <c r="M1132" s="15">
        <v>1053</v>
      </c>
      <c r="N1132" s="15">
        <f t="shared" si="214"/>
        <v>21</v>
      </c>
      <c r="O1132" s="15">
        <f>INDEX(卡牌消耗!$H$13:$H$33,世界BOSS专属武器!N1132)</f>
        <v>1501021</v>
      </c>
      <c r="P1132" s="52" t="s">
        <v>480</v>
      </c>
      <c r="Q1132" s="15">
        <f t="shared" si="226"/>
        <v>32</v>
      </c>
      <c r="R1132" s="52" t="str">
        <f t="shared" si="227"/>
        <v>金币</v>
      </c>
      <c r="S1132" s="15">
        <f t="shared" si="228"/>
        <v>10000</v>
      </c>
      <c r="T1132" s="15" t="str">
        <f t="shared" si="229"/>
        <v>中级专属强化石</v>
      </c>
      <c r="U1132" s="15">
        <f t="shared" si="230"/>
        <v>8</v>
      </c>
      <c r="V1132" s="15" t="str">
        <f t="shared" si="231"/>
        <v>高级专属强化石</v>
      </c>
      <c r="W1132" s="15">
        <f t="shared" si="232"/>
        <v>3</v>
      </c>
      <c r="X1132" s="15">
        <f t="shared" si="233"/>
        <v>0.1</v>
      </c>
      <c r="Y1132" s="15">
        <f t="shared" si="234"/>
        <v>1</v>
      </c>
      <c r="Z1132" s="15">
        <f t="shared" si="235"/>
        <v>30</v>
      </c>
      <c r="AA1132" s="15">
        <f t="shared" si="236"/>
        <v>0.45329999999999998</v>
      </c>
    </row>
    <row r="1133" spans="13:27" ht="16.5" x14ac:dyDescent="0.2">
      <c r="M1133" s="15">
        <v>1054</v>
      </c>
      <c r="N1133" s="15">
        <f t="shared" si="214"/>
        <v>21</v>
      </c>
      <c r="O1133" s="15">
        <f>INDEX(卡牌消耗!$H$13:$H$33,世界BOSS专属武器!N1133)</f>
        <v>1501021</v>
      </c>
      <c r="P1133" s="52" t="s">
        <v>480</v>
      </c>
      <c r="Q1133" s="15">
        <f t="shared" si="226"/>
        <v>33</v>
      </c>
      <c r="R1133" s="52" t="str">
        <f t="shared" si="227"/>
        <v>金币</v>
      </c>
      <c r="S1133" s="15">
        <f t="shared" si="228"/>
        <v>10000</v>
      </c>
      <c r="T1133" s="15" t="str">
        <f t="shared" si="229"/>
        <v>中级专属强化石</v>
      </c>
      <c r="U1133" s="15">
        <f t="shared" si="230"/>
        <v>8</v>
      </c>
      <c r="V1133" s="15" t="str">
        <f t="shared" si="231"/>
        <v>高级专属强化石</v>
      </c>
      <c r="W1133" s="15">
        <f t="shared" si="232"/>
        <v>3</v>
      </c>
      <c r="X1133" s="15">
        <f t="shared" si="233"/>
        <v>0.1</v>
      </c>
      <c r="Y1133" s="15">
        <f t="shared" si="234"/>
        <v>1</v>
      </c>
      <c r="Z1133" s="15">
        <f t="shared" si="235"/>
        <v>30</v>
      </c>
      <c r="AA1133" s="15">
        <f t="shared" si="236"/>
        <v>0.48</v>
      </c>
    </row>
    <row r="1134" spans="13:27" ht="16.5" x14ac:dyDescent="0.2">
      <c r="M1134" s="15">
        <v>1055</v>
      </c>
      <c r="N1134" s="15">
        <f t="shared" si="214"/>
        <v>21</v>
      </c>
      <c r="O1134" s="15">
        <f>INDEX(卡牌消耗!$H$13:$H$33,世界BOSS专属武器!N1134)</f>
        <v>1501021</v>
      </c>
      <c r="P1134" s="52" t="s">
        <v>480</v>
      </c>
      <c r="Q1134" s="15">
        <f t="shared" si="226"/>
        <v>34</v>
      </c>
      <c r="R1134" s="52" t="str">
        <f t="shared" si="227"/>
        <v>金币</v>
      </c>
      <c r="S1134" s="15">
        <f t="shared" si="228"/>
        <v>10000</v>
      </c>
      <c r="T1134" s="15" t="str">
        <f t="shared" si="229"/>
        <v>中级专属强化石</v>
      </c>
      <c r="U1134" s="15">
        <f t="shared" si="230"/>
        <v>8</v>
      </c>
      <c r="V1134" s="15" t="str">
        <f t="shared" si="231"/>
        <v>高级专属强化石</v>
      </c>
      <c r="W1134" s="15">
        <f t="shared" si="232"/>
        <v>3</v>
      </c>
      <c r="X1134" s="15">
        <f t="shared" si="233"/>
        <v>0.1</v>
      </c>
      <c r="Y1134" s="15">
        <f t="shared" si="234"/>
        <v>1</v>
      </c>
      <c r="Z1134" s="15">
        <f t="shared" si="235"/>
        <v>30</v>
      </c>
      <c r="AA1134" s="15">
        <f t="shared" si="236"/>
        <v>0.50670000000000004</v>
      </c>
    </row>
    <row r="1135" spans="13:27" ht="16.5" x14ac:dyDescent="0.2">
      <c r="M1135" s="15">
        <v>1056</v>
      </c>
      <c r="N1135" s="15">
        <f t="shared" si="214"/>
        <v>21</v>
      </c>
      <c r="O1135" s="15">
        <f>INDEX(卡牌消耗!$H$13:$H$33,世界BOSS专属武器!N1135)</f>
        <v>1501021</v>
      </c>
      <c r="P1135" s="52" t="s">
        <v>480</v>
      </c>
      <c r="Q1135" s="15">
        <f t="shared" si="226"/>
        <v>35</v>
      </c>
      <c r="R1135" s="52" t="str">
        <f t="shared" si="227"/>
        <v>金币</v>
      </c>
      <c r="S1135" s="15">
        <f t="shared" si="228"/>
        <v>10000</v>
      </c>
      <c r="T1135" s="15" t="str">
        <f t="shared" si="229"/>
        <v>中级专属强化石</v>
      </c>
      <c r="U1135" s="15">
        <f t="shared" si="230"/>
        <v>8</v>
      </c>
      <c r="V1135" s="15" t="str">
        <f t="shared" si="231"/>
        <v>高级专属强化石</v>
      </c>
      <c r="W1135" s="15">
        <f t="shared" si="232"/>
        <v>3</v>
      </c>
      <c r="X1135" s="15">
        <f t="shared" si="233"/>
        <v>0.1</v>
      </c>
      <c r="Y1135" s="15">
        <f t="shared" si="234"/>
        <v>1</v>
      </c>
      <c r="Z1135" s="15">
        <f t="shared" si="235"/>
        <v>30</v>
      </c>
      <c r="AA1135" s="15">
        <f t="shared" si="236"/>
        <v>0.5333</v>
      </c>
    </row>
    <row r="1136" spans="13:27" ht="16.5" x14ac:dyDescent="0.2">
      <c r="M1136" s="15">
        <v>1057</v>
      </c>
      <c r="N1136" s="15">
        <f t="shared" si="214"/>
        <v>21</v>
      </c>
      <c r="O1136" s="15">
        <f>INDEX(卡牌消耗!$H$13:$H$33,世界BOSS专属武器!N1136)</f>
        <v>1501021</v>
      </c>
      <c r="P1136" s="52" t="s">
        <v>480</v>
      </c>
      <c r="Q1136" s="15">
        <f t="shared" si="226"/>
        <v>36</v>
      </c>
      <c r="R1136" s="52" t="str">
        <f t="shared" si="227"/>
        <v>金币</v>
      </c>
      <c r="S1136" s="15">
        <f t="shared" si="228"/>
        <v>10000</v>
      </c>
      <c r="T1136" s="15" t="str">
        <f t="shared" si="229"/>
        <v>中级专属强化石</v>
      </c>
      <c r="U1136" s="15">
        <f t="shared" si="230"/>
        <v>8</v>
      </c>
      <c r="V1136" s="15" t="str">
        <f t="shared" si="231"/>
        <v>高级专属强化石</v>
      </c>
      <c r="W1136" s="15">
        <f t="shared" si="232"/>
        <v>3</v>
      </c>
      <c r="X1136" s="15">
        <f t="shared" si="233"/>
        <v>0.1</v>
      </c>
      <c r="Y1136" s="15">
        <f t="shared" si="234"/>
        <v>1</v>
      </c>
      <c r="Z1136" s="15">
        <f t="shared" si="235"/>
        <v>30</v>
      </c>
      <c r="AA1136" s="15">
        <f t="shared" si="236"/>
        <v>0.56000000000000005</v>
      </c>
    </row>
    <row r="1137" spans="13:27" ht="16.5" x14ac:dyDescent="0.2">
      <c r="M1137" s="15">
        <v>1058</v>
      </c>
      <c r="N1137" s="15">
        <f t="shared" si="214"/>
        <v>21</v>
      </c>
      <c r="O1137" s="15">
        <f>INDEX(卡牌消耗!$H$13:$H$33,世界BOSS专属武器!N1137)</f>
        <v>1501021</v>
      </c>
      <c r="P1137" s="52" t="s">
        <v>480</v>
      </c>
      <c r="Q1137" s="15">
        <f t="shared" si="226"/>
        <v>37</v>
      </c>
      <c r="R1137" s="52" t="str">
        <f t="shared" si="227"/>
        <v>金币</v>
      </c>
      <c r="S1137" s="15">
        <f t="shared" si="228"/>
        <v>10000</v>
      </c>
      <c r="T1137" s="15" t="str">
        <f t="shared" si="229"/>
        <v>中级专属强化石</v>
      </c>
      <c r="U1137" s="15">
        <f t="shared" si="230"/>
        <v>8</v>
      </c>
      <c r="V1137" s="15" t="str">
        <f t="shared" si="231"/>
        <v>高级专属强化石</v>
      </c>
      <c r="W1137" s="15">
        <f t="shared" si="232"/>
        <v>3</v>
      </c>
      <c r="X1137" s="15">
        <f t="shared" si="233"/>
        <v>0.1</v>
      </c>
      <c r="Y1137" s="15">
        <f t="shared" si="234"/>
        <v>1</v>
      </c>
      <c r="Z1137" s="15">
        <f t="shared" si="235"/>
        <v>30</v>
      </c>
      <c r="AA1137" s="15">
        <f t="shared" si="236"/>
        <v>0.5867</v>
      </c>
    </row>
    <row r="1138" spans="13:27" ht="16.5" x14ac:dyDescent="0.2">
      <c r="M1138" s="15">
        <v>1059</v>
      </c>
      <c r="N1138" s="15">
        <f t="shared" si="214"/>
        <v>21</v>
      </c>
      <c r="O1138" s="15">
        <f>INDEX(卡牌消耗!$H$13:$H$33,世界BOSS专属武器!N1138)</f>
        <v>1501021</v>
      </c>
      <c r="P1138" s="52" t="s">
        <v>480</v>
      </c>
      <c r="Q1138" s="15">
        <f t="shared" si="226"/>
        <v>38</v>
      </c>
      <c r="R1138" s="52" t="str">
        <f t="shared" si="227"/>
        <v>金币</v>
      </c>
      <c r="S1138" s="15">
        <f t="shared" si="228"/>
        <v>10000</v>
      </c>
      <c r="T1138" s="15" t="str">
        <f t="shared" si="229"/>
        <v>中级专属强化石</v>
      </c>
      <c r="U1138" s="15">
        <f t="shared" si="230"/>
        <v>8</v>
      </c>
      <c r="V1138" s="15" t="str">
        <f t="shared" si="231"/>
        <v>高级专属强化石</v>
      </c>
      <c r="W1138" s="15">
        <f t="shared" si="232"/>
        <v>3</v>
      </c>
      <c r="X1138" s="15">
        <f t="shared" si="233"/>
        <v>0.1</v>
      </c>
      <c r="Y1138" s="15">
        <f t="shared" si="234"/>
        <v>1</v>
      </c>
      <c r="Z1138" s="15">
        <f t="shared" si="235"/>
        <v>30</v>
      </c>
      <c r="AA1138" s="15">
        <f t="shared" si="236"/>
        <v>0.61329999999999996</v>
      </c>
    </row>
    <row r="1139" spans="13:27" ht="16.5" x14ac:dyDescent="0.2">
      <c r="M1139" s="15">
        <v>1060</v>
      </c>
      <c r="N1139" s="15">
        <f t="shared" si="214"/>
        <v>21</v>
      </c>
      <c r="O1139" s="15">
        <f>INDEX(卡牌消耗!$H$13:$H$33,世界BOSS专属武器!N1139)</f>
        <v>1501021</v>
      </c>
      <c r="P1139" s="52" t="s">
        <v>480</v>
      </c>
      <c r="Q1139" s="15">
        <f t="shared" si="226"/>
        <v>39</v>
      </c>
      <c r="R1139" s="52" t="str">
        <f t="shared" si="227"/>
        <v>金币</v>
      </c>
      <c r="S1139" s="15">
        <f t="shared" si="228"/>
        <v>10000</v>
      </c>
      <c r="T1139" s="15" t="str">
        <f t="shared" si="229"/>
        <v>中级专属强化石</v>
      </c>
      <c r="U1139" s="15">
        <f t="shared" si="230"/>
        <v>8</v>
      </c>
      <c r="V1139" s="15" t="str">
        <f t="shared" si="231"/>
        <v>高级专属强化石</v>
      </c>
      <c r="W1139" s="15">
        <f t="shared" si="232"/>
        <v>3</v>
      </c>
      <c r="X1139" s="15">
        <f t="shared" si="233"/>
        <v>0.1</v>
      </c>
      <c r="Y1139" s="15">
        <f t="shared" si="234"/>
        <v>1</v>
      </c>
      <c r="Z1139" s="15">
        <f t="shared" si="235"/>
        <v>30</v>
      </c>
      <c r="AA1139" s="15">
        <f t="shared" si="236"/>
        <v>0.64</v>
      </c>
    </row>
    <row r="1140" spans="13:27" ht="16.5" x14ac:dyDescent="0.2">
      <c r="M1140" s="15">
        <v>1061</v>
      </c>
      <c r="N1140" s="15">
        <f t="shared" si="214"/>
        <v>21</v>
      </c>
      <c r="O1140" s="15">
        <f>INDEX(卡牌消耗!$H$13:$H$33,世界BOSS专属武器!N1140)</f>
        <v>1501021</v>
      </c>
      <c r="P1140" s="52" t="s">
        <v>480</v>
      </c>
      <c r="Q1140" s="15">
        <f t="shared" si="226"/>
        <v>40</v>
      </c>
      <c r="R1140" s="52" t="str">
        <f t="shared" si="227"/>
        <v>金币</v>
      </c>
      <c r="S1140" s="15">
        <f t="shared" si="228"/>
        <v>20000</v>
      </c>
      <c r="T1140" s="15" t="str">
        <f t="shared" si="229"/>
        <v>高级专属强化石</v>
      </c>
      <c r="U1140" s="15">
        <f t="shared" si="230"/>
        <v>5</v>
      </c>
      <c r="V1140" s="15" t="str">
        <f t="shared" si="231"/>
        <v>[x]</v>
      </c>
      <c r="W1140" s="15" t="str">
        <f t="shared" si="232"/>
        <v>[x]</v>
      </c>
      <c r="X1140" s="15">
        <f t="shared" si="233"/>
        <v>0.1</v>
      </c>
      <c r="Y1140" s="15">
        <f t="shared" si="234"/>
        <v>1</v>
      </c>
      <c r="Z1140" s="15">
        <f t="shared" si="235"/>
        <v>35</v>
      </c>
      <c r="AA1140" s="15">
        <f t="shared" si="236"/>
        <v>0.66669999999999996</v>
      </c>
    </row>
    <row r="1141" spans="13:27" ht="16.5" x14ac:dyDescent="0.2">
      <c r="M1141" s="15">
        <v>1062</v>
      </c>
      <c r="N1141" s="15">
        <f t="shared" si="214"/>
        <v>21</v>
      </c>
      <c r="O1141" s="15">
        <f>INDEX(卡牌消耗!$H$13:$H$33,世界BOSS专属武器!N1141)</f>
        <v>1501021</v>
      </c>
      <c r="P1141" s="52" t="s">
        <v>480</v>
      </c>
      <c r="Q1141" s="15">
        <f t="shared" si="226"/>
        <v>41</v>
      </c>
      <c r="R1141" s="52" t="str">
        <f t="shared" si="227"/>
        <v>金币</v>
      </c>
      <c r="S1141" s="15">
        <f t="shared" si="228"/>
        <v>20000</v>
      </c>
      <c r="T1141" s="15" t="str">
        <f t="shared" si="229"/>
        <v>高级专属强化石</v>
      </c>
      <c r="U1141" s="15">
        <f t="shared" si="230"/>
        <v>5</v>
      </c>
      <c r="V1141" s="15" t="str">
        <f t="shared" si="231"/>
        <v>[x]</v>
      </c>
      <c r="W1141" s="15" t="str">
        <f t="shared" si="232"/>
        <v>[x]</v>
      </c>
      <c r="X1141" s="15">
        <f t="shared" si="233"/>
        <v>0.1</v>
      </c>
      <c r="Y1141" s="15">
        <f t="shared" si="234"/>
        <v>1</v>
      </c>
      <c r="Z1141" s="15">
        <f t="shared" si="235"/>
        <v>40</v>
      </c>
      <c r="AA1141" s="15">
        <f t="shared" si="236"/>
        <v>0.7</v>
      </c>
    </row>
    <row r="1142" spans="13:27" ht="16.5" x14ac:dyDescent="0.2">
      <c r="M1142" s="15">
        <v>1063</v>
      </c>
      <c r="N1142" s="15">
        <f t="shared" si="214"/>
        <v>21</v>
      </c>
      <c r="O1142" s="15">
        <f>INDEX(卡牌消耗!$H$13:$H$33,世界BOSS专属武器!N1142)</f>
        <v>1501021</v>
      </c>
      <c r="P1142" s="52" t="s">
        <v>480</v>
      </c>
      <c r="Q1142" s="15">
        <f t="shared" si="226"/>
        <v>42</v>
      </c>
      <c r="R1142" s="52" t="str">
        <f t="shared" si="227"/>
        <v>金币</v>
      </c>
      <c r="S1142" s="15">
        <f t="shared" si="228"/>
        <v>20000</v>
      </c>
      <c r="T1142" s="15" t="str">
        <f t="shared" si="229"/>
        <v>高级专属强化石</v>
      </c>
      <c r="U1142" s="15">
        <f t="shared" si="230"/>
        <v>5</v>
      </c>
      <c r="V1142" s="15" t="str">
        <f t="shared" si="231"/>
        <v>[x]</v>
      </c>
      <c r="W1142" s="15" t="str">
        <f t="shared" si="232"/>
        <v>[x]</v>
      </c>
      <c r="X1142" s="15">
        <f t="shared" si="233"/>
        <v>0.1</v>
      </c>
      <c r="Y1142" s="15">
        <f t="shared" si="234"/>
        <v>1</v>
      </c>
      <c r="Z1142" s="15">
        <f t="shared" si="235"/>
        <v>45</v>
      </c>
      <c r="AA1142" s="15">
        <f t="shared" si="236"/>
        <v>0.73329999999999995</v>
      </c>
    </row>
    <row r="1143" spans="13:27" ht="16.5" x14ac:dyDescent="0.2">
      <c r="M1143" s="15">
        <v>1064</v>
      </c>
      <c r="N1143" s="15">
        <f t="shared" si="214"/>
        <v>21</v>
      </c>
      <c r="O1143" s="15">
        <f>INDEX(卡牌消耗!$H$13:$H$33,世界BOSS专属武器!N1143)</f>
        <v>1501021</v>
      </c>
      <c r="P1143" s="52" t="s">
        <v>480</v>
      </c>
      <c r="Q1143" s="15">
        <f t="shared" si="226"/>
        <v>43</v>
      </c>
      <c r="R1143" s="52" t="str">
        <f t="shared" si="227"/>
        <v>金币</v>
      </c>
      <c r="S1143" s="15">
        <f t="shared" si="228"/>
        <v>20000</v>
      </c>
      <c r="T1143" s="15" t="str">
        <f t="shared" si="229"/>
        <v>高级专属强化石</v>
      </c>
      <c r="U1143" s="15">
        <f t="shared" si="230"/>
        <v>5</v>
      </c>
      <c r="V1143" s="15" t="str">
        <f t="shared" si="231"/>
        <v>[x]</v>
      </c>
      <c r="W1143" s="15" t="str">
        <f t="shared" si="232"/>
        <v>[x]</v>
      </c>
      <c r="X1143" s="15">
        <f t="shared" si="233"/>
        <v>0.1</v>
      </c>
      <c r="Y1143" s="15">
        <f t="shared" si="234"/>
        <v>1</v>
      </c>
      <c r="Z1143" s="15">
        <f t="shared" si="235"/>
        <v>50</v>
      </c>
      <c r="AA1143" s="15">
        <f t="shared" si="236"/>
        <v>0.76670000000000005</v>
      </c>
    </row>
    <row r="1144" spans="13:27" ht="16.5" x14ac:dyDescent="0.2">
      <c r="M1144" s="15">
        <v>1065</v>
      </c>
      <c r="N1144" s="15">
        <f t="shared" ref="N1144:N1150" si="237">INT((M1144-1)/51)+1</f>
        <v>21</v>
      </c>
      <c r="O1144" s="15">
        <f>INDEX(卡牌消耗!$H$13:$H$33,世界BOSS专属武器!N1144)</f>
        <v>1501021</v>
      </c>
      <c r="P1144" s="52" t="s">
        <v>480</v>
      </c>
      <c r="Q1144" s="15">
        <f t="shared" si="226"/>
        <v>44</v>
      </c>
      <c r="R1144" s="52" t="str">
        <f t="shared" si="227"/>
        <v>金币</v>
      </c>
      <c r="S1144" s="15">
        <f t="shared" si="228"/>
        <v>20000</v>
      </c>
      <c r="T1144" s="15" t="str">
        <f t="shared" si="229"/>
        <v>高级专属强化石</v>
      </c>
      <c r="U1144" s="15">
        <f t="shared" si="230"/>
        <v>5</v>
      </c>
      <c r="V1144" s="15" t="str">
        <f t="shared" si="231"/>
        <v>[x]</v>
      </c>
      <c r="W1144" s="15" t="str">
        <f t="shared" si="232"/>
        <v>[x]</v>
      </c>
      <c r="X1144" s="15">
        <f t="shared" si="233"/>
        <v>0.1</v>
      </c>
      <c r="Y1144" s="15">
        <f t="shared" si="234"/>
        <v>1</v>
      </c>
      <c r="Z1144" s="15">
        <f t="shared" si="235"/>
        <v>55</v>
      </c>
      <c r="AA1144" s="15">
        <f t="shared" si="236"/>
        <v>0.8</v>
      </c>
    </row>
    <row r="1145" spans="13:27" ht="16.5" x14ac:dyDescent="0.2">
      <c r="M1145" s="15">
        <v>1066</v>
      </c>
      <c r="N1145" s="15">
        <f t="shared" si="237"/>
        <v>21</v>
      </c>
      <c r="O1145" s="15">
        <f>INDEX(卡牌消耗!$H$13:$H$33,世界BOSS专属武器!N1145)</f>
        <v>1501021</v>
      </c>
      <c r="P1145" s="52" t="s">
        <v>480</v>
      </c>
      <c r="Q1145" s="15">
        <f t="shared" si="226"/>
        <v>45</v>
      </c>
      <c r="R1145" s="52" t="str">
        <f t="shared" si="227"/>
        <v>金币</v>
      </c>
      <c r="S1145" s="15">
        <f t="shared" si="228"/>
        <v>20000</v>
      </c>
      <c r="T1145" s="15" t="str">
        <f t="shared" si="229"/>
        <v>高级专属强化石</v>
      </c>
      <c r="U1145" s="15">
        <f t="shared" si="230"/>
        <v>6</v>
      </c>
      <c r="V1145" s="15" t="str">
        <f t="shared" si="231"/>
        <v>[x]</v>
      </c>
      <c r="W1145" s="15" t="str">
        <f t="shared" si="232"/>
        <v>[x]</v>
      </c>
      <c r="X1145" s="15">
        <f t="shared" si="233"/>
        <v>0.1</v>
      </c>
      <c r="Y1145" s="15">
        <f t="shared" si="234"/>
        <v>1</v>
      </c>
      <c r="Z1145" s="15">
        <f t="shared" si="235"/>
        <v>60</v>
      </c>
      <c r="AA1145" s="15">
        <f t="shared" si="236"/>
        <v>0.83330000000000004</v>
      </c>
    </row>
    <row r="1146" spans="13:27" ht="16.5" x14ac:dyDescent="0.2">
      <c r="M1146" s="15">
        <v>1067</v>
      </c>
      <c r="N1146" s="15">
        <f t="shared" si="237"/>
        <v>21</v>
      </c>
      <c r="O1146" s="15">
        <f>INDEX(卡牌消耗!$H$13:$H$33,世界BOSS专属武器!N1146)</f>
        <v>1501021</v>
      </c>
      <c r="P1146" s="52" t="s">
        <v>480</v>
      </c>
      <c r="Q1146" s="15">
        <f t="shared" si="226"/>
        <v>46</v>
      </c>
      <c r="R1146" s="52" t="str">
        <f t="shared" si="227"/>
        <v>金币</v>
      </c>
      <c r="S1146" s="15">
        <f t="shared" si="228"/>
        <v>20000</v>
      </c>
      <c r="T1146" s="15" t="str">
        <f t="shared" si="229"/>
        <v>高级专属强化石</v>
      </c>
      <c r="U1146" s="15">
        <f t="shared" si="230"/>
        <v>7</v>
      </c>
      <c r="V1146" s="15" t="str">
        <f t="shared" si="231"/>
        <v>[x]</v>
      </c>
      <c r="W1146" s="15" t="str">
        <f t="shared" si="232"/>
        <v>[x]</v>
      </c>
      <c r="X1146" s="15">
        <f t="shared" si="233"/>
        <v>0.1</v>
      </c>
      <c r="Y1146" s="15">
        <f t="shared" si="234"/>
        <v>1</v>
      </c>
      <c r="Z1146" s="15">
        <f t="shared" si="235"/>
        <v>70</v>
      </c>
      <c r="AA1146" s="15">
        <f t="shared" si="236"/>
        <v>0.86670000000000003</v>
      </c>
    </row>
    <row r="1147" spans="13:27" ht="16.5" x14ac:dyDescent="0.2">
      <c r="M1147" s="15">
        <v>1068</v>
      </c>
      <c r="N1147" s="15">
        <f t="shared" si="237"/>
        <v>21</v>
      </c>
      <c r="O1147" s="15">
        <f>INDEX(卡牌消耗!$H$13:$H$33,世界BOSS专属武器!N1147)</f>
        <v>1501021</v>
      </c>
      <c r="P1147" s="52" t="s">
        <v>480</v>
      </c>
      <c r="Q1147" s="15">
        <f t="shared" si="226"/>
        <v>47</v>
      </c>
      <c r="R1147" s="52" t="str">
        <f t="shared" si="227"/>
        <v>金币</v>
      </c>
      <c r="S1147" s="15">
        <f t="shared" si="228"/>
        <v>20000</v>
      </c>
      <c r="T1147" s="15" t="str">
        <f t="shared" si="229"/>
        <v>高级专属强化石</v>
      </c>
      <c r="U1147" s="15">
        <f t="shared" si="230"/>
        <v>8</v>
      </c>
      <c r="V1147" s="15" t="str">
        <f t="shared" si="231"/>
        <v>[x]</v>
      </c>
      <c r="W1147" s="15" t="str">
        <f t="shared" si="232"/>
        <v>[x]</v>
      </c>
      <c r="X1147" s="15">
        <f t="shared" si="233"/>
        <v>0.1</v>
      </c>
      <c r="Y1147" s="15">
        <f t="shared" si="234"/>
        <v>1</v>
      </c>
      <c r="Z1147" s="15">
        <f t="shared" si="235"/>
        <v>80</v>
      </c>
      <c r="AA1147" s="15">
        <f t="shared" si="236"/>
        <v>0.9</v>
      </c>
    </row>
    <row r="1148" spans="13:27" ht="16.5" x14ac:dyDescent="0.2">
      <c r="M1148" s="15">
        <v>1069</v>
      </c>
      <c r="N1148" s="15">
        <f t="shared" si="237"/>
        <v>21</v>
      </c>
      <c r="O1148" s="15">
        <f>INDEX(卡牌消耗!$H$13:$H$33,世界BOSS专属武器!N1148)</f>
        <v>1501021</v>
      </c>
      <c r="P1148" s="52" t="s">
        <v>480</v>
      </c>
      <c r="Q1148" s="15">
        <f t="shared" si="226"/>
        <v>48</v>
      </c>
      <c r="R1148" s="52" t="str">
        <f t="shared" si="227"/>
        <v>金币</v>
      </c>
      <c r="S1148" s="15">
        <f t="shared" si="228"/>
        <v>20000</v>
      </c>
      <c r="T1148" s="15" t="str">
        <f t="shared" si="229"/>
        <v>高级专属强化石</v>
      </c>
      <c r="U1148" s="15">
        <f t="shared" si="230"/>
        <v>9</v>
      </c>
      <c r="V1148" s="15" t="str">
        <f t="shared" si="231"/>
        <v>[x]</v>
      </c>
      <c r="W1148" s="15" t="str">
        <f t="shared" si="232"/>
        <v>[x]</v>
      </c>
      <c r="X1148" s="15">
        <f t="shared" si="233"/>
        <v>0.1</v>
      </c>
      <c r="Y1148" s="15">
        <f t="shared" si="234"/>
        <v>1</v>
      </c>
      <c r="Z1148" s="15">
        <f t="shared" si="235"/>
        <v>100</v>
      </c>
      <c r="AA1148" s="15">
        <f t="shared" si="236"/>
        <v>0.93330000000000002</v>
      </c>
    </row>
    <row r="1149" spans="13:27" ht="16.5" x14ac:dyDescent="0.2">
      <c r="M1149" s="15">
        <v>1070</v>
      </c>
      <c r="N1149" s="15">
        <f t="shared" si="237"/>
        <v>21</v>
      </c>
      <c r="O1149" s="15">
        <f>INDEX(卡牌消耗!$H$13:$H$33,世界BOSS专属武器!N1149)</f>
        <v>1501021</v>
      </c>
      <c r="P1149" s="52" t="s">
        <v>480</v>
      </c>
      <c r="Q1149" s="15">
        <f t="shared" si="226"/>
        <v>49</v>
      </c>
      <c r="R1149" s="52" t="str">
        <f t="shared" si="227"/>
        <v>金币</v>
      </c>
      <c r="S1149" s="15">
        <f t="shared" si="228"/>
        <v>20000</v>
      </c>
      <c r="T1149" s="15" t="str">
        <f t="shared" si="229"/>
        <v>高级专属强化石</v>
      </c>
      <c r="U1149" s="15">
        <f t="shared" si="230"/>
        <v>10</v>
      </c>
      <c r="V1149" s="15" t="str">
        <f t="shared" si="231"/>
        <v>[x]</v>
      </c>
      <c r="W1149" s="15" t="str">
        <f t="shared" si="232"/>
        <v>[x]</v>
      </c>
      <c r="X1149" s="15">
        <f t="shared" si="233"/>
        <v>0.1</v>
      </c>
      <c r="Y1149" s="15">
        <f t="shared" si="234"/>
        <v>1</v>
      </c>
      <c r="Z1149" s="15">
        <f t="shared" si="235"/>
        <v>120</v>
      </c>
      <c r="AA1149" s="15">
        <f t="shared" si="236"/>
        <v>0.9667</v>
      </c>
    </row>
    <row r="1150" spans="13:27" ht="16.5" x14ac:dyDescent="0.2">
      <c r="M1150" s="15">
        <v>1071</v>
      </c>
      <c r="N1150" s="15">
        <f t="shared" si="237"/>
        <v>21</v>
      </c>
      <c r="O1150" s="15">
        <f>INDEX(卡牌消耗!$H$13:$H$33,世界BOSS专属武器!N1150)</f>
        <v>1501021</v>
      </c>
      <c r="P1150" s="52" t="s">
        <v>480</v>
      </c>
      <c r="Q1150" s="15">
        <f t="shared" si="226"/>
        <v>50</v>
      </c>
      <c r="R1150" s="52" t="str">
        <f t="shared" si="227"/>
        <v>金币</v>
      </c>
      <c r="S1150" s="15">
        <f t="shared" si="228"/>
        <v>20000</v>
      </c>
      <c r="T1150" s="15" t="str">
        <f t="shared" si="229"/>
        <v>高级专属强化石</v>
      </c>
      <c r="U1150" s="15">
        <f t="shared" si="230"/>
        <v>15</v>
      </c>
      <c r="V1150" s="15" t="str">
        <f t="shared" si="231"/>
        <v>[x]</v>
      </c>
      <c r="W1150" s="15" t="str">
        <f t="shared" si="232"/>
        <v>[x]</v>
      </c>
      <c r="X1150" s="15">
        <f t="shared" si="233"/>
        <v>0.1</v>
      </c>
      <c r="Y1150" s="15">
        <f t="shared" si="234"/>
        <v>1</v>
      </c>
      <c r="Z1150" s="15">
        <f t="shared" si="235"/>
        <v>150</v>
      </c>
      <c r="AA1150" s="15">
        <f t="shared" si="236"/>
        <v>1</v>
      </c>
    </row>
  </sheetData>
  <mergeCells count="6">
    <mergeCell ref="M3:R3"/>
    <mergeCell ref="A3:K3"/>
    <mergeCell ref="B10:B12"/>
    <mergeCell ref="C10:C12"/>
    <mergeCell ref="C14:C16"/>
    <mergeCell ref="B14:B1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workbookViewId="0">
      <selection activeCell="N24" sqref="N24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4" width="10.625" customWidth="1"/>
    <col min="15" max="15" width="12.25" customWidth="1"/>
    <col min="16" max="17" width="14" customWidth="1"/>
    <col min="18" max="34" width="10.625" customWidth="1"/>
  </cols>
  <sheetData>
    <row r="2" spans="1:17" ht="20.25" x14ac:dyDescent="0.2">
      <c r="A2" s="84" t="s">
        <v>203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16"/>
      <c r="Q2" s="16"/>
    </row>
    <row r="3" spans="1:17" ht="17.25" x14ac:dyDescent="0.2">
      <c r="A3" s="12" t="s">
        <v>195</v>
      </c>
      <c r="B3" s="12" t="s">
        <v>202</v>
      </c>
      <c r="C3" s="12" t="s">
        <v>205</v>
      </c>
      <c r="D3" s="12" t="s">
        <v>196</v>
      </c>
      <c r="E3" s="12" t="s">
        <v>197</v>
      </c>
      <c r="F3" s="12" t="s">
        <v>400</v>
      </c>
      <c r="G3" s="12" t="s">
        <v>201</v>
      </c>
      <c r="H3" s="12" t="s">
        <v>401</v>
      </c>
      <c r="I3" s="12" t="s">
        <v>207</v>
      </c>
      <c r="J3" s="12" t="s">
        <v>198</v>
      </c>
      <c r="K3" s="12" t="s">
        <v>199</v>
      </c>
      <c r="L3" s="12" t="s">
        <v>200</v>
      </c>
      <c r="M3" s="12" t="s">
        <v>204</v>
      </c>
      <c r="N3" s="12" t="s">
        <v>210</v>
      </c>
      <c r="O3" s="12" t="s">
        <v>208</v>
      </c>
      <c r="P3" s="16"/>
      <c r="Q3" s="12" t="s">
        <v>469</v>
      </c>
    </row>
    <row r="4" spans="1:17" ht="16.5" x14ac:dyDescent="0.2">
      <c r="A4" s="26">
        <v>1</v>
      </c>
      <c r="B4" s="15">
        <f>节奏总表!R4</f>
        <v>0.03</v>
      </c>
      <c r="C4" s="15">
        <f>节奏总表!L4*60</f>
        <v>120</v>
      </c>
      <c r="D4" s="15">
        <f>INDEX(章节关卡!$E$6:$E$20,金币总产!A4)*C4</f>
        <v>1200</v>
      </c>
      <c r="E4" s="15">
        <f>SUMIFS(章节关卡!$AT$5:$AT$200,章节关卡!$AQ$5:$AQ$200,"="&amp;金币总产!A4)</f>
        <v>2100</v>
      </c>
      <c r="F4" s="15">
        <f>章节关卡!T6</f>
        <v>1500</v>
      </c>
      <c r="G4" s="26">
        <v>0</v>
      </c>
      <c r="H4" s="39">
        <v>0</v>
      </c>
      <c r="I4" s="15">
        <f>SUMIFS(芦花古楼!$G$5:$G$104,芦花古楼!$B$5:$B$104,"="&amp;金币总产!A4)</f>
        <v>1200</v>
      </c>
      <c r="J4" s="15">
        <f>SUMIFS(芦花古楼!$Q$5:$Q$104,芦花古楼!$L$5:$L$104,"="&amp;金币总产!A4)</f>
        <v>0</v>
      </c>
      <c r="K4" s="15">
        <f>SUMIFS(芦花古楼!$AA$5:$AA$104,芦花古楼!$AF$5:$AF$104,"="&amp;金币总产!A4)</f>
        <v>0</v>
      </c>
      <c r="L4" s="15">
        <f>SUMIFS(芦花古楼!$AK$5:$AK$104,芦花古楼!$AF$5:$AF$104,"="&amp;金币总产!A4)</f>
        <v>0</v>
      </c>
      <c r="M4" s="15"/>
      <c r="N4" s="15"/>
      <c r="O4" s="15">
        <f t="shared" ref="O4:O18" si="0">SUM(D4:N4)</f>
        <v>6000</v>
      </c>
      <c r="P4" s="16"/>
      <c r="Q4" s="15">
        <f>ROUND(O4/B4/价值概述!$B$3,0)</f>
        <v>200</v>
      </c>
    </row>
    <row r="5" spans="1:17" ht="16.5" x14ac:dyDescent="0.2">
      <c r="A5" s="26">
        <v>2</v>
      </c>
      <c r="B5" s="15">
        <f>节奏总表!R5</f>
        <v>7.0000000000000007E-2</v>
      </c>
      <c r="C5" s="15">
        <f>节奏总表!L5*60</f>
        <v>240</v>
      </c>
      <c r="D5" s="15">
        <f>INDEX(章节关卡!$E$6:$E$20,金币总产!A5)*C5</f>
        <v>3600</v>
      </c>
      <c r="E5" s="15">
        <f>SUMIFS(章节关卡!$AT$5:$AT$200,章节关卡!$AQ$5:$AQ$200,"="&amp;金币总产!A5)</f>
        <v>4050</v>
      </c>
      <c r="F5" s="15">
        <f>章节关卡!T7</f>
        <v>3780</v>
      </c>
      <c r="G5" s="15">
        <f>SUMIFS(章节关卡!$BB$5:$BB$199,章节关卡!$AY$5:$AY$199,"="&amp;金币总产!A4)</f>
        <v>3600</v>
      </c>
      <c r="H5" s="15">
        <f>章节关卡!AE6</f>
        <v>3000</v>
      </c>
      <c r="I5" s="15">
        <f>SUMIFS(芦花古楼!$G$5:$G$104,芦花古楼!$B$5:$B$104,"="&amp;金币总产!A5)</f>
        <v>1800</v>
      </c>
      <c r="J5" s="15">
        <f>SUMIFS(芦花古楼!$Q$5:$Q$104,芦花古楼!$L$5:$L$104,"="&amp;金币总产!A5)</f>
        <v>0</v>
      </c>
      <c r="K5" s="15">
        <f>SUMIFS(芦花古楼!$AA$5:$AA$104,芦花古楼!$AF$5:$AF$104,"="&amp;金币总产!A5)</f>
        <v>0</v>
      </c>
      <c r="L5" s="15">
        <f>SUMIFS(芦花古楼!$AK$5:$AK$104,芦花古楼!$AF$5:$AF$104,"="&amp;金币总产!A5)</f>
        <v>0</v>
      </c>
      <c r="M5" s="15"/>
      <c r="N5" s="15"/>
      <c r="O5" s="15">
        <f t="shared" si="0"/>
        <v>19830</v>
      </c>
      <c r="P5" s="16"/>
      <c r="Q5" s="15">
        <f>ROUND(O5/B5/价值概述!$B$3,0)</f>
        <v>283</v>
      </c>
    </row>
    <row r="6" spans="1:17" ht="16.5" x14ac:dyDescent="0.2">
      <c r="A6" s="26">
        <v>3</v>
      </c>
      <c r="B6" s="15">
        <f>节奏总表!R6</f>
        <v>0.30000000000000004</v>
      </c>
      <c r="C6" s="15">
        <f>节奏总表!L6*60</f>
        <v>720</v>
      </c>
      <c r="D6" s="15">
        <f>INDEX(章节关卡!$E$6:$E$20,金币总产!A6)*C6</f>
        <v>14400</v>
      </c>
      <c r="E6" s="15">
        <f>SUMIFS(章节关卡!$AT$5:$AT$200,章节关卡!$AQ$5:$AQ$200,"="&amp;金币总产!A6)</f>
        <v>4200</v>
      </c>
      <c r="F6" s="15">
        <f>章节关卡!T8</f>
        <v>8400</v>
      </c>
      <c r="G6" s="15">
        <f>SUMIFS(章节关卡!$BB$5:$BB$199,章节关卡!$AY$5:$AY$199,"="&amp;金币总产!A5)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SUMIFS(芦花古楼!$Q$5:$Q$104,芦花古楼!$L$5:$L$104,"="&amp;金币总产!A6)</f>
        <v>0</v>
      </c>
      <c r="K6" s="15">
        <f>SUMIFS(芦花古楼!$AA$5:$AA$104,芦花古楼!$AF$5:$AF$104,"="&amp;金币总产!A6)</f>
        <v>0</v>
      </c>
      <c r="L6" s="15">
        <f>SUMIFS(芦花古楼!$AK$5:$AK$104,芦花古楼!$AF$5:$AF$104,"="&amp;金币总产!A6)</f>
        <v>0</v>
      </c>
      <c r="M6" s="15"/>
      <c r="N6" s="15"/>
      <c r="O6" s="15">
        <f t="shared" si="0"/>
        <v>46260</v>
      </c>
      <c r="P6" s="16"/>
      <c r="Q6" s="15">
        <f>ROUND(O6/B6/价值概述!$B$3,0)</f>
        <v>154</v>
      </c>
    </row>
    <row r="7" spans="1:17" ht="16.5" x14ac:dyDescent="0.2">
      <c r="A7" s="26">
        <v>4</v>
      </c>
      <c r="B7" s="15">
        <f>节奏总表!R7</f>
        <v>0.6</v>
      </c>
      <c r="C7" s="15">
        <f>节奏总表!L7*60</f>
        <v>1440</v>
      </c>
      <c r="D7" s="15">
        <f>INDEX(章节关卡!$E$6:$E$20,金币总产!A7)*C7</f>
        <v>36000</v>
      </c>
      <c r="E7" s="15">
        <f>SUMIFS(章节关卡!$AT$5:$AT$200,章节关卡!$AQ$5:$AQ$200,"="&amp;金币总产!A7)</f>
        <v>6000</v>
      </c>
      <c r="F7" s="15">
        <f>章节关卡!T9</f>
        <v>12480</v>
      </c>
      <c r="G7" s="15">
        <f>SUMIFS(章节关卡!$BB$5:$BB$199,章节关卡!$AY$5:$AY$199,"="&amp;金币总产!A6)</f>
        <v>8400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SUMIFS(芦花古楼!$Q$5:$Q$104,芦花古楼!$L$5:$L$104,"="&amp;金币总产!A7)</f>
        <v>12000</v>
      </c>
      <c r="K7" s="15">
        <f>SUMIFS(芦花古楼!$AA$5:$AA$104,芦花古楼!$AF$5:$AF$104,"="&amp;金币总产!A7)</f>
        <v>0</v>
      </c>
      <c r="L7" s="15">
        <f>SUMIFS(芦花古楼!$AK$5:$AK$104,芦花古楼!$AF$5:$AF$104,"="&amp;金币总产!A7)</f>
        <v>0</v>
      </c>
      <c r="M7" s="15">
        <f>世界BOSS专属武器!N5*金币总产!B7</f>
        <v>3600</v>
      </c>
      <c r="N7" s="15">
        <f>日常任务!$E$2*金币总产!B7</f>
        <v>12000</v>
      </c>
      <c r="O7" s="15">
        <f t="shared" si="0"/>
        <v>111780</v>
      </c>
      <c r="P7" s="16"/>
      <c r="Q7" s="15">
        <f>ROUND(O7/B7/价值概述!$B$3,0)</f>
        <v>186</v>
      </c>
    </row>
    <row r="8" spans="1:17" ht="16.5" x14ac:dyDescent="0.2">
      <c r="A8" s="26">
        <v>5</v>
      </c>
      <c r="B8" s="15">
        <f>节奏总表!R8</f>
        <v>1</v>
      </c>
      <c r="C8" s="15">
        <f>节奏总表!L8*60</f>
        <v>2400</v>
      </c>
      <c r="D8" s="15">
        <f>INDEX(章节关卡!$E$6:$E$20,金币总产!A8)*C8</f>
        <v>76800</v>
      </c>
      <c r="E8" s="15">
        <f>SUMIFS(章节关卡!$AT$5:$AT$200,章节关卡!$AQ$5:$AQ$200,"="&amp;金币总产!A8)</f>
        <v>14400</v>
      </c>
      <c r="F8" s="15">
        <f>章节关卡!T10</f>
        <v>21600</v>
      </c>
      <c r="G8" s="15">
        <f>SUMIFS(章节关卡!$BB$5:$BB$199,章节关卡!$AY$5:$AY$199,"="&amp;金币总产!A7)</f>
        <v>12000</v>
      </c>
      <c r="H8" s="15">
        <f>章节关卡!AE9</f>
        <v>24960</v>
      </c>
      <c r="I8" s="15">
        <f>SUMIFS(芦花古楼!$G$5:$G$104,芦花古楼!$B$5:$B$104,"="&amp;金币总产!A8)</f>
        <v>19200</v>
      </c>
      <c r="J8" s="15">
        <f>SUMIFS(芦花古楼!$Q$5:$Q$104,芦花古楼!$L$5:$L$104,"="&amp;金币总产!A8)</f>
        <v>23040</v>
      </c>
      <c r="K8" s="15">
        <f>SUMIFS(芦花古楼!$AA$5:$AA$104,芦花古楼!$AF$5:$AF$104,"="&amp;金币总产!A8)</f>
        <v>28800</v>
      </c>
      <c r="L8" s="15">
        <f>SUMIFS(芦花古楼!$AK$5:$AK$104,芦花古楼!$AF$5:$AF$104,"="&amp;金币总产!A8)</f>
        <v>28800</v>
      </c>
      <c r="M8" s="15">
        <f>世界BOSS专属武器!N6*金币总产!B8</f>
        <v>7500</v>
      </c>
      <c r="N8" s="15">
        <f>日常任务!$E$2*金币总产!B8</f>
        <v>20000</v>
      </c>
      <c r="O8" s="15">
        <f t="shared" si="0"/>
        <v>277100</v>
      </c>
      <c r="P8" s="16"/>
      <c r="Q8" s="15">
        <f>ROUND(O8/B8/价值概述!$B$3,0)</f>
        <v>277</v>
      </c>
    </row>
    <row r="9" spans="1:17" ht="16.5" x14ac:dyDescent="0.2">
      <c r="A9" s="26">
        <v>6</v>
      </c>
      <c r="B9" s="15">
        <f>节奏总表!R9</f>
        <v>1.5</v>
      </c>
      <c r="C9" s="15">
        <f>节奏总表!L9*60</f>
        <v>3600</v>
      </c>
      <c r="D9" s="15">
        <f>INDEX(章节关卡!$E$6:$E$20,金币总产!A9)*C9</f>
        <v>144000</v>
      </c>
      <c r="E9" s="15">
        <f>SUMIFS(章节关卡!$AT$5:$AT$200,章节关卡!$AQ$5:$AQ$200,"="&amp;金币总产!A9)</f>
        <v>18000</v>
      </c>
      <c r="F9" s="15">
        <f>章节关卡!T11</f>
        <v>30000</v>
      </c>
      <c r="G9" s="15">
        <f>SUMIFS(章节关卡!$BB$5:$BB$199,章节关卡!$AY$5:$AY$199,"="&amp;金币总产!A8)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33600</v>
      </c>
      <c r="J9" s="15">
        <f>SUMIFS(芦花古楼!$Q$5:$Q$104,芦花古楼!$L$5:$L$104,"="&amp;金币总产!A9)</f>
        <v>43200</v>
      </c>
      <c r="K9" s="15">
        <f>SUMIFS(芦花古楼!$AA$5:$AA$104,芦花古楼!$AF$5:$AF$104,"="&amp;金币总产!A9)</f>
        <v>36000</v>
      </c>
      <c r="L9" s="15">
        <f>SUMIFS(芦花古楼!$AK$5:$AK$104,芦花古楼!$AF$5:$AF$104,"="&amp;金币总产!A9)</f>
        <v>36000</v>
      </c>
      <c r="M9" s="15">
        <f>世界BOSS专属武器!N7*金币总产!B9</f>
        <v>14400</v>
      </c>
      <c r="N9" s="15">
        <f>日常任务!$E$2*金币总产!B9</f>
        <v>30000</v>
      </c>
      <c r="O9" s="15">
        <f t="shared" si="0"/>
        <v>457200</v>
      </c>
      <c r="P9" s="16"/>
      <c r="Q9" s="15">
        <f>ROUND(O9/B9/价值概述!$B$3,0)</f>
        <v>305</v>
      </c>
    </row>
    <row r="10" spans="1:17" ht="16.5" x14ac:dyDescent="0.2">
      <c r="A10" s="26">
        <v>7</v>
      </c>
      <c r="B10" s="15">
        <f>节奏总表!R10</f>
        <v>2</v>
      </c>
      <c r="C10" s="15">
        <f>节奏总表!L10*60</f>
        <v>4800</v>
      </c>
      <c r="D10" s="15">
        <f>INDEX(章节关卡!$E$6:$E$20,金币总产!A10)*C10</f>
        <v>240000</v>
      </c>
      <c r="E10" s="15">
        <f>SUMIFS(章节关卡!$AT$5:$AT$200,章节关卡!$AQ$5:$AQ$200,"="&amp;金币总产!A10)</f>
        <v>22500</v>
      </c>
      <c r="F10" s="15">
        <f>章节关卡!T12</f>
        <v>41250</v>
      </c>
      <c r="G10" s="15">
        <f>SUMIFS(章节关卡!$BB$5:$BB$199,章节关卡!$AY$5:$AY$199,"="&amp;金币总产!A9)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45000</v>
      </c>
      <c r="J10" s="15">
        <f>SUMIFS(芦花古楼!$Q$5:$Q$104,芦花古楼!$L$5:$L$104,"="&amp;金币总产!A10)</f>
        <v>60000</v>
      </c>
      <c r="K10" s="15">
        <f>SUMIFS(芦花古楼!$AA$5:$AA$104,芦花古楼!$AF$5:$AF$104,"="&amp;金币总产!A10)</f>
        <v>45000</v>
      </c>
      <c r="L10" s="15">
        <f>SUMIFS(芦花古楼!$AK$5:$AK$104,芦花古楼!$AF$5:$AF$104,"="&amp;金币总产!A10)</f>
        <v>45000</v>
      </c>
      <c r="M10" s="15">
        <f>世界BOSS专属武器!N8*金币总产!B10</f>
        <v>24000</v>
      </c>
      <c r="N10" s="15">
        <f>日常任务!$E$2*金币总产!B10</f>
        <v>40000</v>
      </c>
      <c r="O10" s="15">
        <f t="shared" si="0"/>
        <v>658750</v>
      </c>
      <c r="P10" s="16"/>
      <c r="Q10" s="15">
        <f>ROUND(O10/B10/价值概述!$B$3,0)</f>
        <v>329</v>
      </c>
    </row>
    <row r="11" spans="1:17" ht="16.5" x14ac:dyDescent="0.2">
      <c r="A11" s="26">
        <v>8</v>
      </c>
      <c r="B11" s="15">
        <f>节奏总表!R11</f>
        <v>2.5</v>
      </c>
      <c r="C11" s="15">
        <f>节奏总表!L11*60</f>
        <v>6000</v>
      </c>
      <c r="D11" s="15">
        <f>INDEX(章节关卡!$E$6:$E$20,金币总产!A11)*C11</f>
        <v>360000</v>
      </c>
      <c r="E11" s="15">
        <f>SUMIFS(章节关卡!$AT$5:$AT$200,章节关卡!$AQ$5:$AQ$200,"="&amp;金币总产!A11)</f>
        <v>27000</v>
      </c>
      <c r="F11" s="15">
        <f>章节关卡!T13</f>
        <v>54000</v>
      </c>
      <c r="G11" s="15">
        <f>SUMIFS(章节关卡!$BB$5:$BB$199,章节关卡!$AY$5:$AY$199,"="&amp;金币总产!A10)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SUMIFS(芦花古楼!$Q$5:$Q$104,芦花古楼!$L$5:$L$104,"="&amp;金币总产!A11)</f>
        <v>72000</v>
      </c>
      <c r="K11" s="15">
        <f>SUMIFS(芦花古楼!$AA$5:$AA$104,芦花古楼!$AF$5:$AF$104,"="&amp;金币总产!A11)</f>
        <v>43200</v>
      </c>
      <c r="L11" s="15">
        <f>SUMIFS(芦花古楼!$AK$5:$AK$104,芦花古楼!$AF$5:$AF$104,"="&amp;金币总产!A11)</f>
        <v>43200</v>
      </c>
      <c r="M11" s="15">
        <f>世界BOSS专属武器!N9*金币总产!B11</f>
        <v>37500</v>
      </c>
      <c r="N11" s="15">
        <f>日常任务!$E$2*金币总产!B11</f>
        <v>50000</v>
      </c>
      <c r="O11" s="15">
        <f t="shared" si="0"/>
        <v>868400</v>
      </c>
      <c r="P11" s="16"/>
      <c r="Q11" s="15">
        <f>ROUND(O11/B11/价值概述!$B$3,0)</f>
        <v>347</v>
      </c>
    </row>
    <row r="12" spans="1:17" ht="16.5" x14ac:dyDescent="0.2">
      <c r="A12" s="26">
        <v>9</v>
      </c>
      <c r="B12" s="15">
        <f>节奏总表!R12</f>
        <v>3.75</v>
      </c>
      <c r="C12" s="15">
        <f>节奏总表!L12*60</f>
        <v>9000</v>
      </c>
      <c r="D12" s="15">
        <f>INDEX(章节关卡!$E$6:$E$20,金币总产!A12)*C12</f>
        <v>648000</v>
      </c>
      <c r="E12" s="15">
        <f>SUMIFS(章节关卡!$AT$5:$AT$200,章节关卡!$AQ$5:$AQ$200,"="&amp;金币总产!A12)</f>
        <v>32400</v>
      </c>
      <c r="F12" s="15">
        <f>章节关卡!T14</f>
        <v>70200</v>
      </c>
      <c r="G12" s="15">
        <f>SUMIFS(章节关卡!$BB$5:$BB$199,章节关卡!$AY$5:$AY$199,"="&amp;金币总产!A11)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SUMIFS(芦花古楼!$Q$5:$Q$104,芦花古楼!$L$5:$L$104,"="&amp;金币总产!A12)</f>
        <v>129600</v>
      </c>
      <c r="K12" s="15">
        <f>SUMIFS(芦花古楼!$AA$5:$AA$104,芦花古楼!$AF$5:$AF$104,"="&amp;金币总产!A12)</f>
        <v>129600</v>
      </c>
      <c r="L12" s="15">
        <f>SUMIFS(芦花古楼!$AK$5:$AK$104,芦花古楼!$AF$5:$AF$104,"="&amp;金币总产!A12)</f>
        <v>129600</v>
      </c>
      <c r="M12" s="15">
        <f>世界BOSS专属武器!N10*金币总产!B12</f>
        <v>67500</v>
      </c>
      <c r="N12" s="15">
        <f>日常任务!$E$2*金币总产!B12</f>
        <v>75000</v>
      </c>
      <c r="O12" s="15">
        <f t="shared" si="0"/>
        <v>1508700</v>
      </c>
      <c r="P12" s="16"/>
      <c r="Q12" s="15">
        <f>ROUND(O12/B12/价值概述!$B$3,0)</f>
        <v>402</v>
      </c>
    </row>
    <row r="13" spans="1:17" ht="16.5" x14ac:dyDescent="0.2">
      <c r="A13" s="26">
        <v>10</v>
      </c>
      <c r="B13" s="15">
        <f>节奏总表!R13</f>
        <v>6.25</v>
      </c>
      <c r="C13" s="15">
        <f>节奏总表!L13*60</f>
        <v>15000</v>
      </c>
      <c r="D13" s="15">
        <f>INDEX(章节关卡!$E$6:$E$20,金币总产!A13)*C13</f>
        <v>1350000</v>
      </c>
      <c r="E13" s="15">
        <f>SUMIFS(章节关卡!$AT$5:$AT$200,章节关卡!$AQ$5:$AQ$200,"="&amp;金币总产!A13)</f>
        <v>40500</v>
      </c>
      <c r="F13" s="15">
        <f>章节关卡!T15</f>
        <v>92400</v>
      </c>
      <c r="G13" s="15">
        <f>SUMIFS(章节关卡!$BB$5:$BB$199,章节关卡!$AY$5:$AY$199,"="&amp;金币总产!A12)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86400</v>
      </c>
      <c r="J13" s="15">
        <f>SUMIFS(芦花古楼!$Q$5:$Q$104,芦花古楼!$L$5:$L$104,"="&amp;金币总产!A13)</f>
        <v>162000</v>
      </c>
      <c r="K13" s="15">
        <f>SUMIFS(芦花古楼!$AA$5:$AA$104,芦花古楼!$AF$5:$AF$104,"="&amp;金币总产!A13)</f>
        <v>243000</v>
      </c>
      <c r="L13" s="15">
        <f>SUMIFS(芦花古楼!$AK$5:$AK$104,芦花古楼!$AF$5:$AF$104,"="&amp;金币总产!A13)</f>
        <v>243000</v>
      </c>
      <c r="M13" s="15">
        <f>世界BOSS专属武器!N11*金币总产!B13</f>
        <v>112500</v>
      </c>
      <c r="N13" s="15">
        <f>日常任务!$E$2*金币总产!B13</f>
        <v>125000</v>
      </c>
      <c r="O13" s="15">
        <f t="shared" si="0"/>
        <v>2660000</v>
      </c>
      <c r="P13" s="16"/>
      <c r="Q13" s="15">
        <f>ROUND(O13/B13/价值概述!$B$3,0)</f>
        <v>426</v>
      </c>
    </row>
    <row r="14" spans="1:17" ht="16.5" x14ac:dyDescent="0.2">
      <c r="A14" s="26">
        <v>11</v>
      </c>
      <c r="B14" s="15">
        <f>节奏总表!R14</f>
        <v>10</v>
      </c>
      <c r="C14" s="15">
        <f>节奏总表!L14*60</f>
        <v>24000</v>
      </c>
      <c r="D14" s="15">
        <f>INDEX(章节关卡!$E$6:$E$20,金币总产!A14)*C14</f>
        <v>2640000</v>
      </c>
      <c r="E14" s="15">
        <f>SUMIFS(章节关卡!$AT$5:$AT$200,章节关卡!$AQ$5:$AQ$200,"="&amp;金币总产!A14)</f>
        <v>49500</v>
      </c>
      <c r="F14" s="15">
        <f>章节关卡!T16</f>
        <v>119250</v>
      </c>
      <c r="G14" s="15">
        <f>SUMIFS(章节关卡!$BB$5:$BB$199,章节关卡!$AY$5:$AY$199,"="&amp;金币总产!A13)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33000</v>
      </c>
      <c r="J14" s="15">
        <f>SUMIFS(芦花古楼!$Q$5:$Q$104,芦花古楼!$L$5:$L$104,"="&amp;金币总产!A14)</f>
        <v>198000</v>
      </c>
      <c r="K14" s="15">
        <f>SUMIFS(芦花古楼!$AA$5:$AA$104,芦花古楼!$AF$5:$AF$104,"="&amp;金币总产!A14)</f>
        <v>297000</v>
      </c>
      <c r="L14" s="15">
        <f>SUMIFS(芦花古楼!$AK$5:$AK$104,芦花古楼!$AF$5:$AF$104,"="&amp;金币总产!A14)</f>
        <v>297000</v>
      </c>
      <c r="M14" s="15">
        <f>世界BOSS专属武器!N12*金币总产!B14</f>
        <v>180000</v>
      </c>
      <c r="N14" s="15">
        <f>日常任务!$E$2*金币总产!B14</f>
        <v>200000</v>
      </c>
      <c r="O14" s="15">
        <f t="shared" si="0"/>
        <v>4279550</v>
      </c>
      <c r="P14" s="16"/>
      <c r="Q14" s="15">
        <f>ROUND(O14/B14/价值概述!$B$3,0)</f>
        <v>428</v>
      </c>
    </row>
    <row r="15" spans="1:17" ht="16.5" x14ac:dyDescent="0.2">
      <c r="A15" s="26">
        <v>12</v>
      </c>
      <c r="B15" s="15">
        <f>节奏总表!R15</f>
        <v>13.75</v>
      </c>
      <c r="C15" s="15">
        <f>节奏总表!L15*60</f>
        <v>33000</v>
      </c>
      <c r="D15" s="15">
        <f>INDEX(章节关卡!$E$6:$E$20,金币总产!A15)*C15</f>
        <v>4290000</v>
      </c>
      <c r="E15" s="15">
        <f>SUMIFS(章节关卡!$AT$5:$AT$200,章节关卡!$AQ$5:$AQ$200,"="&amp;金币总产!A15)</f>
        <v>58500</v>
      </c>
      <c r="F15" s="15">
        <f>章节关卡!T17</f>
        <v>156000</v>
      </c>
      <c r="G15" s="15">
        <f>SUMIFS(章节关卡!$BB$5:$BB$199,章节关卡!$AY$5:$AY$199,"="&amp;金币总产!A14)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0</v>
      </c>
      <c r="J15" s="15">
        <f>SUMIFS(芦花古楼!$Q$5:$Q$104,芦花古楼!$L$5:$L$104,"="&amp;金币总产!A15)</f>
        <v>234000</v>
      </c>
      <c r="K15" s="15">
        <f>SUMIFS(芦花古楼!$AA$5:$AA$104,芦花古楼!$AF$5:$AF$104,"="&amp;金币总产!A15)</f>
        <v>468000</v>
      </c>
      <c r="L15" s="15">
        <f>SUMIFS(芦花古楼!$AK$5:$AK$104,芦花古楼!$AF$5:$AF$104,"="&amp;金币总产!A15)</f>
        <v>468000</v>
      </c>
      <c r="M15" s="15">
        <f>世界BOSS专属武器!N13*金币总产!B15</f>
        <v>297000</v>
      </c>
      <c r="N15" s="15">
        <f>日常任务!$E$2*金币总产!B15</f>
        <v>275000</v>
      </c>
      <c r="O15" s="15">
        <f t="shared" si="0"/>
        <v>6584000</v>
      </c>
      <c r="P15" s="16"/>
      <c r="Q15" s="15">
        <f>ROUND(O15/B15/价值概述!$B$3,0)</f>
        <v>479</v>
      </c>
    </row>
    <row r="16" spans="1:17" ht="16.5" x14ac:dyDescent="0.2">
      <c r="A16" s="26">
        <v>13</v>
      </c>
      <c r="B16" s="15">
        <f>节奏总表!R16</f>
        <v>17.5</v>
      </c>
      <c r="C16" s="15">
        <f>节奏总表!L16*60</f>
        <v>42000</v>
      </c>
      <c r="D16" s="15">
        <f>INDEX(章节关卡!$E$6:$E$20,金币总产!A16)*C16</f>
        <v>6300000</v>
      </c>
      <c r="E16" s="15">
        <f>SUMIFS(章节关卡!$AT$5:$AT$200,章节关卡!$AQ$5:$AQ$200,"="&amp;金币总产!A16)</f>
        <v>67500</v>
      </c>
      <c r="F16" s="15">
        <f>章节关卡!T18</f>
        <v>204000</v>
      </c>
      <c r="G16" s="15">
        <f>SUMIFS(章节关卡!$BB$5:$BB$199,章节关卡!$AY$5:$AY$199,"="&amp;金币总产!A15)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0</v>
      </c>
      <c r="J16" s="15">
        <f>SUMIFS(芦花古楼!$Q$5:$Q$104,芦花古楼!$L$5:$L$104,"="&amp;金币总产!A16)</f>
        <v>18000</v>
      </c>
      <c r="K16" s="15">
        <f>SUMIFS(芦花古楼!$AA$5:$AA$104,芦花古楼!$AF$5:$AF$104,"="&amp;金币总产!A16)</f>
        <v>270000</v>
      </c>
      <c r="L16" s="15">
        <f>SUMIFS(芦花古楼!$AK$5:$AK$104,芦花古楼!$AF$5:$AF$104,"="&amp;金币总产!A16)</f>
        <v>270000</v>
      </c>
      <c r="M16" s="15">
        <f>世界BOSS专属武器!N14*金币总产!B16</f>
        <v>472500</v>
      </c>
      <c r="N16" s="15">
        <f>日常任务!$E$2*金币总产!B16</f>
        <v>350000</v>
      </c>
      <c r="O16" s="15">
        <f t="shared" si="0"/>
        <v>8381000</v>
      </c>
      <c r="P16" s="16"/>
      <c r="Q16" s="15">
        <f>ROUND(O16/B16/价值概述!$B$3,0)</f>
        <v>479</v>
      </c>
    </row>
    <row r="17" spans="1:22" ht="16.5" x14ac:dyDescent="0.2">
      <c r="A17" s="26">
        <v>14</v>
      </c>
      <c r="B17" s="15">
        <f>节奏总表!R17</f>
        <v>25</v>
      </c>
      <c r="C17" s="15">
        <f>节奏总表!L17*60</f>
        <v>60000</v>
      </c>
      <c r="D17" s="15">
        <f>INDEX(章节关卡!$E$6:$E$20,金币总产!A17)*C17</f>
        <v>10500000</v>
      </c>
      <c r="E17" s="15">
        <f>SUMIFS(章节关卡!$AT$5:$AT$200,章节关卡!$AQ$5:$AQ$200,"="&amp;金币总产!A17)</f>
        <v>78750</v>
      </c>
      <c r="F17" s="15">
        <f>章节关卡!T19</f>
        <v>270000</v>
      </c>
      <c r="G17" s="15">
        <f>SUMIFS(章节关卡!$BB$5:$BB$199,章节关卡!$AY$5:$AY$199,"="&amp;金币总产!A16)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SUMIFS(芦花古楼!$Q$5:$Q$104,芦花古楼!$L$5:$L$104,"="&amp;金币总产!A17)</f>
        <v>0</v>
      </c>
      <c r="K17" s="15">
        <f>SUMIFS(芦花古楼!$AA$5:$AA$104,芦花古楼!$AF$5:$AF$104,"="&amp;金币总产!A17)</f>
        <v>189000</v>
      </c>
      <c r="L17" s="15">
        <f>SUMIFS(芦花古楼!$AK$5:$AK$104,芦花古楼!$AF$5:$AF$104,"="&amp;金币总产!A17)</f>
        <v>189000</v>
      </c>
      <c r="M17" s="15">
        <f>世界BOSS专属武器!N15*金币总产!B17</f>
        <v>675000</v>
      </c>
      <c r="N17" s="15">
        <f>日常任务!$E$2*金币总产!B17</f>
        <v>500000</v>
      </c>
      <c r="O17" s="15">
        <f t="shared" si="0"/>
        <v>12944750</v>
      </c>
      <c r="P17" s="16"/>
      <c r="Q17" s="15">
        <f>ROUND(O17/B17/价值概述!$B$3,0)</f>
        <v>518</v>
      </c>
    </row>
    <row r="18" spans="1:22" ht="16.5" x14ac:dyDescent="0.2">
      <c r="A18" s="26">
        <v>15</v>
      </c>
      <c r="B18" s="15">
        <f>节奏总表!R18</f>
        <v>37.5</v>
      </c>
      <c r="C18" s="15">
        <f>节奏总表!L18*60</f>
        <v>90000</v>
      </c>
      <c r="D18" s="15">
        <f>INDEX(章节关卡!$E$6:$E$20,金币总产!A18)*C18</f>
        <v>18000000</v>
      </c>
      <c r="E18" s="15">
        <f>SUMIFS(章节关卡!$AT$5:$AT$200,章节关卡!$AQ$5:$AQ$200,"="&amp;金币总产!A18)</f>
        <v>90000</v>
      </c>
      <c r="F18" s="15">
        <f>章节关卡!T20</f>
        <v>375000</v>
      </c>
      <c r="G18" s="15">
        <f>SUMIFS(章节关卡!$BB$5:$BB$199,章节关卡!$AY$5:$AY$199,"="&amp;金币总产!A17)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SUMIFS(芦花古楼!$Q$5:$Q$104,芦花古楼!$L$5:$L$104,"="&amp;金币总产!A18)</f>
        <v>0</v>
      </c>
      <c r="K18" s="15">
        <f>SUMIFS(芦花古楼!$AA$5:$AA$104,芦花古楼!$AF$5:$AF$104,"="&amp;金币总产!A18)</f>
        <v>180000</v>
      </c>
      <c r="L18" s="15">
        <f>SUMIFS(芦花古楼!$AK$5:$AK$104,芦花古楼!$AF$5:$AF$104,"="&amp;金币总产!A18)</f>
        <v>180000</v>
      </c>
      <c r="M18" s="15">
        <f>世界BOSS专属武器!N16*金币总产!B18</f>
        <v>1012500</v>
      </c>
      <c r="N18" s="15">
        <f>日常任务!$E$2*金币总产!B18</f>
        <v>750000</v>
      </c>
      <c r="O18" s="15">
        <f t="shared" si="0"/>
        <v>21285000</v>
      </c>
      <c r="P18" s="16"/>
      <c r="Q18" s="15">
        <f>ROUND(O18/B18/价值概述!$B$3,0)</f>
        <v>568</v>
      </c>
    </row>
    <row r="19" spans="1:22" ht="16.5" x14ac:dyDescent="0.2">
      <c r="D19" s="22">
        <f>D13/$O13</f>
        <v>0.50751879699248126</v>
      </c>
      <c r="E19" s="22">
        <f t="shared" ref="E19:N19" si="1">E13/$O13</f>
        <v>1.5225563909774436E-2</v>
      </c>
      <c r="F19" s="22">
        <f t="shared" si="1"/>
        <v>3.4736842105263156E-2</v>
      </c>
      <c r="G19" s="22">
        <f t="shared" si="1"/>
        <v>2.4360902255639097E-2</v>
      </c>
      <c r="H19" s="22">
        <f t="shared" si="1"/>
        <v>5.2781954887218048E-2</v>
      </c>
      <c r="I19" s="22">
        <f t="shared" si="1"/>
        <v>3.2481203007518798E-2</v>
      </c>
      <c r="J19" s="22">
        <f t="shared" si="1"/>
        <v>6.0902255639097742E-2</v>
      </c>
      <c r="K19" s="22">
        <f t="shared" si="1"/>
        <v>9.1353383458646617E-2</v>
      </c>
      <c r="L19" s="22">
        <f t="shared" si="1"/>
        <v>9.1353383458646617E-2</v>
      </c>
      <c r="M19" s="22">
        <f t="shared" si="1"/>
        <v>4.2293233082706765E-2</v>
      </c>
      <c r="N19" s="22">
        <f t="shared" si="1"/>
        <v>4.6992481203007516E-2</v>
      </c>
      <c r="P19" s="16"/>
      <c r="Q19" s="16"/>
    </row>
    <row r="20" spans="1:22" x14ac:dyDescent="0.2">
      <c r="Q20" s="16"/>
    </row>
    <row r="21" spans="1:22" ht="20.25" x14ac:dyDescent="0.2">
      <c r="A21" s="84" t="s">
        <v>265</v>
      </c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16"/>
    </row>
    <row r="22" spans="1:22" ht="20.25" x14ac:dyDescent="0.2">
      <c r="A22" s="33"/>
      <c r="D22" s="84" t="s">
        <v>468</v>
      </c>
      <c r="E22" s="84"/>
      <c r="F22" s="84"/>
      <c r="G22" s="84"/>
      <c r="H22" s="84"/>
      <c r="I22" s="84"/>
      <c r="J22" s="84"/>
      <c r="K22" s="84" t="s">
        <v>271</v>
      </c>
      <c r="L22" s="84"/>
      <c r="M22" s="84"/>
      <c r="N22" s="84"/>
      <c r="O22" s="84"/>
      <c r="P22" s="84"/>
      <c r="Q22" s="16"/>
    </row>
    <row r="23" spans="1:22" ht="17.25" x14ac:dyDescent="0.2">
      <c r="A23" s="12" t="s">
        <v>274</v>
      </c>
      <c r="B23" s="12" t="s">
        <v>280</v>
      </c>
      <c r="C23" s="12" t="s">
        <v>273</v>
      </c>
      <c r="D23" s="12" t="s">
        <v>467</v>
      </c>
      <c r="E23" s="12" t="s">
        <v>270</v>
      </c>
      <c r="F23" s="12" t="s">
        <v>267</v>
      </c>
      <c r="G23" s="36" t="s">
        <v>272</v>
      </c>
      <c r="H23" s="12" t="s">
        <v>269</v>
      </c>
      <c r="I23" s="12" t="s">
        <v>363</v>
      </c>
      <c r="J23" s="12" t="s">
        <v>364</v>
      </c>
      <c r="K23" s="12" t="s">
        <v>266</v>
      </c>
      <c r="L23" s="12" t="s">
        <v>267</v>
      </c>
      <c r="M23" s="36" t="s">
        <v>272</v>
      </c>
      <c r="N23" s="12" t="s">
        <v>269</v>
      </c>
      <c r="O23" s="12" t="s">
        <v>268</v>
      </c>
      <c r="P23" s="12" t="s">
        <v>364</v>
      </c>
      <c r="Q23" s="16"/>
      <c r="U23">
        <f>SUM(M24:M27)/30</f>
        <v>87387.8</v>
      </c>
    </row>
    <row r="24" spans="1:22" ht="16.5" x14ac:dyDescent="0.2">
      <c r="A24" s="35" t="s">
        <v>275</v>
      </c>
      <c r="B24" s="35">
        <v>4</v>
      </c>
      <c r="C24" s="15">
        <f>SUMIFS($O$4:$O$18,$A$4:$A$18,"&lt;="&amp;B24)</f>
        <v>183870</v>
      </c>
      <c r="D24" s="45">
        <v>1</v>
      </c>
      <c r="E24" s="20">
        <v>0</v>
      </c>
      <c r="F24" s="20">
        <v>0.45</v>
      </c>
      <c r="G24" s="20">
        <v>0.15</v>
      </c>
      <c r="H24" s="20">
        <v>0.4</v>
      </c>
      <c r="I24" s="20">
        <v>3</v>
      </c>
      <c r="J24" s="20">
        <v>1</v>
      </c>
      <c r="K24" s="15">
        <f>INT($O4*E24)</f>
        <v>0</v>
      </c>
      <c r="L24" s="15">
        <f>INT($C24*F24*$D24)</f>
        <v>82741</v>
      </c>
      <c r="M24" s="15">
        <f t="shared" ref="M24:P24" si="2">INT($C24*G24*$D24)</f>
        <v>27580</v>
      </c>
      <c r="N24" s="15">
        <f t="shared" si="2"/>
        <v>73548</v>
      </c>
      <c r="O24" s="15">
        <f t="shared" si="2"/>
        <v>551610</v>
      </c>
      <c r="P24" s="15">
        <f t="shared" si="2"/>
        <v>183870</v>
      </c>
      <c r="T24">
        <f>INT(M24/30/1000)*1000</f>
        <v>0</v>
      </c>
      <c r="U24">
        <f>INT(U$23*V24/1000)*1000</f>
        <v>8000</v>
      </c>
      <c r="V24" s="40">
        <v>0.1</v>
      </c>
    </row>
    <row r="25" spans="1:22" ht="16.5" x14ac:dyDescent="0.2">
      <c r="A25" s="35" t="s">
        <v>276</v>
      </c>
      <c r="B25" s="35">
        <v>8</v>
      </c>
      <c r="C25" s="15">
        <f>SUMIFS($O$4:$O$18,$A$4:$A$18,"&lt;="&amp;B25,$A$4:$A$18,"&gt;"&amp;B24)</f>
        <v>2261450</v>
      </c>
      <c r="D25" s="45">
        <v>1</v>
      </c>
      <c r="E25" s="20">
        <v>0</v>
      </c>
      <c r="F25" s="20">
        <v>0.45</v>
      </c>
      <c r="G25" s="20">
        <v>0.15</v>
      </c>
      <c r="H25" s="20">
        <v>0.4</v>
      </c>
      <c r="I25" s="20">
        <v>2</v>
      </c>
      <c r="J25" s="20">
        <v>0.4</v>
      </c>
      <c r="K25" s="15">
        <f>INT($O5*E25)</f>
        <v>0</v>
      </c>
      <c r="L25" s="15">
        <f t="shared" ref="L25:L28" si="3">INT($C25*F25*$D25)</f>
        <v>1017652</v>
      </c>
      <c r="M25" s="15">
        <f t="shared" ref="M25:M28" si="4">INT($C25*G25*$D25)</f>
        <v>339217</v>
      </c>
      <c r="N25" s="15">
        <f t="shared" ref="N25:N28" si="5">INT($C25*H25*$D25)</f>
        <v>904580</v>
      </c>
      <c r="O25" s="15">
        <f t="shared" ref="O25:O28" si="6">INT($C25*I25*$D25)</f>
        <v>4522900</v>
      </c>
      <c r="P25" s="15">
        <f t="shared" ref="P25:P28" si="7">INT($C25*J25*$D25)</f>
        <v>904580</v>
      </c>
      <c r="T25">
        <f>INT(M25/30/1000)*1000</f>
        <v>11000</v>
      </c>
      <c r="U25">
        <f t="shared" ref="U25:U27" si="8">INT(U$23*V25/1000)*1000</f>
        <v>17000</v>
      </c>
      <c r="V25" s="40">
        <v>0.2</v>
      </c>
    </row>
    <row r="26" spans="1:22" ht="16.5" x14ac:dyDescent="0.2">
      <c r="A26" s="35" t="s">
        <v>277</v>
      </c>
      <c r="B26" s="35">
        <v>10</v>
      </c>
      <c r="C26" s="15">
        <f>SUMIFS($O$4:$O$18,$A$4:$A$18,"&lt;="&amp;B26,$A$4:$A$18,"&gt;"&amp;B25)</f>
        <v>4168700</v>
      </c>
      <c r="D26" s="45">
        <v>1</v>
      </c>
      <c r="E26" s="20">
        <v>0</v>
      </c>
      <c r="F26" s="20">
        <v>0.45</v>
      </c>
      <c r="G26" s="20">
        <v>0.15</v>
      </c>
      <c r="H26" s="20">
        <v>0.4</v>
      </c>
      <c r="I26" s="20">
        <v>1.5</v>
      </c>
      <c r="J26" s="20">
        <v>0.3</v>
      </c>
      <c r="K26" s="15">
        <f>INT($O6*E26)</f>
        <v>0</v>
      </c>
      <c r="L26" s="15">
        <f t="shared" si="3"/>
        <v>1875915</v>
      </c>
      <c r="M26" s="15">
        <f t="shared" si="4"/>
        <v>625305</v>
      </c>
      <c r="N26" s="15">
        <f t="shared" si="5"/>
        <v>1667480</v>
      </c>
      <c r="O26" s="15">
        <f t="shared" si="6"/>
        <v>6253050</v>
      </c>
      <c r="P26" s="15">
        <f t="shared" si="7"/>
        <v>1250610</v>
      </c>
      <c r="T26">
        <f>INT(M26/30/1000)*1000</f>
        <v>20000</v>
      </c>
      <c r="U26">
        <f t="shared" si="8"/>
        <v>26000</v>
      </c>
      <c r="V26" s="40">
        <v>0.3</v>
      </c>
    </row>
    <row r="27" spans="1:22" ht="16.5" x14ac:dyDescent="0.2">
      <c r="A27" s="35" t="s">
        <v>278</v>
      </c>
      <c r="B27" s="35">
        <v>12</v>
      </c>
      <c r="C27" s="15">
        <f>SUMIFS($O$4:$O$18,$A$4:$A$18,"&lt;="&amp;B27,$A$4:$A$18,"&gt;"&amp;B26)</f>
        <v>10863550</v>
      </c>
      <c r="D27" s="45">
        <v>1</v>
      </c>
      <c r="E27" s="20">
        <v>0</v>
      </c>
      <c r="F27" s="20">
        <v>0.45</v>
      </c>
      <c r="G27" s="20">
        <v>0.15</v>
      </c>
      <c r="H27" s="20">
        <v>0.4</v>
      </c>
      <c r="I27" s="20">
        <v>1</v>
      </c>
      <c r="J27" s="20">
        <v>0.2</v>
      </c>
      <c r="K27" s="15">
        <f>INT($O7*E27)</f>
        <v>0</v>
      </c>
      <c r="L27" s="15">
        <f t="shared" si="3"/>
        <v>4888597</v>
      </c>
      <c r="M27" s="15">
        <f t="shared" si="4"/>
        <v>1629532</v>
      </c>
      <c r="N27" s="15">
        <f t="shared" si="5"/>
        <v>4345420</v>
      </c>
      <c r="O27" s="15">
        <f t="shared" si="6"/>
        <v>10863550</v>
      </c>
      <c r="P27" s="15">
        <f t="shared" si="7"/>
        <v>2172710</v>
      </c>
      <c r="T27">
        <f>INT(M27/30/1000)*1000</f>
        <v>54000</v>
      </c>
      <c r="U27">
        <f t="shared" si="8"/>
        <v>34000</v>
      </c>
      <c r="V27" s="40">
        <v>0.4</v>
      </c>
    </row>
    <row r="28" spans="1:22" ht="16.5" x14ac:dyDescent="0.2">
      <c r="A28" s="35" t="s">
        <v>279</v>
      </c>
      <c r="B28" s="35">
        <v>15</v>
      </c>
      <c r="C28" s="15">
        <f>SUMIFS($O$4:$O$18,$A$4:$A$18,"&lt;="&amp;B28,$A$4:$A$18,"&gt;"&amp;B27)</f>
        <v>42610750</v>
      </c>
      <c r="D28" s="45">
        <v>1</v>
      </c>
      <c r="E28" s="20">
        <v>0</v>
      </c>
      <c r="F28" s="20">
        <v>0.45</v>
      </c>
      <c r="G28" s="20">
        <v>0.15</v>
      </c>
      <c r="H28" s="20">
        <v>0.4</v>
      </c>
      <c r="I28" s="20">
        <v>1</v>
      </c>
      <c r="J28" s="20">
        <v>0.2</v>
      </c>
      <c r="K28" s="15">
        <f>INT($O8*E28)</f>
        <v>0</v>
      </c>
      <c r="L28" s="15">
        <f t="shared" si="3"/>
        <v>19174837</v>
      </c>
      <c r="M28" s="15">
        <f t="shared" si="4"/>
        <v>6391612</v>
      </c>
      <c r="N28" s="15">
        <f t="shared" si="5"/>
        <v>17044300</v>
      </c>
      <c r="O28" s="15">
        <f t="shared" si="6"/>
        <v>42610750</v>
      </c>
      <c r="P28" s="15">
        <f t="shared" si="7"/>
        <v>8522150</v>
      </c>
    </row>
    <row r="29" spans="1:22" x14ac:dyDescent="0.2">
      <c r="M29" s="16"/>
      <c r="N29" s="16"/>
      <c r="O29" s="16"/>
      <c r="P29" s="16"/>
      <c r="Q29" s="16"/>
    </row>
  </sheetData>
  <mergeCells count="4">
    <mergeCell ref="A21:P21"/>
    <mergeCell ref="A2:O2"/>
    <mergeCell ref="D22:J22"/>
    <mergeCell ref="K22:P2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E4" sqref="E4:E18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SUM(C4:C18)</f>
        <v>20</v>
      </c>
      <c r="D2" s="26">
        <v>10000</v>
      </c>
      <c r="E2" s="26">
        <v>20000</v>
      </c>
    </row>
    <row r="3" spans="1:5" ht="17.25" x14ac:dyDescent="0.2">
      <c r="A3" s="12" t="s">
        <v>33</v>
      </c>
      <c r="B3" s="12" t="s">
        <v>78</v>
      </c>
      <c r="C3" s="12" t="s">
        <v>79</v>
      </c>
      <c r="D3" s="12" t="s">
        <v>77</v>
      </c>
      <c r="E3" s="12" t="s">
        <v>209</v>
      </c>
    </row>
    <row r="4" spans="1:5" ht="16.5" x14ac:dyDescent="0.2">
      <c r="A4" s="18">
        <v>1</v>
      </c>
      <c r="B4" s="18" t="s">
        <v>659</v>
      </c>
      <c r="C4" s="18">
        <v>1</v>
      </c>
      <c r="D4" s="15">
        <f>D$2/C$2*C4</f>
        <v>500</v>
      </c>
      <c r="E4" s="15">
        <f>E$2/$C$2*$C4</f>
        <v>1000</v>
      </c>
    </row>
    <row r="5" spans="1:5" ht="16.5" x14ac:dyDescent="0.2">
      <c r="A5" s="18">
        <v>2</v>
      </c>
      <c r="B5" s="18" t="s">
        <v>66</v>
      </c>
      <c r="C5" s="18">
        <v>1</v>
      </c>
      <c r="D5" s="15">
        <f t="shared" ref="D5:D18" si="0">D$2/C$2*C5</f>
        <v>500</v>
      </c>
      <c r="E5" s="15">
        <f t="shared" ref="E5:E18" si="1">E$2/$C$2*$C5</f>
        <v>1000</v>
      </c>
    </row>
    <row r="6" spans="1:5" ht="16.5" x14ac:dyDescent="0.2">
      <c r="A6" s="18">
        <v>3</v>
      </c>
      <c r="B6" s="18" t="s">
        <v>67</v>
      </c>
      <c r="C6" s="18">
        <v>1</v>
      </c>
      <c r="D6" s="15">
        <f t="shared" si="0"/>
        <v>500</v>
      </c>
      <c r="E6" s="15">
        <f t="shared" si="1"/>
        <v>1000</v>
      </c>
    </row>
    <row r="7" spans="1:5" ht="16.5" x14ac:dyDescent="0.2">
      <c r="A7" s="18">
        <v>4</v>
      </c>
      <c r="B7" s="18" t="s">
        <v>660</v>
      </c>
      <c r="C7" s="18">
        <v>1</v>
      </c>
      <c r="D7" s="15">
        <f t="shared" si="0"/>
        <v>500</v>
      </c>
      <c r="E7" s="15">
        <f t="shared" si="1"/>
        <v>1000</v>
      </c>
    </row>
    <row r="8" spans="1:5" ht="16.5" x14ac:dyDescent="0.2">
      <c r="A8" s="18">
        <v>5</v>
      </c>
      <c r="B8" s="18" t="s">
        <v>68</v>
      </c>
      <c r="C8" s="18">
        <v>1</v>
      </c>
      <c r="D8" s="15">
        <f t="shared" si="0"/>
        <v>500</v>
      </c>
      <c r="E8" s="15">
        <f t="shared" si="1"/>
        <v>1000</v>
      </c>
    </row>
    <row r="9" spans="1:5" ht="16.5" x14ac:dyDescent="0.2">
      <c r="A9" s="18">
        <v>6</v>
      </c>
      <c r="B9" s="18" t="s">
        <v>69</v>
      </c>
      <c r="C9" s="18">
        <v>1</v>
      </c>
      <c r="D9" s="15">
        <f t="shared" si="0"/>
        <v>500</v>
      </c>
      <c r="E9" s="15">
        <f t="shared" si="1"/>
        <v>1000</v>
      </c>
    </row>
    <row r="10" spans="1:5" ht="16.5" x14ac:dyDescent="0.2">
      <c r="A10" s="18">
        <v>7</v>
      </c>
      <c r="B10" s="18" t="s">
        <v>70</v>
      </c>
      <c r="C10" s="18">
        <v>1</v>
      </c>
      <c r="D10" s="15">
        <f t="shared" si="0"/>
        <v>500</v>
      </c>
      <c r="E10" s="15">
        <f t="shared" si="1"/>
        <v>1000</v>
      </c>
    </row>
    <row r="11" spans="1:5" ht="16.5" x14ac:dyDescent="0.2">
      <c r="A11" s="18">
        <v>8</v>
      </c>
      <c r="B11" s="18" t="s">
        <v>71</v>
      </c>
      <c r="C11" s="18">
        <v>1</v>
      </c>
      <c r="D11" s="15">
        <f t="shared" si="0"/>
        <v>500</v>
      </c>
      <c r="E11" s="15">
        <f t="shared" si="1"/>
        <v>1000</v>
      </c>
    </row>
    <row r="12" spans="1:5" ht="16.5" x14ac:dyDescent="0.2">
      <c r="A12" s="18">
        <v>9</v>
      </c>
      <c r="B12" s="18" t="s">
        <v>72</v>
      </c>
      <c r="C12" s="18">
        <v>1</v>
      </c>
      <c r="D12" s="15">
        <f t="shared" si="0"/>
        <v>500</v>
      </c>
      <c r="E12" s="15">
        <f t="shared" si="1"/>
        <v>1000</v>
      </c>
    </row>
    <row r="13" spans="1:5" ht="16.5" x14ac:dyDescent="0.2">
      <c r="A13" s="18">
        <v>10</v>
      </c>
      <c r="B13" s="18" t="s">
        <v>73</v>
      </c>
      <c r="C13" s="18">
        <v>1</v>
      </c>
      <c r="D13" s="15">
        <f t="shared" si="0"/>
        <v>500</v>
      </c>
      <c r="E13" s="15">
        <f t="shared" si="1"/>
        <v>1000</v>
      </c>
    </row>
    <row r="14" spans="1:5" ht="16.5" x14ac:dyDescent="0.2">
      <c r="A14" s="18">
        <v>11</v>
      </c>
      <c r="B14" s="18" t="s">
        <v>74</v>
      </c>
      <c r="C14" s="18">
        <v>1</v>
      </c>
      <c r="D14" s="15">
        <f t="shared" si="0"/>
        <v>500</v>
      </c>
      <c r="E14" s="15">
        <f t="shared" si="1"/>
        <v>1000</v>
      </c>
    </row>
    <row r="15" spans="1:5" ht="16.5" x14ac:dyDescent="0.2">
      <c r="A15" s="18">
        <v>12</v>
      </c>
      <c r="B15" s="18" t="s">
        <v>75</v>
      </c>
      <c r="C15" s="18">
        <v>2</v>
      </c>
      <c r="D15" s="15">
        <f t="shared" si="0"/>
        <v>1000</v>
      </c>
      <c r="E15" s="15">
        <f t="shared" si="1"/>
        <v>2000</v>
      </c>
    </row>
    <row r="16" spans="1:5" ht="16.5" x14ac:dyDescent="0.2">
      <c r="A16" s="18">
        <v>13</v>
      </c>
      <c r="B16" s="18" t="s">
        <v>661</v>
      </c>
      <c r="C16" s="18">
        <v>3</v>
      </c>
      <c r="D16" s="15">
        <f t="shared" si="0"/>
        <v>1500</v>
      </c>
      <c r="E16" s="15">
        <f t="shared" si="1"/>
        <v>3000</v>
      </c>
    </row>
    <row r="17" spans="1:5" ht="16.5" x14ac:dyDescent="0.2">
      <c r="A17" s="18">
        <v>14</v>
      </c>
      <c r="B17" s="18" t="s">
        <v>42</v>
      </c>
      <c r="C17" s="18">
        <v>3</v>
      </c>
      <c r="D17" s="15">
        <f t="shared" si="0"/>
        <v>1500</v>
      </c>
      <c r="E17" s="15">
        <f t="shared" si="1"/>
        <v>3000</v>
      </c>
    </row>
    <row r="18" spans="1:5" ht="16.5" x14ac:dyDescent="0.2">
      <c r="A18" s="18">
        <v>15</v>
      </c>
      <c r="B18" s="18" t="s">
        <v>76</v>
      </c>
      <c r="C18" s="18">
        <v>1</v>
      </c>
      <c r="D18" s="15">
        <f t="shared" si="0"/>
        <v>500</v>
      </c>
      <c r="E18" s="15">
        <f t="shared" si="1"/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价值概述</vt:lpstr>
      <vt:lpstr>节奏总表</vt:lpstr>
      <vt:lpstr>章节关卡</vt:lpstr>
      <vt:lpstr>分段产出计算</vt:lpstr>
      <vt:lpstr>芦花古楼</vt:lpstr>
      <vt:lpstr>世界BOSS专属武器</vt:lpstr>
      <vt:lpstr>金币总产</vt:lpstr>
      <vt:lpstr>日常任务</vt:lpstr>
      <vt:lpstr>挂机升级突破</vt:lpstr>
      <vt:lpstr>卡牌消耗</vt:lpstr>
      <vt:lpstr>专属武器</vt:lpstr>
      <vt:lpstr>神器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2019-05-27T12:50:45Z</dcterms:modified>
</cp:coreProperties>
</file>