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65" yWindow="1335" windowWidth="14805" windowHeight="8010" activeTab="3"/>
  </bookViews>
  <sheets>
    <sheet name="资源价值" sheetId="33" r:id="rId1"/>
    <sheet name="资源产销" sheetId="32" r:id="rId2"/>
    <sheet name="主角经验" sheetId="36" r:id="rId3"/>
    <sheet name="卡牌突破消耗" sheetId="30" r:id="rId4"/>
    <sheet name="竞技场掉落" sheetId="38" r:id="rId5"/>
    <sheet name="碎片价值" sheetId="35" r:id="rId6"/>
    <sheet name="主角技能" sheetId="39" r:id="rId7"/>
    <sheet name="悬赏任务" sheetId="40" r:id="rId8"/>
  </sheets>
  <externalReferences>
    <externalReference r:id="rId9"/>
  </externalReferences>
  <definedNames>
    <definedName name="宝箱开启次数">卡牌突破消耗!$B$19</definedName>
    <definedName name="活力价格">资源价值!$B$9</definedName>
    <definedName name="卡牌总数">资源产销!$F$1</definedName>
    <definedName name="蓝晶石价格">资源价值!$B$6</definedName>
    <definedName name="每日开箱">资源产销!$D$1</definedName>
    <definedName name="品质名称">[1]名称表!$A$4:$A$7</definedName>
    <definedName name="生命周期">资源产销!$B$1</definedName>
    <definedName name="钻石兑金币">资源价值!$B$2</definedName>
  </definedNames>
  <calcPr calcId="162913"/>
</workbook>
</file>

<file path=xl/calcChain.xml><?xml version="1.0" encoding="utf-8"?>
<calcChain xmlns="http://schemas.openxmlformats.org/spreadsheetml/2006/main">
  <c r="T23" i="30" l="1"/>
  <c r="T24" i="30"/>
  <c r="T25" i="30"/>
  <c r="T26" i="30"/>
  <c r="T27" i="30"/>
  <c r="T28" i="30"/>
  <c r="T22" i="30"/>
  <c r="S23" i="30"/>
  <c r="S24" i="30"/>
  <c r="S25" i="30"/>
  <c r="S26" i="30"/>
  <c r="S27" i="30"/>
  <c r="S28" i="30"/>
  <c r="S22" i="30"/>
  <c r="L34" i="35" l="1"/>
  <c r="L35" i="35"/>
  <c r="E35" i="35"/>
  <c r="F35" i="35"/>
  <c r="G35" i="35"/>
  <c r="H35" i="35"/>
  <c r="I35" i="35"/>
  <c r="J35" i="35"/>
  <c r="E34" i="35"/>
  <c r="F34" i="35"/>
  <c r="G34" i="35"/>
  <c r="H34" i="35"/>
  <c r="I34" i="35"/>
  <c r="J34" i="35"/>
  <c r="N21" i="32" l="1"/>
  <c r="N22" i="32"/>
  <c r="N23" i="32"/>
  <c r="N24" i="32"/>
  <c r="N25" i="32"/>
  <c r="Y14" i="38" l="1"/>
  <c r="Z14" i="38"/>
  <c r="AA14" i="38"/>
  <c r="Y12" i="38"/>
  <c r="Z12" i="38"/>
  <c r="AA12" i="38"/>
  <c r="Y13" i="38"/>
  <c r="Z13" i="38"/>
  <c r="AA13" i="38"/>
  <c r="Z11" i="38"/>
  <c r="AA11" i="38"/>
  <c r="Y11" i="38"/>
  <c r="V14" i="38"/>
  <c r="W14" i="38"/>
  <c r="X14" i="38"/>
  <c r="V12" i="38"/>
  <c r="W12" i="38"/>
  <c r="X12" i="38"/>
  <c r="V13" i="38"/>
  <c r="W13" i="38"/>
  <c r="X13" i="38"/>
  <c r="W11" i="38"/>
  <c r="X11" i="38"/>
  <c r="V11" i="38"/>
  <c r="U14" i="38"/>
  <c r="T14" i="38"/>
  <c r="U7" i="38"/>
  <c r="T7" i="38"/>
  <c r="S7" i="38"/>
  <c r="U6" i="38"/>
  <c r="T6" i="38"/>
  <c r="S6" i="38"/>
  <c r="S4" i="38"/>
  <c r="S14" i="38"/>
  <c r="U5" i="38" l="1"/>
  <c r="U4" i="38"/>
  <c r="T5" i="38"/>
  <c r="T4" i="38"/>
  <c r="S5" i="38"/>
  <c r="B26" i="30" l="1"/>
  <c r="D46" i="30" l="1"/>
  <c r="C46" i="30" s="1"/>
  <c r="E46" i="30"/>
  <c r="F46" i="30"/>
  <c r="D47" i="30"/>
  <c r="E47" i="30"/>
  <c r="F47" i="30"/>
  <c r="C47" i="30" s="1"/>
  <c r="E45" i="30"/>
  <c r="F45" i="30"/>
  <c r="D45" i="30"/>
  <c r="D43" i="30"/>
  <c r="E43" i="30"/>
  <c r="F43" i="30"/>
  <c r="D44" i="30"/>
  <c r="E44" i="30"/>
  <c r="F44" i="30"/>
  <c r="E42" i="30"/>
  <c r="F42" i="30"/>
  <c r="D42" i="30"/>
  <c r="C39" i="30"/>
  <c r="C40" i="30"/>
  <c r="C41" i="30"/>
  <c r="C42" i="30"/>
  <c r="C44" i="30"/>
  <c r="D40" i="30"/>
  <c r="E40" i="30"/>
  <c r="F40" i="30"/>
  <c r="D41" i="30"/>
  <c r="E41" i="30"/>
  <c r="F41" i="30"/>
  <c r="E39" i="30"/>
  <c r="F39" i="30"/>
  <c r="D39" i="30"/>
  <c r="C37" i="30"/>
  <c r="C38" i="30"/>
  <c r="C36" i="30"/>
  <c r="B38" i="30"/>
  <c r="B37" i="30"/>
  <c r="B36" i="30"/>
  <c r="C43" i="30" l="1"/>
  <c r="C45" i="30"/>
  <c r="H4" i="35" l="1"/>
  <c r="I4" i="35"/>
  <c r="J4" i="35"/>
  <c r="H5" i="35"/>
  <c r="I5" i="35"/>
  <c r="J5" i="35"/>
  <c r="H6" i="35"/>
  <c r="I6" i="35"/>
  <c r="J6" i="35"/>
  <c r="H7" i="35"/>
  <c r="I7" i="35"/>
  <c r="J7" i="35"/>
  <c r="H8" i="35"/>
  <c r="I8" i="35"/>
  <c r="J8" i="35"/>
  <c r="H9" i="35"/>
  <c r="I9" i="35"/>
  <c r="J9" i="35"/>
  <c r="H10" i="35"/>
  <c r="I10" i="35"/>
  <c r="J10" i="35"/>
  <c r="H11" i="35"/>
  <c r="I11" i="35"/>
  <c r="J11" i="35"/>
  <c r="H12" i="35"/>
  <c r="I12" i="35"/>
  <c r="J12" i="35"/>
  <c r="H13" i="35"/>
  <c r="I13" i="35"/>
  <c r="J13" i="35"/>
  <c r="H14" i="35"/>
  <c r="I14" i="35"/>
  <c r="J14" i="35"/>
  <c r="H15" i="35"/>
  <c r="I15" i="35"/>
  <c r="J15" i="35"/>
  <c r="H16" i="35"/>
  <c r="I16" i="35"/>
  <c r="J16" i="35"/>
  <c r="H17" i="35"/>
  <c r="I17" i="35"/>
  <c r="J17" i="35"/>
  <c r="H18" i="35"/>
  <c r="I18" i="35"/>
  <c r="J18" i="35"/>
  <c r="H19" i="35"/>
  <c r="I19" i="35"/>
  <c r="J19" i="35"/>
  <c r="H20" i="35"/>
  <c r="I20" i="35"/>
  <c r="J20" i="35"/>
  <c r="H21" i="35"/>
  <c r="I21" i="35"/>
  <c r="J21" i="35"/>
  <c r="H22" i="35"/>
  <c r="I22" i="35"/>
  <c r="J22" i="35"/>
  <c r="H23" i="35"/>
  <c r="I23" i="35"/>
  <c r="J23" i="35"/>
  <c r="H24" i="35"/>
  <c r="I24" i="35"/>
  <c r="J24" i="35"/>
  <c r="H25" i="35"/>
  <c r="I25" i="35"/>
  <c r="J25" i="35"/>
  <c r="H26" i="35"/>
  <c r="I26" i="35"/>
  <c r="J26" i="35"/>
  <c r="H27" i="35"/>
  <c r="I27" i="35"/>
  <c r="J27" i="35"/>
  <c r="H28" i="35"/>
  <c r="I28" i="35"/>
  <c r="J28" i="35"/>
  <c r="H29" i="35"/>
  <c r="I29" i="35"/>
  <c r="J29" i="35"/>
  <c r="H30" i="35"/>
  <c r="I30" i="35"/>
  <c r="J30" i="35"/>
  <c r="H31" i="35"/>
  <c r="I31" i="35"/>
  <c r="J31" i="35"/>
  <c r="H32" i="35"/>
  <c r="I32" i="35"/>
  <c r="J32" i="35"/>
  <c r="H33" i="35"/>
  <c r="I33" i="35"/>
  <c r="J33" i="35"/>
  <c r="H3" i="35"/>
  <c r="I3" i="35"/>
  <c r="J3" i="35"/>
  <c r="T4" i="35"/>
  <c r="E17" i="35" s="1"/>
  <c r="U4" i="35"/>
  <c r="F7" i="35" s="1"/>
  <c r="V4" i="35"/>
  <c r="G7" i="35" s="1"/>
  <c r="T5" i="35"/>
  <c r="E8" i="35" s="1"/>
  <c r="U5" i="35"/>
  <c r="F8" i="35" s="1"/>
  <c r="V5" i="35"/>
  <c r="G8" i="35" s="1"/>
  <c r="T6" i="35"/>
  <c r="E32" i="35" s="1"/>
  <c r="U6" i="35"/>
  <c r="F32" i="35" s="1"/>
  <c r="V6" i="35"/>
  <c r="G32" i="35" s="1"/>
  <c r="T7" i="35"/>
  <c r="E33" i="35" s="1"/>
  <c r="U7" i="35"/>
  <c r="F33" i="35" s="1"/>
  <c r="V7" i="35"/>
  <c r="G33" i="35" s="1"/>
  <c r="V3" i="35"/>
  <c r="G4" i="35" s="1"/>
  <c r="U3" i="35"/>
  <c r="F4" i="35" s="1"/>
  <c r="T3" i="35"/>
  <c r="E6" i="35" s="1"/>
  <c r="E18" i="35" l="1"/>
  <c r="F21" i="35"/>
  <c r="F17" i="35"/>
  <c r="F27" i="35"/>
  <c r="F15" i="35"/>
  <c r="E30" i="35"/>
  <c r="E28" i="35"/>
  <c r="E15" i="35"/>
  <c r="E24" i="35"/>
  <c r="E7" i="35"/>
  <c r="E20" i="35"/>
  <c r="E4" i="35"/>
  <c r="E31" i="35"/>
  <c r="G30" i="35"/>
  <c r="G11" i="35"/>
  <c r="E23" i="35"/>
  <c r="E12" i="35"/>
  <c r="F30" i="35"/>
  <c r="G23" i="35"/>
  <c r="F11" i="35"/>
  <c r="E29" i="35"/>
  <c r="E11" i="35"/>
  <c r="G31" i="35"/>
  <c r="G29" i="35"/>
  <c r="F23" i="35"/>
  <c r="G12" i="35"/>
  <c r="F31" i="35"/>
  <c r="F29" i="35"/>
  <c r="F12" i="35"/>
  <c r="G26" i="35"/>
  <c r="G18" i="35"/>
  <c r="G10" i="35"/>
  <c r="E26" i="35"/>
  <c r="E21" i="35"/>
  <c r="E16" i="35"/>
  <c r="E10" i="35"/>
  <c r="G27" i="35"/>
  <c r="G21" i="35"/>
  <c r="G17" i="35"/>
  <c r="G15" i="35"/>
  <c r="G28" i="35"/>
  <c r="G22" i="35"/>
  <c r="G16" i="35"/>
  <c r="E27" i="35"/>
  <c r="E22" i="35"/>
  <c r="F28" i="35"/>
  <c r="F26" i="35"/>
  <c r="F22" i="35"/>
  <c r="F18" i="35"/>
  <c r="F16" i="35"/>
  <c r="F10" i="35"/>
  <c r="E25" i="35"/>
  <c r="E13" i="35"/>
  <c r="E9" i="35"/>
  <c r="E5" i="35"/>
  <c r="G25" i="35"/>
  <c r="G19" i="35"/>
  <c r="G13" i="35"/>
  <c r="G9" i="35"/>
  <c r="G5" i="35"/>
  <c r="F25" i="35"/>
  <c r="E19" i="35"/>
  <c r="G3" i="35"/>
  <c r="G24" i="35"/>
  <c r="G20" i="35"/>
  <c r="G14" i="35"/>
  <c r="G6" i="35"/>
  <c r="F19" i="35"/>
  <c r="F13" i="35"/>
  <c r="F9" i="35"/>
  <c r="F5" i="35"/>
  <c r="E3" i="35"/>
  <c r="E14" i="35"/>
  <c r="F3" i="35"/>
  <c r="F24" i="35"/>
  <c r="F20" i="35"/>
  <c r="F14" i="35"/>
  <c r="F6" i="35"/>
  <c r="O22" i="30"/>
  <c r="Q22" i="30" s="1"/>
  <c r="P22" i="30" l="1"/>
  <c r="E47" i="38"/>
  <c r="J1" i="38" l="1"/>
  <c r="C17" i="33" l="1"/>
  <c r="C16" i="33"/>
  <c r="C15" i="33"/>
  <c r="C14" i="33"/>
  <c r="C10" i="33"/>
  <c r="C11" i="33"/>
  <c r="C12" i="33"/>
  <c r="C13" i="33"/>
  <c r="N5" i="39" l="1"/>
  <c r="O5" i="39" s="1"/>
  <c r="N6" i="39"/>
  <c r="O6" i="39" s="1"/>
  <c r="N7" i="39"/>
  <c r="O7" i="39" s="1"/>
  <c r="N4" i="39"/>
  <c r="O4" i="39" s="1"/>
  <c r="R5" i="39" l="1"/>
  <c r="G41" i="39" l="1"/>
  <c r="G42" i="39"/>
  <c r="G43" i="39"/>
  <c r="G44" i="39"/>
  <c r="G46" i="39"/>
  <c r="G47" i="39"/>
  <c r="G48" i="39"/>
  <c r="G49" i="39"/>
  <c r="G51" i="39"/>
  <c r="G52" i="39"/>
  <c r="G53" i="39"/>
  <c r="G54" i="39"/>
  <c r="G56" i="39"/>
  <c r="G57" i="39"/>
  <c r="G58" i="39"/>
  <c r="G59" i="39"/>
  <c r="G61" i="39"/>
  <c r="G62" i="39"/>
  <c r="G63" i="39"/>
  <c r="G64" i="39"/>
  <c r="E41" i="39"/>
  <c r="E42" i="39"/>
  <c r="E43" i="39"/>
  <c r="E44" i="39"/>
  <c r="E46" i="39"/>
  <c r="E47" i="39"/>
  <c r="E48" i="39"/>
  <c r="E49" i="39"/>
  <c r="E51" i="39"/>
  <c r="E52" i="39"/>
  <c r="E53" i="39"/>
  <c r="E54" i="39"/>
  <c r="E56" i="39"/>
  <c r="E57" i="39"/>
  <c r="E58" i="39"/>
  <c r="E59" i="39"/>
  <c r="E61" i="39"/>
  <c r="E62" i="39"/>
  <c r="E63" i="39"/>
  <c r="E64" i="39"/>
  <c r="H64" i="39"/>
  <c r="F64" i="39"/>
  <c r="H63" i="39"/>
  <c r="F63" i="39"/>
  <c r="H62" i="39"/>
  <c r="F62" i="39"/>
  <c r="H61" i="39"/>
  <c r="F61" i="39"/>
  <c r="H59" i="39"/>
  <c r="F59" i="39"/>
  <c r="H58" i="39"/>
  <c r="F58" i="39"/>
  <c r="H57" i="39"/>
  <c r="F57" i="39"/>
  <c r="H56" i="39"/>
  <c r="F56" i="39"/>
  <c r="H54" i="39"/>
  <c r="F54" i="39"/>
  <c r="H53" i="39"/>
  <c r="F53" i="39"/>
  <c r="H52" i="39"/>
  <c r="F52" i="39"/>
  <c r="H51" i="39"/>
  <c r="F51" i="39"/>
  <c r="H49" i="39"/>
  <c r="F49" i="39"/>
  <c r="H48" i="39"/>
  <c r="F48" i="39"/>
  <c r="H47" i="39"/>
  <c r="F47" i="39"/>
  <c r="H46" i="39"/>
  <c r="F46" i="39"/>
  <c r="H44" i="39"/>
  <c r="F44" i="39"/>
  <c r="H43" i="39"/>
  <c r="F43" i="39"/>
  <c r="H42" i="39"/>
  <c r="F42" i="39"/>
  <c r="H41" i="39"/>
  <c r="F41" i="39"/>
  <c r="G37" i="39"/>
  <c r="G38" i="39"/>
  <c r="G39" i="39"/>
  <c r="G36" i="39"/>
  <c r="E37" i="39"/>
  <c r="E38" i="39"/>
  <c r="E39" i="39"/>
  <c r="E36" i="39"/>
  <c r="H37" i="39"/>
  <c r="H38" i="39"/>
  <c r="H39" i="39"/>
  <c r="H36" i="39"/>
  <c r="F37" i="39"/>
  <c r="F38" i="39"/>
  <c r="F39" i="39"/>
  <c r="F36" i="39"/>
  <c r="E4" i="39" l="1"/>
  <c r="E5" i="39"/>
  <c r="E6" i="39"/>
  <c r="E3" i="39"/>
  <c r="B3" i="30" l="1"/>
  <c r="B6" i="32"/>
  <c r="B2" i="30"/>
  <c r="L3" i="30"/>
  <c r="F3" i="30"/>
  <c r="I2" i="30"/>
  <c r="H2" i="30"/>
  <c r="G2" i="30"/>
  <c r="F2" i="30"/>
  <c r="U6" i="30"/>
  <c r="T6" i="30"/>
  <c r="S6" i="30"/>
  <c r="R8" i="30"/>
  <c r="R9" i="30"/>
  <c r="R10" i="30"/>
  <c r="R11" i="30"/>
  <c r="R12" i="30"/>
  <c r="R13" i="30"/>
  <c r="R14" i="30"/>
  <c r="R15" i="30"/>
  <c r="R16" i="30"/>
  <c r="R7" i="30"/>
  <c r="L22" i="30"/>
  <c r="E5" i="38" l="1"/>
  <c r="E6" i="38"/>
  <c r="E7" i="38"/>
  <c r="E9" i="38"/>
  <c r="E11" i="38"/>
  <c r="E12" i="38"/>
  <c r="E13" i="38"/>
  <c r="E14" i="38"/>
  <c r="E10" i="38"/>
  <c r="E15" i="38"/>
  <c r="E16" i="38"/>
  <c r="E17" i="38"/>
  <c r="E18" i="38"/>
  <c r="E19" i="38"/>
  <c r="E20" i="38"/>
  <c r="E21" i="38"/>
  <c r="E22" i="38"/>
  <c r="E23" i="38"/>
  <c r="E24" i="38"/>
  <c r="E25" i="38"/>
  <c r="E26" i="38"/>
  <c r="E27" i="38"/>
  <c r="E28" i="38"/>
  <c r="E29" i="38"/>
  <c r="E30" i="38"/>
  <c r="E31" i="38"/>
  <c r="E32" i="38"/>
  <c r="E34" i="38"/>
  <c r="E33" i="38"/>
  <c r="E8" i="38"/>
  <c r="E35" i="38"/>
  <c r="E36" i="38"/>
  <c r="E37" i="38"/>
  <c r="E43" i="38"/>
  <c r="E39" i="38"/>
  <c r="E46" i="38"/>
  <c r="E40" i="38"/>
  <c r="E41" i="38"/>
  <c r="E42" i="38"/>
  <c r="E38" i="38"/>
  <c r="E44" i="38"/>
  <c r="E45" i="38"/>
  <c r="E4" i="38"/>
  <c r="E2" i="38" l="1"/>
  <c r="F23" i="30"/>
  <c r="O23" i="30" s="1"/>
  <c r="P23" i="30" l="1"/>
  <c r="Q23" i="30"/>
  <c r="F4" i="38"/>
  <c r="F47" i="38"/>
  <c r="F15" i="38"/>
  <c r="F9" i="38"/>
  <c r="F12" i="38"/>
  <c r="F19" i="38"/>
  <c r="F6" i="38"/>
  <c r="F24" i="30"/>
  <c r="O24" i="30" s="1"/>
  <c r="L23" i="30"/>
  <c r="F17" i="38"/>
  <c r="F18" i="38"/>
  <c r="F16" i="38"/>
  <c r="F21" i="38"/>
  <c r="F22" i="38"/>
  <c r="F20" i="38"/>
  <c r="F34" i="38"/>
  <c r="F43" i="38"/>
  <c r="F33" i="38"/>
  <c r="F41" i="38"/>
  <c r="F32" i="38"/>
  <c r="F36" i="38"/>
  <c r="F5" i="38"/>
  <c r="F37" i="38"/>
  <c r="F45" i="38"/>
  <c r="F35" i="38"/>
  <c r="F25" i="38"/>
  <c r="F46" i="38"/>
  <c r="F23" i="38"/>
  <c r="F11" i="38"/>
  <c r="F26" i="38"/>
  <c r="F40" i="38"/>
  <c r="F27" i="38"/>
  <c r="F7" i="38"/>
  <c r="F24" i="38"/>
  <c r="F39" i="38"/>
  <c r="F14" i="38"/>
  <c r="F29" i="38"/>
  <c r="F38" i="38"/>
  <c r="F31" i="38"/>
  <c r="F10" i="38"/>
  <c r="F30" i="38"/>
  <c r="F44" i="38"/>
  <c r="F8" i="38"/>
  <c r="F13" i="38"/>
  <c r="F28" i="38"/>
  <c r="F42" i="38"/>
  <c r="Q6" i="36"/>
  <c r="Q7" i="36"/>
  <c r="Q8" i="36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5" i="36"/>
  <c r="P6" i="36"/>
  <c r="P7" i="36"/>
  <c r="P8" i="36"/>
  <c r="P9" i="36"/>
  <c r="P10" i="36"/>
  <c r="P11" i="36"/>
  <c r="P12" i="36"/>
  <c r="P13" i="36"/>
  <c r="P14" i="36"/>
  <c r="P15" i="36"/>
  <c r="P16" i="36"/>
  <c r="P17" i="36"/>
  <c r="P18" i="36"/>
  <c r="P19" i="36"/>
  <c r="P20" i="36"/>
  <c r="P21" i="36"/>
  <c r="P22" i="36"/>
  <c r="P23" i="36"/>
  <c r="P24" i="36"/>
  <c r="P25" i="36"/>
  <c r="P26" i="36"/>
  <c r="P27" i="36"/>
  <c r="P28" i="36"/>
  <c r="P29" i="36"/>
  <c r="P30" i="36"/>
  <c r="P31" i="36"/>
  <c r="P32" i="36"/>
  <c r="P33" i="36"/>
  <c r="P5" i="36"/>
  <c r="W4" i="36"/>
  <c r="W5" i="36" s="1"/>
  <c r="Y3" i="36"/>
  <c r="Q2" i="36"/>
  <c r="H28" i="38" l="1"/>
  <c r="K28" i="38"/>
  <c r="L28" i="38"/>
  <c r="H30" i="38"/>
  <c r="K30" i="38"/>
  <c r="L30" i="38"/>
  <c r="H7" i="38"/>
  <c r="K7" i="38"/>
  <c r="L7" i="38"/>
  <c r="H35" i="38"/>
  <c r="K35" i="38"/>
  <c r="L35" i="38"/>
  <c r="H36" i="38"/>
  <c r="K36" i="38"/>
  <c r="L36" i="38"/>
  <c r="H43" i="38"/>
  <c r="K43" i="38"/>
  <c r="L43" i="38"/>
  <c r="H21" i="38"/>
  <c r="K21" i="38"/>
  <c r="L21" i="38"/>
  <c r="J4" i="38"/>
  <c r="L4" i="38"/>
  <c r="K4" i="38"/>
  <c r="H13" i="38"/>
  <c r="K13" i="38"/>
  <c r="L13" i="38"/>
  <c r="H10" i="38"/>
  <c r="K10" i="38"/>
  <c r="L10" i="38"/>
  <c r="H14" i="38"/>
  <c r="K14" i="38"/>
  <c r="L14" i="38"/>
  <c r="H27" i="38"/>
  <c r="K27" i="38"/>
  <c r="L27" i="38"/>
  <c r="H23" i="38"/>
  <c r="K23" i="38"/>
  <c r="L23" i="38"/>
  <c r="H45" i="38"/>
  <c r="K45" i="38"/>
  <c r="L45" i="38"/>
  <c r="H32" i="38"/>
  <c r="K32" i="38"/>
  <c r="L32" i="38"/>
  <c r="H34" i="38"/>
  <c r="K34" i="38"/>
  <c r="L34" i="38"/>
  <c r="H16" i="38"/>
  <c r="K16" i="38"/>
  <c r="L16" i="38"/>
  <c r="H9" i="38"/>
  <c r="K9" i="38"/>
  <c r="L9" i="38"/>
  <c r="H8" i="38"/>
  <c r="K8" i="38"/>
  <c r="L8" i="38"/>
  <c r="H31" i="38"/>
  <c r="K31" i="38"/>
  <c r="L31" i="38"/>
  <c r="H40" i="38"/>
  <c r="K40" i="38"/>
  <c r="L40" i="38"/>
  <c r="H46" i="38"/>
  <c r="K46" i="38"/>
  <c r="L46" i="38"/>
  <c r="H37" i="38"/>
  <c r="K37" i="38"/>
  <c r="L37" i="38"/>
  <c r="H41" i="38"/>
  <c r="K41" i="38"/>
  <c r="L41" i="38"/>
  <c r="H20" i="38"/>
  <c r="K20" i="38"/>
  <c r="L20" i="38"/>
  <c r="H18" i="38"/>
  <c r="K18" i="38"/>
  <c r="L18" i="38"/>
  <c r="K6" i="38"/>
  <c r="L6" i="38"/>
  <c r="H15" i="38"/>
  <c r="K15" i="38"/>
  <c r="L15" i="38"/>
  <c r="H42" i="38"/>
  <c r="K42" i="38"/>
  <c r="L42" i="38"/>
  <c r="H44" i="38"/>
  <c r="K44" i="38"/>
  <c r="L44" i="38"/>
  <c r="H38" i="38"/>
  <c r="K38" i="38"/>
  <c r="L38" i="38"/>
  <c r="H24" i="38"/>
  <c r="K24" i="38"/>
  <c r="L24" i="38"/>
  <c r="H26" i="38"/>
  <c r="K26" i="38"/>
  <c r="L26" i="38"/>
  <c r="H25" i="38"/>
  <c r="K25" i="38"/>
  <c r="L25" i="38"/>
  <c r="K5" i="38"/>
  <c r="L5" i="38"/>
  <c r="H33" i="38"/>
  <c r="K33" i="38"/>
  <c r="L33" i="38"/>
  <c r="H22" i="38"/>
  <c r="K22" i="38"/>
  <c r="L22" i="38"/>
  <c r="H17" i="38"/>
  <c r="K17" i="38"/>
  <c r="L17" i="38"/>
  <c r="H19" i="38"/>
  <c r="K19" i="38"/>
  <c r="L19" i="38"/>
  <c r="K47" i="38"/>
  <c r="L47" i="38"/>
  <c r="H29" i="38"/>
  <c r="K29" i="38"/>
  <c r="L29" i="38"/>
  <c r="H11" i="38"/>
  <c r="K11" i="38"/>
  <c r="L11" i="38"/>
  <c r="H12" i="38"/>
  <c r="K12" i="38"/>
  <c r="L12" i="38"/>
  <c r="H39" i="38"/>
  <c r="K39" i="38"/>
  <c r="L39" i="38"/>
  <c r="Q24" i="30"/>
  <c r="P24" i="30"/>
  <c r="G4" i="38"/>
  <c r="I4" i="38"/>
  <c r="H4" i="38"/>
  <c r="G9" i="38"/>
  <c r="I47" i="38"/>
  <c r="J47" i="38"/>
  <c r="H47" i="38"/>
  <c r="G47" i="38"/>
  <c r="H5" i="38"/>
  <c r="H6" i="38"/>
  <c r="G6" i="38"/>
  <c r="I38" i="38"/>
  <c r="J38" i="38"/>
  <c r="I42" i="38"/>
  <c r="J42" i="38"/>
  <c r="I44" i="38"/>
  <c r="J44" i="38"/>
  <c r="G24" i="38"/>
  <c r="J24" i="38"/>
  <c r="I26" i="38"/>
  <c r="J26" i="38"/>
  <c r="J25" i="38"/>
  <c r="G5" i="38"/>
  <c r="J5" i="38"/>
  <c r="G33" i="38"/>
  <c r="J33" i="38"/>
  <c r="G22" i="38"/>
  <c r="J22" i="38"/>
  <c r="G17" i="38"/>
  <c r="J17" i="38"/>
  <c r="I19" i="38"/>
  <c r="J19" i="38"/>
  <c r="I28" i="38"/>
  <c r="J28" i="38"/>
  <c r="I30" i="38"/>
  <c r="J30" i="38"/>
  <c r="J29" i="38"/>
  <c r="I7" i="38"/>
  <c r="J7" i="38"/>
  <c r="I11" i="38"/>
  <c r="J11" i="38"/>
  <c r="I35" i="38"/>
  <c r="J35" i="38"/>
  <c r="J36" i="38"/>
  <c r="J43" i="38"/>
  <c r="G21" i="38"/>
  <c r="J21" i="38"/>
  <c r="I12" i="38"/>
  <c r="J12" i="38"/>
  <c r="I13" i="38"/>
  <c r="J13" i="38"/>
  <c r="I10" i="38"/>
  <c r="J10" i="38"/>
  <c r="I14" i="38"/>
  <c r="J14" i="38"/>
  <c r="I27" i="38"/>
  <c r="J27" i="38"/>
  <c r="I23" i="38"/>
  <c r="J23" i="38"/>
  <c r="J45" i="38"/>
  <c r="J32" i="38"/>
  <c r="G34" i="38"/>
  <c r="J34" i="38"/>
  <c r="J16" i="38"/>
  <c r="I9" i="38"/>
  <c r="J9" i="38"/>
  <c r="I8" i="38"/>
  <c r="J8" i="38"/>
  <c r="I31" i="38"/>
  <c r="J31" i="38"/>
  <c r="I39" i="38"/>
  <c r="J39" i="38"/>
  <c r="J40" i="38"/>
  <c r="I46" i="38"/>
  <c r="J46" i="38"/>
  <c r="I37" i="38"/>
  <c r="J37" i="38"/>
  <c r="G41" i="38"/>
  <c r="J41" i="38"/>
  <c r="J20" i="38"/>
  <c r="J18" i="38"/>
  <c r="J6" i="38"/>
  <c r="I15" i="38"/>
  <c r="J15" i="38"/>
  <c r="I6" i="38"/>
  <c r="G15" i="38"/>
  <c r="G12" i="38"/>
  <c r="G19" i="38"/>
  <c r="G32" i="38"/>
  <c r="G46" i="38"/>
  <c r="I22" i="38"/>
  <c r="I33" i="38"/>
  <c r="I45" i="38"/>
  <c r="I17" i="38"/>
  <c r="F25" i="30"/>
  <c r="O25" i="30" s="1"/>
  <c r="L24" i="30"/>
  <c r="G8" i="38"/>
  <c r="I18" i="38"/>
  <c r="G37" i="38"/>
  <c r="G40" i="38"/>
  <c r="G16" i="38"/>
  <c r="I34" i="38"/>
  <c r="G29" i="38"/>
  <c r="G36" i="38"/>
  <c r="G35" i="38"/>
  <c r="I29" i="38"/>
  <c r="I32" i="38"/>
  <c r="I16" i="38"/>
  <c r="G30" i="38"/>
  <c r="G11" i="38"/>
  <c r="I43" i="38"/>
  <c r="I36" i="38"/>
  <c r="I21" i="38"/>
  <c r="G39" i="38"/>
  <c r="G18" i="38"/>
  <c r="I20" i="38"/>
  <c r="G20" i="38"/>
  <c r="G43" i="38"/>
  <c r="G28" i="38"/>
  <c r="G45" i="38"/>
  <c r="I24" i="38"/>
  <c r="G44" i="38"/>
  <c r="G31" i="38"/>
  <c r="I5" i="38"/>
  <c r="G25" i="38"/>
  <c r="G42" i="38"/>
  <c r="G26" i="38"/>
  <c r="I25" i="38"/>
  <c r="I41" i="38"/>
  <c r="G38" i="38"/>
  <c r="I40" i="38"/>
  <c r="G27" i="38"/>
  <c r="G14" i="38"/>
  <c r="G10" i="38"/>
  <c r="G23" i="38"/>
  <c r="G13" i="38"/>
  <c r="G7" i="38"/>
  <c r="W6" i="36"/>
  <c r="Y5" i="36"/>
  <c r="Y4" i="36"/>
  <c r="L4" i="35"/>
  <c r="L5" i="35"/>
  <c r="L6" i="35"/>
  <c r="L7" i="35"/>
  <c r="L8" i="35"/>
  <c r="L9" i="35"/>
  <c r="L10" i="35"/>
  <c r="L11" i="35"/>
  <c r="L12" i="35"/>
  <c r="L13" i="35"/>
  <c r="L14" i="35"/>
  <c r="L15" i="35"/>
  <c r="L16" i="35"/>
  <c r="L17" i="35"/>
  <c r="L18" i="35"/>
  <c r="L19" i="35"/>
  <c r="L20" i="35"/>
  <c r="L21" i="35"/>
  <c r="L22" i="35"/>
  <c r="L23" i="35"/>
  <c r="L24" i="35"/>
  <c r="L25" i="35"/>
  <c r="L26" i="35"/>
  <c r="L27" i="35"/>
  <c r="L28" i="35"/>
  <c r="L29" i="35"/>
  <c r="L30" i="35"/>
  <c r="L31" i="35"/>
  <c r="L32" i="35"/>
  <c r="L33" i="35"/>
  <c r="L3" i="35"/>
  <c r="P25" i="30" l="1"/>
  <c r="Q25" i="30"/>
  <c r="F26" i="30"/>
  <c r="O26" i="30" s="1"/>
  <c r="L25" i="30"/>
  <c r="W7" i="36"/>
  <c r="Y6" i="36"/>
  <c r="Q26" i="30" l="1"/>
  <c r="P26" i="30"/>
  <c r="F27" i="30"/>
  <c r="O27" i="30" s="1"/>
  <c r="L26" i="30"/>
  <c r="W8" i="36"/>
  <c r="Y8" i="36" s="1"/>
  <c r="Y7" i="36"/>
  <c r="P27" i="30" l="1"/>
  <c r="Q27" i="30"/>
  <c r="F28" i="30"/>
  <c r="L27" i="30"/>
  <c r="J4" i="36"/>
  <c r="J5" i="36" s="1"/>
  <c r="J6" i="36" s="1"/>
  <c r="J7" i="36" s="1"/>
  <c r="J8" i="36" s="1"/>
  <c r="L3" i="36"/>
  <c r="B6" i="36"/>
  <c r="B7" i="36"/>
  <c r="B8" i="36"/>
  <c r="B9" i="36"/>
  <c r="B10" i="36"/>
  <c r="B11" i="36"/>
  <c r="B12" i="36"/>
  <c r="B13" i="36"/>
  <c r="B14" i="36"/>
  <c r="B15" i="36"/>
  <c r="B16" i="36"/>
  <c r="B17" i="36"/>
  <c r="B18" i="36"/>
  <c r="B19" i="36"/>
  <c r="B20" i="36"/>
  <c r="B21" i="36"/>
  <c r="B22" i="36"/>
  <c r="B23" i="36"/>
  <c r="B24" i="36"/>
  <c r="B25" i="36"/>
  <c r="B26" i="36"/>
  <c r="B27" i="36"/>
  <c r="B28" i="36"/>
  <c r="B29" i="36"/>
  <c r="B30" i="36"/>
  <c r="B31" i="36"/>
  <c r="B32" i="36"/>
  <c r="B33" i="36"/>
  <c r="B5" i="36"/>
  <c r="C5" i="36"/>
  <c r="C6" i="36" s="1"/>
  <c r="C7" i="36" s="1"/>
  <c r="C8" i="36" s="1"/>
  <c r="C9" i="36" s="1"/>
  <c r="C10" i="36" s="1"/>
  <c r="C11" i="36" s="1"/>
  <c r="C12" i="36" s="1"/>
  <c r="C13" i="36" s="1"/>
  <c r="C14" i="36" s="1"/>
  <c r="C15" i="36" s="1"/>
  <c r="C16" i="36" s="1"/>
  <c r="C17" i="36" s="1"/>
  <c r="C18" i="36" s="1"/>
  <c r="C19" i="36" s="1"/>
  <c r="C20" i="36" s="1"/>
  <c r="C21" i="36" s="1"/>
  <c r="C22" i="36" s="1"/>
  <c r="C23" i="36" s="1"/>
  <c r="C24" i="36" s="1"/>
  <c r="C25" i="36" s="1"/>
  <c r="C26" i="36" s="1"/>
  <c r="C27" i="36" s="1"/>
  <c r="C28" i="36" s="1"/>
  <c r="C29" i="36" s="1"/>
  <c r="C30" i="36" s="1"/>
  <c r="C31" i="36" s="1"/>
  <c r="C32" i="36" s="1"/>
  <c r="C33" i="36" s="1"/>
  <c r="L28" i="30" l="1"/>
  <c r="O28" i="30"/>
  <c r="R4" i="36"/>
  <c r="R5" i="36"/>
  <c r="R6" i="36"/>
  <c r="R7" i="36"/>
  <c r="R8" i="36"/>
  <c r="R9" i="36"/>
  <c r="R10" i="36"/>
  <c r="R11" i="36"/>
  <c r="D7" i="36"/>
  <c r="D11" i="36"/>
  <c r="D15" i="36"/>
  <c r="D19" i="36"/>
  <c r="D23" i="36"/>
  <c r="D27" i="36"/>
  <c r="D31" i="36"/>
  <c r="D9" i="36"/>
  <c r="D17" i="36"/>
  <c r="D29" i="36"/>
  <c r="D8" i="36"/>
  <c r="D12" i="36"/>
  <c r="D16" i="36"/>
  <c r="D20" i="36"/>
  <c r="D24" i="36"/>
  <c r="D28" i="36"/>
  <c r="D32" i="36"/>
  <c r="D5" i="36"/>
  <c r="D13" i="36"/>
  <c r="D25" i="36"/>
  <c r="D33" i="36"/>
  <c r="D6" i="36"/>
  <c r="D10" i="36"/>
  <c r="D14" i="36"/>
  <c r="D18" i="36"/>
  <c r="D22" i="36"/>
  <c r="D26" i="36"/>
  <c r="D30" i="36"/>
  <c r="D4" i="36"/>
  <c r="D21" i="36"/>
  <c r="R12" i="36"/>
  <c r="R13" i="36"/>
  <c r="L5" i="36"/>
  <c r="L4" i="36"/>
  <c r="Q28" i="30" l="1"/>
  <c r="P28" i="30"/>
  <c r="R14" i="36"/>
  <c r="L6" i="36"/>
  <c r="R15" i="36" l="1"/>
  <c r="L8" i="36"/>
  <c r="L7" i="36"/>
  <c r="R16" i="36" l="1"/>
  <c r="R17" i="36" l="1"/>
  <c r="R18" i="36" l="1"/>
  <c r="V12" i="32"/>
  <c r="V13" i="32"/>
  <c r="V11" i="32"/>
  <c r="S21" i="32"/>
  <c r="R6" i="32"/>
  <c r="Q6" i="32"/>
  <c r="P6" i="32"/>
  <c r="J7" i="30"/>
  <c r="C7" i="33"/>
  <c r="C8" i="33"/>
  <c r="C9" i="33"/>
  <c r="C6" i="33"/>
  <c r="B5" i="33"/>
  <c r="F17" i="30"/>
  <c r="R22" i="32"/>
  <c r="L18" i="32"/>
  <c r="B22" i="32"/>
  <c r="B23" i="32"/>
  <c r="B24" i="32" s="1"/>
  <c r="B25" i="32" s="1"/>
  <c r="B26" i="32" s="1"/>
  <c r="B27" i="32" s="1"/>
  <c r="B28" i="32" s="1"/>
  <c r="B29" i="32" s="1"/>
  <c r="B30" i="32" s="1"/>
  <c r="B31" i="32" s="1"/>
  <c r="B32" i="32" s="1"/>
  <c r="B33" i="32" s="1"/>
  <c r="B34" i="32" s="1"/>
  <c r="B35" i="32" s="1"/>
  <c r="B36" i="32" s="1"/>
  <c r="B37" i="32" s="1"/>
  <c r="B38" i="32" s="1"/>
  <c r="B39" i="32" s="1"/>
  <c r="B40" i="32" s="1"/>
  <c r="B41" i="32" s="1"/>
  <c r="B42" i="32" s="1"/>
  <c r="B43" i="32" s="1"/>
  <c r="B44" i="32" s="1"/>
  <c r="B45" i="32" s="1"/>
  <c r="B46" i="32" s="1"/>
  <c r="B47" i="32" s="1"/>
  <c r="B48" i="32" s="1"/>
  <c r="B49" i="32" s="1"/>
  <c r="B50" i="32" s="1"/>
  <c r="C22" i="32"/>
  <c r="C23" i="32" s="1"/>
  <c r="B28" i="30"/>
  <c r="B27" i="30"/>
  <c r="C24" i="32" l="1"/>
  <c r="S22" i="32"/>
  <c r="R23" i="32"/>
  <c r="S6" i="32"/>
  <c r="Q7" i="32" s="1"/>
  <c r="J8" i="30"/>
  <c r="R19" i="36"/>
  <c r="S23" i="32" l="1"/>
  <c r="R24" i="32"/>
  <c r="C25" i="32"/>
  <c r="P7" i="32"/>
  <c r="R7" i="32"/>
  <c r="J9" i="30"/>
  <c r="B17" i="30"/>
  <c r="I22" i="30"/>
  <c r="I23" i="30"/>
  <c r="I25" i="30"/>
  <c r="I24" i="30"/>
  <c r="I26" i="30"/>
  <c r="R20" i="36"/>
  <c r="C26" i="32" l="1"/>
  <c r="S24" i="32"/>
  <c r="R25" i="32"/>
  <c r="K24" i="30"/>
  <c r="K25" i="30"/>
  <c r="K23" i="30"/>
  <c r="K26" i="30"/>
  <c r="K22" i="30"/>
  <c r="J10" i="30"/>
  <c r="J25" i="30"/>
  <c r="J23" i="30"/>
  <c r="J24" i="30"/>
  <c r="D2" i="30"/>
  <c r="J22" i="30"/>
  <c r="J26" i="30"/>
  <c r="I27" i="30"/>
  <c r="R21" i="36"/>
  <c r="R26" i="32" l="1"/>
  <c r="S25" i="32"/>
  <c r="C27" i="32"/>
  <c r="K27" i="30"/>
  <c r="J11" i="30"/>
  <c r="J27" i="30"/>
  <c r="I28" i="30"/>
  <c r="R22" i="36"/>
  <c r="S26" i="32" l="1"/>
  <c r="R27" i="32"/>
  <c r="C28" i="32"/>
  <c r="K28" i="30"/>
  <c r="J12" i="30"/>
  <c r="J28" i="30"/>
  <c r="R23" i="36"/>
  <c r="S27" i="32" l="1"/>
  <c r="R28" i="32"/>
  <c r="C29" i="32"/>
  <c r="J13" i="30"/>
  <c r="R24" i="36"/>
  <c r="R29" i="32" l="1"/>
  <c r="S28" i="32"/>
  <c r="C30" i="32"/>
  <c r="J14" i="30"/>
  <c r="R25" i="36"/>
  <c r="S29" i="32" l="1"/>
  <c r="R30" i="32"/>
  <c r="C31" i="32"/>
  <c r="J15" i="30"/>
  <c r="R26" i="36"/>
  <c r="S30" i="32" l="1"/>
  <c r="R31" i="32"/>
  <c r="C32" i="32"/>
  <c r="J16" i="30"/>
  <c r="R27" i="36"/>
  <c r="S31" i="32" l="1"/>
  <c r="R32" i="32"/>
  <c r="C33" i="32"/>
  <c r="J1" i="30"/>
  <c r="R28" i="36"/>
  <c r="C34" i="32" l="1"/>
  <c r="S32" i="32"/>
  <c r="R33" i="32"/>
  <c r="K7" i="30"/>
  <c r="K8" i="30"/>
  <c r="K9" i="30"/>
  <c r="K10" i="30"/>
  <c r="K11" i="30"/>
  <c r="K12" i="30"/>
  <c r="K13" i="30"/>
  <c r="K14" i="30"/>
  <c r="K15" i="30"/>
  <c r="K16" i="30"/>
  <c r="R29" i="36"/>
  <c r="S33" i="32" l="1"/>
  <c r="R34" i="32"/>
  <c r="C35" i="32"/>
  <c r="R30" i="36"/>
  <c r="R35" i="32" l="1"/>
  <c r="S34" i="32"/>
  <c r="C36" i="32"/>
  <c r="E2" i="30"/>
  <c r="C2" i="30"/>
  <c r="J6" i="32"/>
  <c r="I6" i="32" s="1"/>
  <c r="R31" i="36"/>
  <c r="R36" i="32" l="1"/>
  <c r="S35" i="32"/>
  <c r="C37" i="32"/>
  <c r="K6" i="32"/>
  <c r="I7" i="32"/>
  <c r="R33" i="36"/>
  <c r="R32" i="36"/>
  <c r="S36" i="32" l="1"/>
  <c r="R37" i="32"/>
  <c r="C38" i="32"/>
  <c r="K7" i="32"/>
  <c r="S37" i="32" l="1"/>
  <c r="R38" i="32"/>
  <c r="C39" i="32"/>
  <c r="R39" i="32" l="1"/>
  <c r="S38" i="32"/>
  <c r="C40" i="32"/>
  <c r="S39" i="32" l="1"/>
  <c r="R40" i="32"/>
  <c r="C41" i="32"/>
  <c r="S40" i="32" l="1"/>
  <c r="R41" i="32"/>
  <c r="C42" i="32"/>
  <c r="C43" i="32" l="1"/>
  <c r="R42" i="32"/>
  <c r="S41" i="32"/>
  <c r="R43" i="32" l="1"/>
  <c r="S42" i="32"/>
  <c r="C44" i="32"/>
  <c r="S43" i="32" l="1"/>
  <c r="R44" i="32"/>
  <c r="C45" i="32"/>
  <c r="S44" i="32" l="1"/>
  <c r="R45" i="32"/>
  <c r="C46" i="32"/>
  <c r="S45" i="32" l="1"/>
  <c r="R46" i="32"/>
  <c r="C47" i="32"/>
  <c r="C48" i="32" l="1"/>
  <c r="R47" i="32"/>
  <c r="S46" i="32"/>
  <c r="R48" i="32" l="1"/>
  <c r="S47" i="32"/>
  <c r="C49" i="32"/>
  <c r="S48" i="32" l="1"/>
  <c r="R49" i="32"/>
  <c r="C50" i="32"/>
  <c r="D18" i="32" l="1"/>
  <c r="S49" i="32"/>
  <c r="R50" i="32"/>
  <c r="U5" i="32"/>
  <c r="S17" i="32" l="1"/>
  <c r="W5" i="32"/>
  <c r="V5" i="32" s="1"/>
  <c r="D21" i="32"/>
  <c r="D23" i="32"/>
  <c r="D22" i="32"/>
  <c r="D24" i="32"/>
  <c r="D25" i="32"/>
  <c r="D26" i="32"/>
  <c r="D27" i="32"/>
  <c r="D28" i="32"/>
  <c r="D29" i="32"/>
  <c r="D30" i="32"/>
  <c r="D31" i="32"/>
  <c r="D32" i="32"/>
  <c r="D33" i="32"/>
  <c r="D34" i="32"/>
  <c r="D35" i="32"/>
  <c r="D36" i="32"/>
  <c r="D37" i="32"/>
  <c r="D38" i="32"/>
  <c r="D39" i="32"/>
  <c r="D40" i="32"/>
  <c r="D41" i="32"/>
  <c r="D42" i="32"/>
  <c r="D43" i="32"/>
  <c r="D44" i="32"/>
  <c r="D45" i="32"/>
  <c r="D46" i="32"/>
  <c r="D47" i="32"/>
  <c r="D48" i="32"/>
  <c r="D49" i="32"/>
  <c r="S50" i="32"/>
  <c r="R16" i="32"/>
  <c r="D50" i="32"/>
  <c r="K50" i="32" l="1"/>
  <c r="M50" i="32" s="1"/>
  <c r="K45" i="32"/>
  <c r="M45" i="32" s="1"/>
  <c r="K37" i="32"/>
  <c r="M37" i="32" s="1"/>
  <c r="K29" i="32"/>
  <c r="M29" i="32" s="1"/>
  <c r="T21" i="32"/>
  <c r="T22" i="32"/>
  <c r="T23" i="32"/>
  <c r="T24" i="32"/>
  <c r="T25" i="32"/>
  <c r="T26" i="32"/>
  <c r="T27" i="32"/>
  <c r="T28" i="32"/>
  <c r="T29" i="32"/>
  <c r="T30" i="32"/>
  <c r="T31" i="32"/>
  <c r="T32" i="32"/>
  <c r="T33" i="32"/>
  <c r="T34" i="32"/>
  <c r="T35" i="32"/>
  <c r="T36" i="32"/>
  <c r="T37" i="32"/>
  <c r="T38" i="32"/>
  <c r="T39" i="32"/>
  <c r="T40" i="32"/>
  <c r="T41" i="32"/>
  <c r="T42" i="32"/>
  <c r="T43" i="32"/>
  <c r="T44" i="32"/>
  <c r="T45" i="32"/>
  <c r="T46" i="32"/>
  <c r="T47" i="32"/>
  <c r="T48" i="32"/>
  <c r="T49" i="32"/>
  <c r="K44" i="32"/>
  <c r="M44" i="32" s="1"/>
  <c r="K36" i="32"/>
  <c r="M36" i="32" s="1"/>
  <c r="K32" i="32"/>
  <c r="M32" i="32" s="1"/>
  <c r="K28" i="32"/>
  <c r="M28" i="32" s="1"/>
  <c r="K24" i="32"/>
  <c r="M24" i="32" s="1"/>
  <c r="K47" i="32"/>
  <c r="M47" i="32" s="1"/>
  <c r="T50" i="32"/>
  <c r="K46" i="32"/>
  <c r="M46" i="32" s="1"/>
  <c r="K42" i="32"/>
  <c r="M42" i="32" s="1"/>
  <c r="K38" i="32"/>
  <c r="M38" i="32" s="1"/>
  <c r="K34" i="32"/>
  <c r="M34" i="32" s="1"/>
  <c r="K30" i="32"/>
  <c r="M30" i="32" s="1"/>
  <c r="K26" i="32"/>
  <c r="M26" i="32" s="1"/>
  <c r="K23" i="32"/>
  <c r="M23" i="32" s="1"/>
  <c r="K49" i="32"/>
  <c r="M49" i="32" s="1"/>
  <c r="K41" i="32"/>
  <c r="M41" i="32" s="1"/>
  <c r="K33" i="32"/>
  <c r="M33" i="32" s="1"/>
  <c r="K25" i="32"/>
  <c r="M25" i="32" s="1"/>
  <c r="K21" i="32"/>
  <c r="M21" i="32" s="1"/>
  <c r="K48" i="32"/>
  <c r="M48" i="32" s="1"/>
  <c r="K40" i="32"/>
  <c r="M40" i="32" s="1"/>
  <c r="K43" i="32"/>
  <c r="M43" i="32" s="1"/>
  <c r="K39" i="32"/>
  <c r="M39" i="32" s="1"/>
  <c r="K35" i="32"/>
  <c r="M35" i="32" s="1"/>
  <c r="K31" i="32"/>
  <c r="M31" i="32" s="1"/>
  <c r="K27" i="32"/>
  <c r="M27" i="32" s="1"/>
  <c r="K22" i="32"/>
  <c r="M22" i="32" s="1"/>
  <c r="A6" i="32"/>
  <c r="E12" i="32" s="1"/>
  <c r="E13" i="32" s="1"/>
  <c r="E15" i="32" s="1"/>
  <c r="I36" i="30" l="1"/>
  <c r="I38" i="30"/>
  <c r="I37" i="30"/>
  <c r="C12" i="32"/>
  <c r="C13" i="32" s="1"/>
  <c r="C15" i="32" s="1"/>
  <c r="G6" i="32"/>
  <c r="D12" i="32"/>
  <c r="D13" i="32" s="1"/>
  <c r="D15" i="32" s="1"/>
  <c r="F12" i="32"/>
  <c r="F13" i="32" s="1"/>
  <c r="F15" i="32" s="1"/>
  <c r="F6" i="32"/>
  <c r="F7" i="32" s="1"/>
  <c r="E6" i="32"/>
  <c r="G12" i="32"/>
  <c r="G13" i="32" s="1"/>
  <c r="G15" i="32" s="1"/>
  <c r="C6" i="32"/>
  <c r="D6" i="32"/>
  <c r="B12" i="32"/>
  <c r="B13" i="32" s="1"/>
  <c r="B15" i="32" s="1"/>
  <c r="E25" i="32" l="1"/>
  <c r="E33" i="32"/>
  <c r="E39" i="32"/>
  <c r="E47" i="32"/>
  <c r="E32" i="32"/>
  <c r="E48" i="32"/>
  <c r="E26" i="32"/>
  <c r="E27" i="32"/>
  <c r="E21" i="32"/>
  <c r="E41" i="32"/>
  <c r="E49" i="32"/>
  <c r="E35" i="32"/>
  <c r="E42" i="32"/>
  <c r="E30" i="32"/>
  <c r="E34" i="32"/>
  <c r="E29" i="32"/>
  <c r="E36" i="32"/>
  <c r="E43" i="32"/>
  <c r="E24" i="32"/>
  <c r="E40" i="32"/>
  <c r="E46" i="32"/>
  <c r="E50" i="32"/>
  <c r="E23" i="32"/>
  <c r="E31" i="32"/>
  <c r="E37" i="32"/>
  <c r="E45" i="32"/>
  <c r="E28" i="32"/>
  <c r="E44" i="32"/>
  <c r="E22" i="32"/>
  <c r="E38" i="32"/>
  <c r="F38" i="32"/>
  <c r="F31" i="32"/>
  <c r="F43" i="32"/>
  <c r="F30" i="32"/>
  <c r="F48" i="32"/>
  <c r="F49" i="32"/>
  <c r="F24" i="32"/>
  <c r="F40" i="32"/>
  <c r="F25" i="32"/>
  <c r="F35" i="32"/>
  <c r="F23" i="32"/>
  <c r="F32" i="32"/>
  <c r="F50" i="32"/>
  <c r="N50" i="32" s="1"/>
  <c r="F37" i="32"/>
  <c r="F26" i="32"/>
  <c r="F36" i="32"/>
  <c r="F34" i="32"/>
  <c r="F44" i="32"/>
  <c r="F46" i="32"/>
  <c r="F22" i="32"/>
  <c r="F29" i="32"/>
  <c r="F42" i="32"/>
  <c r="F39" i="32"/>
  <c r="F27" i="32"/>
  <c r="F41" i="32"/>
  <c r="F45" i="32"/>
  <c r="F33" i="32"/>
  <c r="F21" i="32"/>
  <c r="F28" i="32"/>
  <c r="F47" i="32"/>
  <c r="I42" i="32"/>
  <c r="I45" i="32"/>
  <c r="I40" i="32"/>
  <c r="I34" i="32"/>
  <c r="I47" i="32"/>
  <c r="I31" i="32"/>
  <c r="I23" i="32"/>
  <c r="I44" i="32"/>
  <c r="I29" i="32"/>
  <c r="I33" i="32"/>
  <c r="I22" i="32"/>
  <c r="I39" i="32"/>
  <c r="I36" i="32"/>
  <c r="I27" i="32"/>
  <c r="I24" i="32"/>
  <c r="I37" i="32"/>
  <c r="I41" i="32"/>
  <c r="I43" i="32"/>
  <c r="I21" i="32"/>
  <c r="I26" i="32"/>
  <c r="I25" i="32"/>
  <c r="I32" i="32"/>
  <c r="I46" i="32"/>
  <c r="I49" i="32"/>
  <c r="I38" i="32"/>
  <c r="I30" i="32"/>
  <c r="I48" i="32"/>
  <c r="I50" i="32"/>
  <c r="O50" i="32" s="1"/>
  <c r="I35" i="32"/>
  <c r="I28" i="32"/>
  <c r="X5" i="32"/>
  <c r="G7" i="32"/>
  <c r="G8" i="32" s="1"/>
  <c r="O28" i="32" l="1"/>
  <c r="J28" i="32"/>
  <c r="J32" i="32"/>
  <c r="O32" i="32"/>
  <c r="J27" i="32"/>
  <c r="O27" i="32"/>
  <c r="J31" i="32"/>
  <c r="O31" i="32"/>
  <c r="N27" i="32"/>
  <c r="G27" i="32"/>
  <c r="J49" i="32"/>
  <c r="O49" i="32"/>
  <c r="J26" i="32"/>
  <c r="O26" i="32"/>
  <c r="J37" i="32"/>
  <c r="O37" i="32"/>
  <c r="J39" i="32"/>
  <c r="O39" i="32"/>
  <c r="J44" i="32"/>
  <c r="O44" i="32"/>
  <c r="O34" i="32"/>
  <c r="J34" i="32"/>
  <c r="G47" i="32"/>
  <c r="N47" i="32"/>
  <c r="N45" i="32"/>
  <c r="G45" i="32"/>
  <c r="N42" i="32"/>
  <c r="G42" i="32"/>
  <c r="N44" i="32"/>
  <c r="G44" i="32"/>
  <c r="N37" i="32"/>
  <c r="G37" i="32"/>
  <c r="G35" i="32"/>
  <c r="N35" i="32"/>
  <c r="G49" i="32"/>
  <c r="N49" i="32"/>
  <c r="G31" i="32"/>
  <c r="N31" i="32"/>
  <c r="J30" i="32"/>
  <c r="O30" i="32"/>
  <c r="O43" i="32"/>
  <c r="J43" i="32"/>
  <c r="J33" i="32"/>
  <c r="O33" i="32"/>
  <c r="J45" i="32"/>
  <c r="O45" i="32"/>
  <c r="G22" i="32"/>
  <c r="G30" i="32"/>
  <c r="N30" i="32"/>
  <c r="O48" i="32"/>
  <c r="J48" i="32"/>
  <c r="J46" i="32"/>
  <c r="O46" i="32"/>
  <c r="J21" i="32"/>
  <c r="O21" i="32"/>
  <c r="O24" i="32"/>
  <c r="J24" i="32"/>
  <c r="O22" i="32"/>
  <c r="J22" i="32"/>
  <c r="J23" i="32"/>
  <c r="O23" i="32"/>
  <c r="O40" i="32"/>
  <c r="J40" i="32"/>
  <c r="G28" i="32"/>
  <c r="N28" i="32"/>
  <c r="N41" i="32"/>
  <c r="G41" i="32"/>
  <c r="G29" i="32"/>
  <c r="N29" i="32"/>
  <c r="G34" i="32"/>
  <c r="N34" i="32"/>
  <c r="G25" i="32"/>
  <c r="N48" i="32"/>
  <c r="G48" i="32"/>
  <c r="G38" i="32"/>
  <c r="N38" i="32"/>
  <c r="G21" i="32"/>
  <c r="G36" i="32"/>
  <c r="N36" i="32"/>
  <c r="N32" i="32"/>
  <c r="G32" i="32"/>
  <c r="G40" i="32"/>
  <c r="N40" i="32"/>
  <c r="O35" i="32"/>
  <c r="J35" i="32"/>
  <c r="O38" i="32"/>
  <c r="J38" i="32"/>
  <c r="O25" i="32"/>
  <c r="J25" i="32"/>
  <c r="J41" i="32"/>
  <c r="O41" i="32"/>
  <c r="J36" i="32"/>
  <c r="O36" i="32"/>
  <c r="O29" i="32"/>
  <c r="J29" i="32"/>
  <c r="O47" i="32"/>
  <c r="J47" i="32"/>
  <c r="O42" i="32"/>
  <c r="J42" i="32"/>
  <c r="N33" i="32"/>
  <c r="G33" i="32"/>
  <c r="G39" i="32"/>
  <c r="N39" i="32"/>
  <c r="N46" i="32"/>
  <c r="G46" i="32"/>
  <c r="N26" i="32"/>
  <c r="G26" i="32"/>
  <c r="G23" i="32"/>
  <c r="G24" i="32"/>
  <c r="G43" i="32"/>
  <c r="N43" i="32"/>
</calcChain>
</file>

<file path=xl/comments1.xml><?xml version="1.0" encoding="utf-8"?>
<comments xmlns="http://schemas.openxmlformats.org/spreadsheetml/2006/main">
  <authors>
    <author>作者</author>
  </authors>
  <commentList>
    <comment ref="K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次数宝箱</t>
        </r>
      </text>
    </comment>
  </commentList>
</comments>
</file>

<file path=xl/sharedStrings.xml><?xml version="1.0" encoding="utf-8"?>
<sst xmlns="http://schemas.openxmlformats.org/spreadsheetml/2006/main" count="682" uniqueCount="412">
  <si>
    <t>白卡</t>
    <phoneticPr fontId="3" type="noConversion"/>
  </si>
  <si>
    <t>蓝卡</t>
    <phoneticPr fontId="3" type="noConversion"/>
  </si>
  <si>
    <t>紫卡</t>
    <phoneticPr fontId="3" type="noConversion"/>
  </si>
  <si>
    <t>橙卡</t>
    <phoneticPr fontId="3" type="noConversion"/>
  </si>
  <si>
    <t>等级</t>
    <phoneticPr fontId="3" type="noConversion"/>
  </si>
  <si>
    <t>卡牌</t>
    <phoneticPr fontId="3" type="noConversion"/>
  </si>
  <si>
    <t>金币</t>
    <phoneticPr fontId="3" type="noConversion"/>
  </si>
  <si>
    <t>突破材料</t>
    <phoneticPr fontId="3" type="noConversion"/>
  </si>
  <si>
    <t>总价值</t>
    <phoneticPr fontId="3" type="noConversion"/>
  </si>
  <si>
    <t>权重</t>
    <phoneticPr fontId="3" type="noConversion"/>
  </si>
  <si>
    <t>占比</t>
    <phoneticPr fontId="3" type="noConversion"/>
  </si>
  <si>
    <t>一张白卡</t>
    <phoneticPr fontId="3" type="noConversion"/>
  </si>
  <si>
    <t>一张蓝卡</t>
    <phoneticPr fontId="3" type="noConversion"/>
  </si>
  <si>
    <t>一张紫卡</t>
    <phoneticPr fontId="3" type="noConversion"/>
  </si>
  <si>
    <t>一张橙卡</t>
    <phoneticPr fontId="3" type="noConversion"/>
  </si>
  <si>
    <t>张白卡</t>
    <phoneticPr fontId="3" type="noConversion"/>
  </si>
  <si>
    <t>一张蓝卡=</t>
    <phoneticPr fontId="3" type="noConversion"/>
  </si>
  <si>
    <t>一张紫卡=</t>
    <phoneticPr fontId="3" type="noConversion"/>
  </si>
  <si>
    <t>张蓝卡</t>
    <phoneticPr fontId="3" type="noConversion"/>
  </si>
  <si>
    <t>一张橙卡=</t>
    <phoneticPr fontId="3" type="noConversion"/>
  </si>
  <si>
    <t>张紫卡</t>
    <phoneticPr fontId="3" type="noConversion"/>
  </si>
  <si>
    <t>抽奖售价</t>
    <phoneticPr fontId="3" type="noConversion"/>
  </si>
  <si>
    <t>商店售价</t>
    <phoneticPr fontId="3" type="noConversion"/>
  </si>
  <si>
    <t>1钻=</t>
    <phoneticPr fontId="3" type="noConversion"/>
  </si>
  <si>
    <t>金币</t>
    <phoneticPr fontId="3" type="noConversion"/>
  </si>
  <si>
    <t>1突破石=</t>
    <phoneticPr fontId="3" type="noConversion"/>
  </si>
  <si>
    <t>钻</t>
    <phoneticPr fontId="3" type="noConversion"/>
  </si>
  <si>
    <t>飞矛手</t>
    <phoneticPr fontId="3" type="noConversion"/>
  </si>
  <si>
    <t>喵喵守卫</t>
    <phoneticPr fontId="3" type="noConversion"/>
  </si>
  <si>
    <t>左护法</t>
    <phoneticPr fontId="3" type="noConversion"/>
  </si>
  <si>
    <t>暴风步兵</t>
    <phoneticPr fontId="3" type="noConversion"/>
  </si>
  <si>
    <t>小花</t>
    <phoneticPr fontId="3" type="noConversion"/>
  </si>
  <si>
    <t>斯巴达</t>
    <phoneticPr fontId="3" type="noConversion"/>
  </si>
  <si>
    <t>骑士</t>
    <phoneticPr fontId="3" type="noConversion"/>
  </si>
  <si>
    <t>力士</t>
    <phoneticPr fontId="3" type="noConversion"/>
  </si>
  <si>
    <t>小炮</t>
    <phoneticPr fontId="3" type="noConversion"/>
  </si>
  <si>
    <t>投棘者</t>
    <phoneticPr fontId="3" type="noConversion"/>
  </si>
  <si>
    <t>牛头酋长</t>
    <phoneticPr fontId="3" type="noConversion"/>
  </si>
  <si>
    <t>泰兰</t>
    <phoneticPr fontId="3" type="noConversion"/>
  </si>
  <si>
    <t>卡亚</t>
    <phoneticPr fontId="3" type="noConversion"/>
  </si>
  <si>
    <t>铠甲熊</t>
    <phoneticPr fontId="3" type="noConversion"/>
  </si>
  <si>
    <t>右护法</t>
    <phoneticPr fontId="3" type="noConversion"/>
  </si>
  <si>
    <t>小鹿</t>
    <phoneticPr fontId="3" type="noConversion"/>
  </si>
  <si>
    <t>鹰身人</t>
    <phoneticPr fontId="3" type="noConversion"/>
  </si>
  <si>
    <t>飞斧泰坦</t>
    <phoneticPr fontId="3" type="noConversion"/>
  </si>
  <si>
    <t>守护泰坦</t>
    <phoneticPr fontId="3" type="noConversion"/>
  </si>
  <si>
    <t>小恩</t>
    <phoneticPr fontId="3" type="noConversion"/>
  </si>
  <si>
    <t>祖母</t>
    <phoneticPr fontId="3" type="noConversion"/>
  </si>
  <si>
    <t>粉红女巫</t>
    <phoneticPr fontId="3" type="noConversion"/>
  </si>
  <si>
    <t>雪人</t>
    <phoneticPr fontId="3" type="noConversion"/>
  </si>
  <si>
    <t>忍者</t>
    <phoneticPr fontId="3" type="noConversion"/>
  </si>
  <si>
    <t>魅魔</t>
    <phoneticPr fontId="3" type="noConversion"/>
  </si>
  <si>
    <t>宝石法师</t>
    <phoneticPr fontId="3" type="noConversion"/>
  </si>
  <si>
    <t>古尔丹</t>
    <phoneticPr fontId="3" type="noConversion"/>
  </si>
  <si>
    <t>喵夫人</t>
    <phoneticPr fontId="3" type="noConversion"/>
  </si>
  <si>
    <t>白幽灵</t>
    <phoneticPr fontId="3" type="noConversion"/>
  </si>
  <si>
    <t>空投者</t>
    <phoneticPr fontId="3" type="noConversion"/>
  </si>
  <si>
    <t>小树妖</t>
    <phoneticPr fontId="3" type="noConversion"/>
  </si>
  <si>
    <t>蓝电法师</t>
    <phoneticPr fontId="3" type="noConversion"/>
  </si>
  <si>
    <t>樱花武士</t>
    <phoneticPr fontId="3" type="noConversion"/>
  </si>
  <si>
    <t>风暴女</t>
    <phoneticPr fontId="3" type="noConversion"/>
  </si>
  <si>
    <t>阴阳师</t>
    <phoneticPr fontId="3" type="noConversion"/>
  </si>
  <si>
    <t>黑岩</t>
    <phoneticPr fontId="3" type="noConversion"/>
  </si>
  <si>
    <t>酒桶</t>
    <phoneticPr fontId="3" type="noConversion"/>
  </si>
  <si>
    <t>狂暴巨人</t>
    <phoneticPr fontId="3" type="noConversion"/>
  </si>
  <si>
    <t>大嘴</t>
    <phoneticPr fontId="3" type="noConversion"/>
  </si>
  <si>
    <t>死神</t>
    <phoneticPr fontId="3" type="noConversion"/>
  </si>
  <si>
    <t>金币投放</t>
    <phoneticPr fontId="3" type="noConversion"/>
  </si>
  <si>
    <t>品质</t>
    <phoneticPr fontId="3" type="noConversion"/>
  </si>
  <si>
    <t>等阶</t>
    <phoneticPr fontId="3" type="noConversion"/>
  </si>
  <si>
    <t>随机金币</t>
    <phoneticPr fontId="3" type="noConversion"/>
  </si>
  <si>
    <t>浮动下届</t>
    <phoneticPr fontId="3" type="noConversion"/>
  </si>
  <si>
    <t>浮动上届</t>
    <phoneticPr fontId="3" type="noConversion"/>
  </si>
  <si>
    <t>突破</t>
    <phoneticPr fontId="3" type="noConversion"/>
  </si>
  <si>
    <t>总量</t>
    <phoneticPr fontId="3" type="noConversion"/>
  </si>
  <si>
    <t>经验制造</t>
    <phoneticPr fontId="3" type="noConversion"/>
  </si>
  <si>
    <t>金币消耗</t>
    <phoneticPr fontId="3" type="noConversion"/>
  </si>
  <si>
    <t>生命周期</t>
    <phoneticPr fontId="3" type="noConversion"/>
  </si>
  <si>
    <t>金币生产</t>
    <phoneticPr fontId="3" type="noConversion"/>
  </si>
  <si>
    <t>总量</t>
    <phoneticPr fontId="3" type="noConversion"/>
  </si>
  <si>
    <t>竞技场</t>
    <phoneticPr fontId="3" type="noConversion"/>
  </si>
  <si>
    <t>市场</t>
    <phoneticPr fontId="3" type="noConversion"/>
  </si>
  <si>
    <t>每日任务</t>
    <phoneticPr fontId="3" type="noConversion"/>
  </si>
  <si>
    <t>总产量</t>
    <phoneticPr fontId="3" type="noConversion"/>
  </si>
  <si>
    <t>每日产量</t>
    <phoneticPr fontId="3" type="noConversion"/>
  </si>
  <si>
    <t>次数</t>
    <phoneticPr fontId="3" type="noConversion"/>
  </si>
  <si>
    <t>量</t>
    <phoneticPr fontId="3" type="noConversion"/>
  </si>
  <si>
    <t>等级</t>
    <phoneticPr fontId="3" type="noConversion"/>
  </si>
  <si>
    <t>建筑等级细配</t>
    <phoneticPr fontId="3" type="noConversion"/>
  </si>
  <si>
    <t>产量系数</t>
    <phoneticPr fontId="3" type="noConversion"/>
  </si>
  <si>
    <t>消耗量权重</t>
    <phoneticPr fontId="3" type="noConversion"/>
  </si>
  <si>
    <t>消耗量占比</t>
    <phoneticPr fontId="3" type="noConversion"/>
  </si>
  <si>
    <t>总量</t>
    <phoneticPr fontId="3" type="noConversion"/>
  </si>
  <si>
    <t>碎片制造</t>
    <phoneticPr fontId="3" type="noConversion"/>
  </si>
  <si>
    <t>金币产量</t>
    <phoneticPr fontId="3" type="noConversion"/>
  </si>
  <si>
    <t>回本时间</t>
    <phoneticPr fontId="3" type="noConversion"/>
  </si>
  <si>
    <t>突破石制造</t>
    <phoneticPr fontId="3" type="noConversion"/>
  </si>
  <si>
    <t>蓝晶</t>
    <phoneticPr fontId="3" type="noConversion"/>
  </si>
  <si>
    <t>蓝晶生产</t>
    <phoneticPr fontId="3" type="noConversion"/>
  </si>
  <si>
    <t>价值</t>
    <phoneticPr fontId="3" type="noConversion"/>
  </si>
  <si>
    <t>每日开箱</t>
    <phoneticPr fontId="3" type="noConversion"/>
  </si>
  <si>
    <t>JJC占比</t>
    <phoneticPr fontId="3" type="noConversion"/>
  </si>
  <si>
    <t>升级时间</t>
    <phoneticPr fontId="3" type="noConversion"/>
  </si>
  <si>
    <t>时间系数</t>
    <phoneticPr fontId="3" type="noConversion"/>
  </si>
  <si>
    <t>实际时间</t>
    <phoneticPr fontId="3" type="noConversion"/>
  </si>
  <si>
    <t>金币填表</t>
    <phoneticPr fontId="3" type="noConversion"/>
  </si>
  <si>
    <t>经验消耗</t>
    <phoneticPr fontId="3" type="noConversion"/>
  </si>
  <si>
    <t>经验系数</t>
    <phoneticPr fontId="3" type="noConversion"/>
  </si>
  <si>
    <t>经验细配</t>
    <phoneticPr fontId="3" type="noConversion"/>
  </si>
  <si>
    <t>卡牌总数</t>
    <phoneticPr fontId="3" type="noConversion"/>
  </si>
  <si>
    <t>资源价值表</t>
    <phoneticPr fontId="3" type="noConversion"/>
  </si>
  <si>
    <t>资源名</t>
    <phoneticPr fontId="3" type="noConversion"/>
  </si>
  <si>
    <t>钻石</t>
    <phoneticPr fontId="3" type="noConversion"/>
  </si>
  <si>
    <t>蓝晶石</t>
    <phoneticPr fontId="3" type="noConversion"/>
  </si>
  <si>
    <t>主角经验</t>
    <phoneticPr fontId="3" type="noConversion"/>
  </si>
  <si>
    <t>卡牌经验</t>
    <phoneticPr fontId="3" type="noConversion"/>
  </si>
  <si>
    <t>活力</t>
    <phoneticPr fontId="3" type="noConversion"/>
  </si>
  <si>
    <t>钻石兑金币</t>
    <phoneticPr fontId="3" type="noConversion"/>
  </si>
  <si>
    <t>突破石</t>
    <phoneticPr fontId="3" type="noConversion"/>
  </si>
  <si>
    <t>蓝晶</t>
    <phoneticPr fontId="3" type="noConversion"/>
  </si>
  <si>
    <t>金币</t>
    <phoneticPr fontId="3" type="noConversion"/>
  </si>
  <si>
    <t>体力</t>
    <phoneticPr fontId="3" type="noConversion"/>
  </si>
  <si>
    <t>总价</t>
    <phoneticPr fontId="3" type="noConversion"/>
  </si>
  <si>
    <t>数量</t>
    <phoneticPr fontId="3" type="noConversion"/>
  </si>
  <si>
    <t>价值</t>
    <phoneticPr fontId="3" type="noConversion"/>
  </si>
  <si>
    <t>占比</t>
    <phoneticPr fontId="3" type="noConversion"/>
  </si>
  <si>
    <t>经验价值</t>
    <phoneticPr fontId="3" type="noConversion"/>
  </si>
  <si>
    <t>总经验</t>
    <phoneticPr fontId="3" type="noConversion"/>
  </si>
  <si>
    <t>金币花费</t>
    <phoneticPr fontId="3" type="noConversion"/>
  </si>
  <si>
    <t>经验售价</t>
    <phoneticPr fontId="3" type="noConversion"/>
  </si>
  <si>
    <t>总数量</t>
    <phoneticPr fontId="3" type="noConversion"/>
  </si>
  <si>
    <t>经验药数值</t>
    <phoneticPr fontId="3" type="noConversion"/>
  </si>
  <si>
    <t>经验</t>
    <phoneticPr fontId="3" type="noConversion"/>
  </si>
  <si>
    <t>售价计算</t>
    <phoneticPr fontId="3" type="noConversion"/>
  </si>
  <si>
    <t>售价填表</t>
    <phoneticPr fontId="3" type="noConversion"/>
  </si>
  <si>
    <t>碎片ID</t>
    <phoneticPr fontId="3" type="noConversion"/>
  </si>
  <si>
    <t>碎片名</t>
    <phoneticPr fontId="3" type="noConversion"/>
  </si>
  <si>
    <t>体力</t>
    <phoneticPr fontId="3" type="noConversion"/>
  </si>
  <si>
    <t>体力填表</t>
    <phoneticPr fontId="3" type="noConversion"/>
  </si>
  <si>
    <t>开启等级</t>
    <phoneticPr fontId="3" type="noConversion"/>
  </si>
  <si>
    <t>火焰领主</t>
    <phoneticPr fontId="3" type="noConversion"/>
  </si>
  <si>
    <t>占比</t>
    <phoneticPr fontId="3" type="noConversion"/>
  </si>
  <si>
    <t>每日经验获取</t>
    <phoneticPr fontId="3" type="noConversion"/>
  </si>
  <si>
    <t>1~5</t>
    <phoneticPr fontId="3" type="noConversion"/>
  </si>
  <si>
    <t>6~10</t>
    <phoneticPr fontId="3" type="noConversion"/>
  </si>
  <si>
    <t>11~15</t>
    <phoneticPr fontId="3" type="noConversion"/>
  </si>
  <si>
    <t>16~20</t>
    <phoneticPr fontId="3" type="noConversion"/>
  </si>
  <si>
    <t>21~25</t>
    <phoneticPr fontId="3" type="noConversion"/>
  </si>
  <si>
    <t>26~30</t>
    <phoneticPr fontId="3" type="noConversion"/>
  </si>
  <si>
    <t>初始</t>
    <phoneticPr fontId="3" type="noConversion"/>
  </si>
  <si>
    <t>膨胀</t>
    <phoneticPr fontId="3" type="noConversion"/>
  </si>
  <si>
    <t>求和</t>
    <phoneticPr fontId="3" type="noConversion"/>
  </si>
  <si>
    <t>金币售价</t>
    <phoneticPr fontId="3" type="noConversion"/>
  </si>
  <si>
    <t>等级</t>
    <phoneticPr fontId="3" type="noConversion"/>
  </si>
  <si>
    <t>膨胀</t>
    <phoneticPr fontId="3" type="noConversion"/>
  </si>
  <si>
    <t>停留时间</t>
    <phoneticPr fontId="3" type="noConversion"/>
  </si>
  <si>
    <t>实际经验</t>
    <phoneticPr fontId="3" type="noConversion"/>
  </si>
  <si>
    <t>蓝晶消耗</t>
    <phoneticPr fontId="3" type="noConversion"/>
  </si>
  <si>
    <t>金币熔炉</t>
    <phoneticPr fontId="3" type="noConversion"/>
  </si>
  <si>
    <t>金币熔炉升级</t>
    <phoneticPr fontId="3" type="noConversion"/>
  </si>
  <si>
    <t>蓝晶熔炉升级</t>
    <phoneticPr fontId="3" type="noConversion"/>
  </si>
  <si>
    <t>名称</t>
    <phoneticPr fontId="3" type="noConversion"/>
  </si>
  <si>
    <t>整卡掉落</t>
    <phoneticPr fontId="3" type="noConversion"/>
  </si>
  <si>
    <t>x3掉落</t>
    <phoneticPr fontId="3" type="noConversion"/>
  </si>
  <si>
    <t>主角</t>
    <phoneticPr fontId="3" type="noConversion"/>
  </si>
  <si>
    <t>概率</t>
    <phoneticPr fontId="3" type="noConversion"/>
  </si>
  <si>
    <t>开放等阶</t>
    <phoneticPr fontId="3" type="noConversion"/>
  </si>
  <si>
    <t>zero</t>
    <phoneticPr fontId="3" type="noConversion"/>
  </si>
  <si>
    <t>品质</t>
    <phoneticPr fontId="3" type="noConversion"/>
  </si>
  <si>
    <t>价值反比</t>
    <phoneticPr fontId="3" type="noConversion"/>
  </si>
  <si>
    <t>飞矛手整卡</t>
  </si>
  <si>
    <t>暴风步兵整卡</t>
  </si>
  <si>
    <t>飞斧泰坦整卡</t>
  </si>
  <si>
    <t>空投者整卡</t>
  </si>
  <si>
    <t>粉红女巫整卡</t>
  </si>
  <si>
    <t>骑士整卡</t>
  </si>
  <si>
    <t>斯巴达整卡</t>
  </si>
  <si>
    <t>喵喵守卫整卡</t>
  </si>
  <si>
    <t>力士整卡</t>
  </si>
  <si>
    <t>小花整卡</t>
  </si>
  <si>
    <t>投棘者整卡</t>
  </si>
  <si>
    <t>牛头酋长整卡</t>
  </si>
  <si>
    <t>泰兰整卡</t>
  </si>
  <si>
    <t>卡亚整卡</t>
  </si>
  <si>
    <t>铠甲熊整卡</t>
  </si>
  <si>
    <t>左护法整卡</t>
  </si>
  <si>
    <t>右护法整卡</t>
  </si>
  <si>
    <t>小炮整卡</t>
  </si>
  <si>
    <t>小鹿整卡</t>
  </si>
  <si>
    <t>鹰身人整卡</t>
  </si>
  <si>
    <t>守护泰坦整卡</t>
  </si>
  <si>
    <t>小恩整卡</t>
  </si>
  <si>
    <t>刚刀整卡</t>
  </si>
  <si>
    <t>雪人整卡</t>
  </si>
  <si>
    <t>忍者整卡</t>
  </si>
  <si>
    <t>魅魔整卡</t>
  </si>
  <si>
    <t>死神整卡</t>
  </si>
  <si>
    <t>喵夫人整卡</t>
  </si>
  <si>
    <t>阴阳师整卡</t>
  </si>
  <si>
    <t>白幽灵整卡</t>
  </si>
  <si>
    <t>小树妖整卡</t>
  </si>
  <si>
    <t>蓝电法师整卡</t>
  </si>
  <si>
    <t>樱花武士整卡</t>
  </si>
  <si>
    <t>宝石法师整卡</t>
  </si>
  <si>
    <t>风暴女整卡</t>
  </si>
  <si>
    <t>zero整卡</t>
  </si>
  <si>
    <t>酒桶整卡</t>
  </si>
  <si>
    <t>大嘴整卡</t>
  </si>
  <si>
    <t>古尔丹整卡</t>
  </si>
  <si>
    <t>狂暴巨人整卡</t>
  </si>
  <si>
    <t>祖母整卡</t>
  </si>
  <si>
    <t>黑岩整卡</t>
  </si>
  <si>
    <t>主角碎片</t>
  </si>
  <si>
    <t>飞矛手碎片</t>
  </si>
  <si>
    <t>暴风步兵碎片</t>
  </si>
  <si>
    <t>飞斧泰坦碎片</t>
  </si>
  <si>
    <t>空投者碎片</t>
  </si>
  <si>
    <t>粉红女巫碎片</t>
  </si>
  <si>
    <t>骑士碎片</t>
  </si>
  <si>
    <t>斯巴达碎片</t>
  </si>
  <si>
    <t>喵喵守卫碎片</t>
  </si>
  <si>
    <t>力士碎片</t>
  </si>
  <si>
    <t>小花碎片</t>
  </si>
  <si>
    <t>投棘者碎片</t>
  </si>
  <si>
    <t>牛头酋长碎片</t>
  </si>
  <si>
    <t>泰兰碎片</t>
  </si>
  <si>
    <t>卡亚碎片</t>
  </si>
  <si>
    <t>铠甲熊碎片</t>
  </si>
  <si>
    <t>左护法碎片</t>
  </si>
  <si>
    <t>右护法碎片</t>
  </si>
  <si>
    <t>小炮碎片</t>
  </si>
  <si>
    <t>小鹿碎片</t>
  </si>
  <si>
    <t>鹰身人碎片</t>
  </si>
  <si>
    <t>守护泰坦碎片</t>
  </si>
  <si>
    <t>小恩碎片</t>
  </si>
  <si>
    <t>刚刀碎片</t>
  </si>
  <si>
    <t>雪人碎片</t>
  </si>
  <si>
    <t>忍者碎片</t>
  </si>
  <si>
    <t>魅魔碎片</t>
  </si>
  <si>
    <t>死神碎片</t>
  </si>
  <si>
    <t>喵夫人碎片</t>
  </si>
  <si>
    <t>阴阳师碎片</t>
  </si>
  <si>
    <t>白幽灵碎片</t>
  </si>
  <si>
    <t>小树妖碎片</t>
  </si>
  <si>
    <t>蓝电法师碎片</t>
  </si>
  <si>
    <t>樱花武士碎片</t>
  </si>
  <si>
    <t>宝石法师碎片</t>
  </si>
  <si>
    <t>风暴女碎片</t>
  </si>
  <si>
    <t>zero碎片</t>
  </si>
  <si>
    <t>酒桶碎片</t>
  </si>
  <si>
    <t>大嘴碎片</t>
  </si>
  <si>
    <t>古尔丹碎片</t>
  </si>
  <si>
    <t>狂暴巨人碎片</t>
  </si>
  <si>
    <t>祖母碎片</t>
  </si>
  <si>
    <t>黑岩碎片</t>
  </si>
  <si>
    <t>竞技场宝箱开启次数</t>
    <phoneticPr fontId="3" type="noConversion"/>
  </si>
  <si>
    <t>白-》蓝</t>
    <phoneticPr fontId="3" type="noConversion"/>
  </si>
  <si>
    <t>蓝-》紫</t>
    <phoneticPr fontId="3" type="noConversion"/>
  </si>
  <si>
    <t>紫-》橙</t>
    <phoneticPr fontId="3" type="noConversion"/>
  </si>
  <si>
    <t>概率</t>
    <phoneticPr fontId="3" type="noConversion"/>
  </si>
  <si>
    <t>大宝箱</t>
    <phoneticPr fontId="3" type="noConversion"/>
  </si>
  <si>
    <t>蓝晶升级填表</t>
    <phoneticPr fontId="3" type="noConversion"/>
  </si>
  <si>
    <t>金币升级填表</t>
    <phoneticPr fontId="3" type="noConversion"/>
  </si>
  <si>
    <t>材料总坑</t>
    <phoneticPr fontId="3" type="noConversion"/>
  </si>
  <si>
    <t>星级</t>
    <phoneticPr fontId="3" type="noConversion"/>
  </si>
  <si>
    <t>噩梦</t>
    <phoneticPr fontId="3" type="noConversion"/>
  </si>
  <si>
    <t>困难</t>
    <phoneticPr fontId="3" type="noConversion"/>
  </si>
  <si>
    <t>普通</t>
    <phoneticPr fontId="3" type="noConversion"/>
  </si>
  <si>
    <t>群防</t>
    <phoneticPr fontId="3" type="noConversion"/>
  </si>
  <si>
    <t>群攻</t>
    <phoneticPr fontId="3" type="noConversion"/>
  </si>
  <si>
    <t>群补</t>
    <phoneticPr fontId="3" type="noConversion"/>
  </si>
  <si>
    <t>群速</t>
    <phoneticPr fontId="3" type="noConversion"/>
  </si>
  <si>
    <t>治疗守卫</t>
    <phoneticPr fontId="3" type="noConversion"/>
  </si>
  <si>
    <t>静置陷阱</t>
    <phoneticPr fontId="3" type="noConversion"/>
  </si>
  <si>
    <t>毒蛇守卫</t>
    <phoneticPr fontId="3" type="noConversion"/>
  </si>
  <si>
    <t>妖术</t>
    <phoneticPr fontId="3" type="noConversion"/>
  </si>
  <si>
    <t>吹风</t>
    <phoneticPr fontId="3" type="noConversion"/>
  </si>
  <si>
    <t>守卫和主角无敌</t>
    <phoneticPr fontId="3" type="noConversion"/>
  </si>
  <si>
    <t>治疗守卫和主角</t>
    <phoneticPr fontId="3" type="noConversion"/>
  </si>
  <si>
    <t>火球术</t>
    <phoneticPr fontId="3" type="noConversion"/>
  </si>
  <si>
    <t>陨石术</t>
    <phoneticPr fontId="3" type="noConversion"/>
  </si>
  <si>
    <t>传送门</t>
    <phoneticPr fontId="3" type="noConversion"/>
  </si>
  <si>
    <t>刺蛇守卫</t>
    <phoneticPr fontId="3" type="noConversion"/>
  </si>
  <si>
    <t>冰霜新星</t>
    <phoneticPr fontId="3" type="noConversion"/>
  </si>
  <si>
    <t>烈焰风暴</t>
    <phoneticPr fontId="3" type="noConversion"/>
  </si>
  <si>
    <t>暴风雪</t>
    <phoneticPr fontId="3" type="noConversion"/>
  </si>
  <si>
    <t>龙卷风</t>
    <phoneticPr fontId="3" type="noConversion"/>
  </si>
  <si>
    <t>熔岩沟壑</t>
    <phoneticPr fontId="3" type="noConversion"/>
  </si>
  <si>
    <t>地狱火</t>
    <phoneticPr fontId="3" type="noConversion"/>
  </si>
  <si>
    <t>邪能吞噬</t>
    <phoneticPr fontId="3" type="noConversion"/>
  </si>
  <si>
    <t>火球术</t>
    <phoneticPr fontId="3" type="noConversion"/>
  </si>
  <si>
    <t>位置1</t>
    <phoneticPr fontId="3" type="noConversion"/>
  </si>
  <si>
    <t>位置2</t>
    <phoneticPr fontId="3" type="noConversion"/>
  </si>
  <si>
    <t>群补</t>
    <phoneticPr fontId="3" type="noConversion"/>
  </si>
  <si>
    <t>火元素</t>
    <phoneticPr fontId="3" type="noConversion"/>
  </si>
  <si>
    <t>风元素</t>
    <phoneticPr fontId="3" type="noConversion"/>
  </si>
  <si>
    <t>雷元素</t>
    <phoneticPr fontId="3" type="noConversion"/>
  </si>
  <si>
    <t>土元素</t>
    <phoneticPr fontId="3" type="noConversion"/>
  </si>
  <si>
    <t>水元素</t>
    <phoneticPr fontId="3" type="noConversion"/>
  </si>
  <si>
    <t>法术概率池</t>
    <phoneticPr fontId="3" type="noConversion"/>
  </si>
  <si>
    <t>普通</t>
    <phoneticPr fontId="3" type="noConversion"/>
  </si>
  <si>
    <t>精良</t>
    <phoneticPr fontId="3" type="noConversion"/>
  </si>
  <si>
    <t>史诗</t>
    <phoneticPr fontId="3" type="noConversion"/>
  </si>
  <si>
    <t>传说</t>
    <phoneticPr fontId="3" type="noConversion"/>
  </si>
  <si>
    <t>副本</t>
    <phoneticPr fontId="3" type="noConversion"/>
  </si>
  <si>
    <t>悬赏</t>
    <phoneticPr fontId="3" type="noConversion"/>
  </si>
  <si>
    <t>品质</t>
    <phoneticPr fontId="3" type="noConversion"/>
  </si>
  <si>
    <t>概率</t>
    <phoneticPr fontId="3" type="noConversion"/>
  </si>
  <si>
    <t>元素材料分配</t>
    <phoneticPr fontId="3" type="noConversion"/>
  </si>
  <si>
    <t>数量</t>
    <phoneticPr fontId="3" type="noConversion"/>
  </si>
  <si>
    <t>整卡概率</t>
    <phoneticPr fontId="3" type="noConversion"/>
  </si>
  <si>
    <t>素材概率</t>
    <phoneticPr fontId="3" type="noConversion"/>
  </si>
  <si>
    <t>法术数量</t>
    <phoneticPr fontId="3" type="noConversion"/>
  </si>
  <si>
    <t>素材数量</t>
    <phoneticPr fontId="3" type="noConversion"/>
  </si>
  <si>
    <t>生命周期</t>
    <phoneticPr fontId="3" type="noConversion"/>
  </si>
  <si>
    <t>副本次数</t>
    <phoneticPr fontId="3" type="noConversion"/>
  </si>
  <si>
    <t>单卡概率</t>
    <phoneticPr fontId="3" type="noConversion"/>
  </si>
  <si>
    <t>x3</t>
    <phoneticPr fontId="3" type="noConversion"/>
  </si>
  <si>
    <t>T</t>
    <phoneticPr fontId="3" type="noConversion"/>
  </si>
  <si>
    <t>力士</t>
    <phoneticPr fontId="3" type="noConversion"/>
  </si>
  <si>
    <t>小炮炮</t>
    <phoneticPr fontId="3" type="noConversion"/>
  </si>
  <si>
    <t>投荆者</t>
    <phoneticPr fontId="3" type="noConversion"/>
  </si>
  <si>
    <t>牛头酋长</t>
    <phoneticPr fontId="3" type="noConversion"/>
  </si>
  <si>
    <t>泰兰</t>
    <phoneticPr fontId="3" type="noConversion"/>
  </si>
  <si>
    <t>铠甲熊</t>
    <phoneticPr fontId="3" type="noConversion"/>
  </si>
  <si>
    <t>右护法</t>
    <phoneticPr fontId="3" type="noConversion"/>
  </si>
  <si>
    <t>飞斧泰坦</t>
    <phoneticPr fontId="3" type="noConversion"/>
  </si>
  <si>
    <t>主母</t>
    <phoneticPr fontId="3" type="noConversion"/>
  </si>
  <si>
    <t>忍者</t>
    <phoneticPr fontId="3" type="noConversion"/>
  </si>
  <si>
    <t>喵夫人</t>
    <phoneticPr fontId="3" type="noConversion"/>
  </si>
  <si>
    <t>白幽灵</t>
    <phoneticPr fontId="3" type="noConversion"/>
  </si>
  <si>
    <t>空投者</t>
    <phoneticPr fontId="3" type="noConversion"/>
  </si>
  <si>
    <t>蓝电法师</t>
    <phoneticPr fontId="3" type="noConversion"/>
  </si>
  <si>
    <t>洛克人</t>
    <phoneticPr fontId="3" type="noConversion"/>
  </si>
  <si>
    <t>大嘴巨人</t>
    <phoneticPr fontId="3" type="noConversion"/>
  </si>
  <si>
    <t>狂暴巨人</t>
    <phoneticPr fontId="3" type="noConversion"/>
  </si>
  <si>
    <t>崩</t>
    <phoneticPr fontId="3" type="noConversion"/>
  </si>
  <si>
    <t>钢刀</t>
    <phoneticPr fontId="3" type="noConversion"/>
  </si>
  <si>
    <t>弓</t>
    <phoneticPr fontId="3" type="noConversion"/>
  </si>
  <si>
    <t>战</t>
    <phoneticPr fontId="3" type="noConversion"/>
  </si>
  <si>
    <t>辅</t>
    <phoneticPr fontId="3" type="noConversion"/>
  </si>
  <si>
    <t>兵种</t>
    <phoneticPr fontId="3" type="noConversion"/>
  </si>
  <si>
    <t>定位</t>
    <phoneticPr fontId="3" type="noConversion"/>
  </si>
  <si>
    <t>种族</t>
    <phoneticPr fontId="3" type="noConversion"/>
  </si>
  <si>
    <t>盖亚</t>
    <phoneticPr fontId="3" type="noConversion"/>
  </si>
  <si>
    <t>中立</t>
    <phoneticPr fontId="3" type="noConversion"/>
  </si>
  <si>
    <t>泰坦</t>
    <phoneticPr fontId="3" type="noConversion"/>
  </si>
  <si>
    <t>进化材料</t>
    <phoneticPr fontId="3" type="noConversion"/>
  </si>
  <si>
    <t>主角材料</t>
    <phoneticPr fontId="3" type="noConversion"/>
  </si>
  <si>
    <t>主角法术书</t>
    <phoneticPr fontId="3" type="noConversion"/>
  </si>
  <si>
    <t>4小时</t>
    <phoneticPr fontId="3" type="noConversion"/>
  </si>
  <si>
    <t>钻石</t>
    <phoneticPr fontId="3" type="noConversion"/>
  </si>
  <si>
    <t>元素</t>
    <phoneticPr fontId="3" type="noConversion"/>
  </si>
  <si>
    <t>8小时</t>
    <phoneticPr fontId="3" type="noConversion"/>
  </si>
  <si>
    <t>12小时</t>
    <phoneticPr fontId="3" type="noConversion"/>
  </si>
  <si>
    <t>30小时</t>
    <phoneticPr fontId="3" type="noConversion"/>
  </si>
  <si>
    <t>元素40钻</t>
    <phoneticPr fontId="3" type="noConversion"/>
  </si>
  <si>
    <t>白卡</t>
    <phoneticPr fontId="3" type="noConversion"/>
  </si>
  <si>
    <t>蓝卡</t>
    <phoneticPr fontId="3" type="noConversion"/>
  </si>
  <si>
    <t>紫卡</t>
    <phoneticPr fontId="3" type="noConversion"/>
  </si>
  <si>
    <t>橙卡</t>
    <phoneticPr fontId="3" type="noConversion"/>
  </si>
  <si>
    <t>突破材料</t>
    <phoneticPr fontId="3" type="noConversion"/>
  </si>
  <si>
    <t>元素</t>
    <phoneticPr fontId="3" type="noConversion"/>
  </si>
  <si>
    <t>法术</t>
    <phoneticPr fontId="3" type="noConversion"/>
  </si>
  <si>
    <t>主角碎片</t>
    <phoneticPr fontId="3" type="noConversion"/>
  </si>
  <si>
    <t>运营预留</t>
    <phoneticPr fontId="3" type="noConversion"/>
  </si>
  <si>
    <t>x10掉落</t>
    <phoneticPr fontId="3" type="noConversion"/>
  </si>
  <si>
    <t>火焰领主</t>
    <phoneticPr fontId="3" type="noConversion"/>
  </si>
  <si>
    <t>火焰领主整卡</t>
    <phoneticPr fontId="3" type="noConversion"/>
  </si>
  <si>
    <t>火焰领主碎片</t>
    <phoneticPr fontId="3" type="noConversion"/>
  </si>
  <si>
    <t>整卡1000钻</t>
    <phoneticPr fontId="3" type="noConversion"/>
  </si>
  <si>
    <t>蓝晶石填表</t>
    <phoneticPr fontId="3" type="noConversion"/>
  </si>
  <si>
    <t>品质</t>
    <phoneticPr fontId="3" type="noConversion"/>
  </si>
  <si>
    <t>价格</t>
    <phoneticPr fontId="3" type="noConversion"/>
  </si>
  <si>
    <t>白卡每日</t>
    <phoneticPr fontId="3" type="noConversion"/>
  </si>
  <si>
    <t>蓝卡每日</t>
    <phoneticPr fontId="3" type="noConversion"/>
  </si>
  <si>
    <t>紫卡每日</t>
    <phoneticPr fontId="3" type="noConversion"/>
  </si>
  <si>
    <t>PVE掉落设计</t>
    <phoneticPr fontId="3" type="noConversion"/>
  </si>
  <si>
    <t>掉落项</t>
    <phoneticPr fontId="3" type="noConversion"/>
  </si>
  <si>
    <t>期望</t>
    <phoneticPr fontId="3" type="noConversion"/>
  </si>
  <si>
    <t>普通</t>
    <phoneticPr fontId="3" type="noConversion"/>
  </si>
  <si>
    <t>困难</t>
    <phoneticPr fontId="3" type="noConversion"/>
  </si>
  <si>
    <t>噩梦</t>
    <phoneticPr fontId="3" type="noConversion"/>
  </si>
  <si>
    <t>金币</t>
    <phoneticPr fontId="3" type="noConversion"/>
  </si>
  <si>
    <t>1~10掉落</t>
    <phoneticPr fontId="3" type="noConversion"/>
  </si>
  <si>
    <t>蓝晶回本</t>
    <phoneticPr fontId="3" type="noConversion"/>
  </si>
  <si>
    <t>经验炉子</t>
    <phoneticPr fontId="3" type="noConversion"/>
  </si>
  <si>
    <t>每日自然体力600</t>
    <phoneticPr fontId="3" type="noConversion"/>
  </si>
  <si>
    <t>白卡</t>
    <phoneticPr fontId="3" type="noConversion"/>
  </si>
  <si>
    <t>蓝卡</t>
    <phoneticPr fontId="3" type="noConversion"/>
  </si>
  <si>
    <t>紫卡</t>
    <phoneticPr fontId="3" type="noConversion"/>
  </si>
  <si>
    <t>每日开箱</t>
    <phoneticPr fontId="3" type="noConversion"/>
  </si>
  <si>
    <t>非R</t>
    <phoneticPr fontId="3" type="noConversion"/>
  </si>
  <si>
    <t>小R</t>
    <phoneticPr fontId="3" type="noConversion"/>
  </si>
  <si>
    <t>组队本</t>
    <phoneticPr fontId="3" type="noConversion"/>
  </si>
  <si>
    <t>副本产出</t>
    <phoneticPr fontId="3" type="noConversion"/>
  </si>
  <si>
    <t>牌子</t>
    <phoneticPr fontId="3" type="noConversion"/>
  </si>
  <si>
    <t>友情</t>
    <phoneticPr fontId="3" type="noConversion"/>
  </si>
  <si>
    <t>结果</t>
    <phoneticPr fontId="3" type="noConversion"/>
  </si>
  <si>
    <t>数量</t>
    <phoneticPr fontId="3" type="noConversion"/>
  </si>
  <si>
    <t>白卡概率</t>
    <phoneticPr fontId="3" type="noConversion"/>
  </si>
  <si>
    <t>蓝卡概率</t>
    <phoneticPr fontId="3" type="noConversion"/>
  </si>
  <si>
    <t>紫卡概率</t>
    <phoneticPr fontId="3" type="noConversion"/>
  </si>
  <si>
    <t>噩梦</t>
    <phoneticPr fontId="3" type="noConversion"/>
  </si>
  <si>
    <t>困难</t>
    <phoneticPr fontId="3" type="noConversion"/>
  </si>
  <si>
    <t>普通</t>
    <phoneticPr fontId="3" type="noConversion"/>
  </si>
  <si>
    <t>每日产出</t>
    <phoneticPr fontId="3" type="noConversion"/>
  </si>
  <si>
    <t>蓝晶炉子</t>
    <phoneticPr fontId="3" type="noConversion"/>
  </si>
  <si>
    <t>金币炉子</t>
    <phoneticPr fontId="3" type="noConversion"/>
  </si>
  <si>
    <t>暴走兔战碎片</t>
  </si>
  <si>
    <t>暴走兔弓碎片</t>
  </si>
  <si>
    <t>肥肥蛮兵碎片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</si>
</sst>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%"/>
    <numFmt numFmtId="177" formatCode="0.00_);[Red]\(0.00\)"/>
  </numFmts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6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2">
    <xf numFmtId="0" fontId="0" fillId="0" borderId="0"/>
    <xf numFmtId="0" fontId="2" fillId="0" borderId="1">
      <alignment horizontal="center" vertical="center"/>
    </xf>
    <xf numFmtId="0" fontId="1" fillId="0" borderId="2">
      <alignment vertical="top" wrapText="1"/>
    </xf>
    <xf numFmtId="0" fontId="4" fillId="0" borderId="0" applyNumberFormat="0" applyFill="0" applyBorder="0" applyAlignment="0" applyProtection="0">
      <alignment vertical="center"/>
    </xf>
    <xf numFmtId="0" fontId="6" fillId="2" borderId="2">
      <alignment vertical="top" shrinkToFit="1"/>
    </xf>
    <xf numFmtId="0" fontId="5" fillId="3" borderId="2">
      <alignment vertical="top" shrinkToFit="1"/>
    </xf>
    <xf numFmtId="0" fontId="1" fillId="4" borderId="2" applyFont="0">
      <alignment horizontal="center" vertical="center" wrapText="1"/>
    </xf>
    <xf numFmtId="0" fontId="1" fillId="5" borderId="2">
      <alignment horizontal="center" vertical="center" wrapText="1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2">
      <alignment horizontal="center" vertical="center" wrapText="1"/>
    </xf>
  </cellStyleXfs>
  <cellXfs count="31">
    <xf numFmtId="0" fontId="0" fillId="0" borderId="0" xfId="0"/>
    <xf numFmtId="0" fontId="0" fillId="0" borderId="0" xfId="0"/>
    <xf numFmtId="10" fontId="0" fillId="0" borderId="0" xfId="0" applyNumberFormat="1"/>
    <xf numFmtId="9" fontId="0" fillId="0" borderId="0" xfId="0" applyNumberFormat="1"/>
    <xf numFmtId="176" fontId="0" fillId="0" borderId="0" xfId="0" applyNumberFormat="1"/>
    <xf numFmtId="0" fontId="0" fillId="4" borderId="2" xfId="6" applyFont="1">
      <alignment horizontal="center" vertical="center" wrapText="1"/>
    </xf>
    <xf numFmtId="0" fontId="1" fillId="5" borderId="2" xfId="7">
      <alignment horizontal="center" vertical="center" wrapText="1"/>
    </xf>
    <xf numFmtId="0" fontId="1" fillId="0" borderId="2" xfId="2">
      <alignment vertical="top" wrapText="1"/>
    </xf>
    <xf numFmtId="10" fontId="1" fillId="0" borderId="2" xfId="2" applyNumberFormat="1">
      <alignment vertical="top" wrapText="1"/>
    </xf>
    <xf numFmtId="10" fontId="1" fillId="0" borderId="3" xfId="2" applyNumberFormat="1" applyFill="1" applyBorder="1">
      <alignment vertical="top" wrapText="1"/>
    </xf>
    <xf numFmtId="0" fontId="6" fillId="2" borderId="2" xfId="4">
      <alignment vertical="top" shrinkToFit="1"/>
    </xf>
    <xf numFmtId="0" fontId="6" fillId="2" borderId="4" xfId="4" applyBorder="1">
      <alignment vertical="top" shrinkToFit="1"/>
    </xf>
    <xf numFmtId="0" fontId="6" fillId="2" borderId="3" xfId="4" applyBorder="1">
      <alignment vertical="top" shrinkToFit="1"/>
    </xf>
    <xf numFmtId="0" fontId="0" fillId="0" borderId="0" xfId="0" applyAlignment="1"/>
    <xf numFmtId="0" fontId="1" fillId="0" borderId="3" xfId="2" applyFill="1" applyBorder="1">
      <alignment vertical="top" wrapText="1"/>
    </xf>
    <xf numFmtId="9" fontId="1" fillId="0" borderId="2" xfId="2" applyNumberFormat="1">
      <alignment vertical="top" wrapText="1"/>
    </xf>
    <xf numFmtId="0" fontId="0" fillId="6" borderId="2" xfId="11" applyFont="1" applyFill="1">
      <alignment horizontal="center" vertical="center" wrapText="1"/>
    </xf>
    <xf numFmtId="0" fontId="0" fillId="0" borderId="2" xfId="11" applyFont="1">
      <alignment horizontal="center" vertical="center" wrapText="1"/>
    </xf>
    <xf numFmtId="0" fontId="0" fillId="7" borderId="2" xfId="11" applyFont="1" applyFill="1">
      <alignment horizontal="center" vertical="center" wrapText="1"/>
    </xf>
    <xf numFmtId="0" fontId="0" fillId="8" borderId="2" xfId="11" applyFont="1" applyFill="1">
      <alignment horizontal="center" vertical="center" wrapText="1"/>
    </xf>
    <xf numFmtId="0" fontId="1" fillId="0" borderId="2" xfId="11">
      <alignment horizontal="center" vertical="center" wrapText="1"/>
    </xf>
    <xf numFmtId="0" fontId="0" fillId="9" borderId="0" xfId="0" applyFill="1"/>
    <xf numFmtId="177" fontId="1" fillId="0" borderId="0" xfId="2" applyNumberFormat="1" applyFill="1" applyBorder="1">
      <alignment vertical="top" wrapText="1"/>
    </xf>
    <xf numFmtId="177" fontId="0" fillId="0" borderId="0" xfId="0" applyNumberFormat="1"/>
    <xf numFmtId="0" fontId="1" fillId="0" borderId="2" xfId="11">
      <alignment horizontal="center" vertical="center" wrapText="1"/>
    </xf>
    <xf numFmtId="0" fontId="2" fillId="0" borderId="1" xfId="1">
      <alignment horizontal="center" vertical="center"/>
    </xf>
    <xf numFmtId="0" fontId="2" fillId="0" borderId="1" xfId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11">
      <alignment horizontal="center" vertical="center" wrapText="1"/>
    </xf>
    <xf numFmtId="0" fontId="1" fillId="0" borderId="5" xfId="11" applyBorder="1" applyAlignment="1">
      <alignment horizontal="center" vertical="center" wrapText="1"/>
    </xf>
    <xf numFmtId="0" fontId="1" fillId="0" borderId="3" xfId="11" applyBorder="1" applyAlignment="1">
      <alignment horizontal="center" vertical="center" wrapText="1"/>
    </xf>
  </cellXfs>
  <cellStyles count="12">
    <cellStyle name="Grid" xfId="2"/>
    <cellStyle name="Grid_Center" xfId="11"/>
    <cellStyle name="Normal" xfId="10"/>
    <cellStyle name="变量类型" xfId="5"/>
    <cellStyle name="标题" xfId="3" builtinId="15" hidden="1"/>
    <cellStyle name="常规" xfId="0" builtinId="0"/>
    <cellStyle name="常规 2" xfId="8"/>
    <cellStyle name="常规 3" xfId="9"/>
    <cellStyle name="大标题" xfId="1"/>
    <cellStyle name="因变Grid" xfId="7"/>
    <cellStyle name="英文标题" xfId="4"/>
    <cellStyle name="中文标题" xfId="6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31574;&#21010;&#30446;&#24405;\&#25968;&#20540;&#35774;&#35745;\&#21345;&#29260;&#25237;&#2591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名称表"/>
      <sheetName val="卡牌图鉴"/>
      <sheetName val="数值规划表"/>
      <sheetName val="产销规划表"/>
      <sheetName val="monster"/>
      <sheetName val="skill"/>
      <sheetName val="buff"/>
      <sheetName val="progress"/>
      <sheetName val="觉醒脑洞"/>
      <sheetName val="主角技能"/>
      <sheetName val="组队本设计"/>
    </sheetNames>
    <sheetDataSet>
      <sheetData sheetId="0">
        <row r="4">
          <cell r="A4" t="str">
            <v>普通</v>
          </cell>
        </row>
        <row r="5">
          <cell r="A5" t="str">
            <v>优秀</v>
          </cell>
        </row>
        <row r="6">
          <cell r="A6" t="str">
            <v>精良</v>
          </cell>
        </row>
        <row r="7">
          <cell r="A7" t="str">
            <v>史诗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19" sqref="E19"/>
    </sheetView>
  </sheetViews>
  <sheetFormatPr defaultRowHeight="13.5" x14ac:dyDescent="0.15"/>
  <cols>
    <col min="1" max="1" width="10.625" customWidth="1"/>
  </cols>
  <sheetData>
    <row r="1" spans="1:4" s="1" customFormat="1" x14ac:dyDescent="0.15"/>
    <row r="2" spans="1:4" s="1" customFormat="1" x14ac:dyDescent="0.15">
      <c r="A2" s="5" t="s">
        <v>117</v>
      </c>
      <c r="B2" s="7">
        <v>25</v>
      </c>
    </row>
    <row r="3" spans="1:4" ht="20.25" x14ac:dyDescent="0.15">
      <c r="A3" s="25" t="s">
        <v>110</v>
      </c>
      <c r="B3" s="25"/>
      <c r="C3" s="25"/>
    </row>
    <row r="4" spans="1:4" x14ac:dyDescent="0.15">
      <c r="A4" s="10" t="s">
        <v>111</v>
      </c>
      <c r="B4" s="10" t="s">
        <v>112</v>
      </c>
      <c r="C4" s="10" t="s">
        <v>24</v>
      </c>
    </row>
    <row r="5" spans="1:4" x14ac:dyDescent="0.15">
      <c r="A5" t="s">
        <v>24</v>
      </c>
      <c r="B5">
        <f>1/钻石兑金币</f>
        <v>0.04</v>
      </c>
      <c r="C5">
        <v>1</v>
      </c>
    </row>
    <row r="6" spans="1:4" x14ac:dyDescent="0.15">
      <c r="A6" t="s">
        <v>113</v>
      </c>
      <c r="B6">
        <v>0.4</v>
      </c>
      <c r="C6">
        <f t="shared" ref="C6:C17" si="0">B6*钻石兑金币</f>
        <v>10</v>
      </c>
    </row>
    <row r="7" spans="1:4" x14ac:dyDescent="0.15">
      <c r="A7" t="s">
        <v>114</v>
      </c>
      <c r="B7">
        <v>5</v>
      </c>
      <c r="C7" s="1">
        <f t="shared" si="0"/>
        <v>125</v>
      </c>
    </row>
    <row r="8" spans="1:4" x14ac:dyDescent="0.15">
      <c r="A8" t="s">
        <v>115</v>
      </c>
      <c r="B8">
        <v>0.5</v>
      </c>
      <c r="C8" s="1">
        <f t="shared" si="0"/>
        <v>12.5</v>
      </c>
    </row>
    <row r="9" spans="1:4" x14ac:dyDescent="0.15">
      <c r="A9" t="s">
        <v>116</v>
      </c>
      <c r="B9">
        <v>1</v>
      </c>
      <c r="C9" s="1">
        <f t="shared" si="0"/>
        <v>25</v>
      </c>
    </row>
    <row r="10" spans="1:4" x14ac:dyDescent="0.15">
      <c r="A10" t="s">
        <v>357</v>
      </c>
      <c r="B10">
        <v>9</v>
      </c>
      <c r="C10" s="1">
        <f t="shared" si="0"/>
        <v>225</v>
      </c>
    </row>
    <row r="11" spans="1:4" x14ac:dyDescent="0.15">
      <c r="A11" t="s">
        <v>358</v>
      </c>
      <c r="B11">
        <v>27</v>
      </c>
      <c r="C11" s="1">
        <f t="shared" si="0"/>
        <v>675</v>
      </c>
    </row>
    <row r="12" spans="1:4" x14ac:dyDescent="0.15">
      <c r="A12" t="s">
        <v>359</v>
      </c>
      <c r="B12">
        <v>75</v>
      </c>
      <c r="C12" s="1">
        <f t="shared" si="0"/>
        <v>1875</v>
      </c>
    </row>
    <row r="13" spans="1:4" x14ac:dyDescent="0.15">
      <c r="A13" t="s">
        <v>360</v>
      </c>
      <c r="B13">
        <v>350</v>
      </c>
      <c r="C13" s="1">
        <f t="shared" si="0"/>
        <v>8750</v>
      </c>
      <c r="D13" s="1"/>
    </row>
    <row r="14" spans="1:4" x14ac:dyDescent="0.15">
      <c r="A14" t="s">
        <v>361</v>
      </c>
      <c r="B14">
        <v>15</v>
      </c>
      <c r="C14" s="1">
        <f t="shared" si="0"/>
        <v>375</v>
      </c>
    </row>
    <row r="15" spans="1:4" x14ac:dyDescent="0.15">
      <c r="A15" t="s">
        <v>362</v>
      </c>
      <c r="B15">
        <v>40</v>
      </c>
      <c r="C15" s="1">
        <f t="shared" si="0"/>
        <v>1000</v>
      </c>
    </row>
    <row r="16" spans="1:4" x14ac:dyDescent="0.15">
      <c r="A16" t="s">
        <v>363</v>
      </c>
      <c r="B16">
        <v>2000</v>
      </c>
      <c r="C16" s="1">
        <f t="shared" si="0"/>
        <v>50000</v>
      </c>
    </row>
    <row r="17" spans="1:3" x14ac:dyDescent="0.15">
      <c r="A17" t="s">
        <v>364</v>
      </c>
      <c r="B17">
        <v>12</v>
      </c>
      <c r="C17" s="1">
        <f t="shared" si="0"/>
        <v>300</v>
      </c>
    </row>
  </sheetData>
  <mergeCells count="1">
    <mergeCell ref="A3:C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zoomScaleNormal="100" workbookViewId="0">
      <selection activeCell="L14" sqref="L14"/>
    </sheetView>
  </sheetViews>
  <sheetFormatPr defaultRowHeight="13.5" x14ac:dyDescent="0.15"/>
  <cols>
    <col min="1" max="1" width="10.75" customWidth="1"/>
    <col min="2" max="2" width="12.75" bestFit="1" customWidth="1"/>
    <col min="3" max="3" width="11.25" customWidth="1"/>
    <col min="4" max="4" width="10.75" customWidth="1"/>
    <col min="5" max="5" width="10.75" style="1" customWidth="1"/>
    <col min="6" max="6" width="9.75" customWidth="1"/>
    <col min="7" max="7" width="11.75" customWidth="1"/>
    <col min="8" max="8" width="9.25" customWidth="1"/>
    <col min="9" max="9" width="9.125" customWidth="1"/>
    <col min="10" max="10" width="11.75" customWidth="1"/>
    <col min="11" max="11" width="9.25" style="1" customWidth="1"/>
    <col min="12" max="12" width="9.5" customWidth="1"/>
    <col min="13" max="13" width="9.75" customWidth="1"/>
    <col min="15" max="16" width="10.625" customWidth="1"/>
    <col min="21" max="21" width="9.75" customWidth="1"/>
  </cols>
  <sheetData>
    <row r="1" spans="1:25" x14ac:dyDescent="0.15">
      <c r="A1" s="5" t="s">
        <v>77</v>
      </c>
      <c r="B1" s="7">
        <v>360</v>
      </c>
      <c r="C1" s="5" t="s">
        <v>100</v>
      </c>
      <c r="D1" s="7">
        <v>12</v>
      </c>
      <c r="E1" s="5" t="s">
        <v>109</v>
      </c>
      <c r="F1" s="7">
        <v>50</v>
      </c>
    </row>
    <row r="2" spans="1:25" s="1" customFormat="1" x14ac:dyDescent="0.15"/>
    <row r="3" spans="1:25" ht="20.25" x14ac:dyDescent="0.15">
      <c r="A3" s="25" t="s">
        <v>76</v>
      </c>
      <c r="B3" s="25"/>
      <c r="C3" s="25"/>
      <c r="D3" s="25"/>
      <c r="E3" s="25"/>
      <c r="F3" s="25"/>
      <c r="G3" s="25"/>
      <c r="I3" s="26" t="s">
        <v>157</v>
      </c>
      <c r="J3" s="26"/>
      <c r="K3" s="26"/>
      <c r="L3" s="26"/>
      <c r="M3" s="1"/>
      <c r="O3" s="25" t="s">
        <v>118</v>
      </c>
      <c r="P3" s="25"/>
      <c r="Q3" s="25"/>
      <c r="R3" s="25"/>
      <c r="S3" s="25"/>
      <c r="U3" s="25" t="s">
        <v>126</v>
      </c>
      <c r="V3" s="25"/>
      <c r="W3" s="25"/>
      <c r="X3" s="25"/>
    </row>
    <row r="4" spans="1:25" x14ac:dyDescent="0.15">
      <c r="A4" s="10" t="s">
        <v>74</v>
      </c>
      <c r="B4" s="10" t="s">
        <v>73</v>
      </c>
      <c r="C4" s="10" t="s">
        <v>407</v>
      </c>
      <c r="D4" s="10" t="s">
        <v>408</v>
      </c>
      <c r="E4" s="10" t="s">
        <v>386</v>
      </c>
      <c r="F4" s="10" t="s">
        <v>96</v>
      </c>
      <c r="G4" s="10" t="s">
        <v>75</v>
      </c>
      <c r="I4" s="11" t="s">
        <v>92</v>
      </c>
      <c r="J4" s="11" t="s">
        <v>93</v>
      </c>
      <c r="K4" s="11" t="s">
        <v>158</v>
      </c>
      <c r="L4" s="11" t="s">
        <v>97</v>
      </c>
      <c r="P4" s="10" t="s">
        <v>119</v>
      </c>
      <c r="Q4" s="10" t="s">
        <v>120</v>
      </c>
      <c r="R4" s="10" t="s">
        <v>121</v>
      </c>
      <c r="S4" s="10" t="s">
        <v>122</v>
      </c>
      <c r="U4" s="11" t="s">
        <v>130</v>
      </c>
      <c r="V4" s="11" t="s">
        <v>129</v>
      </c>
      <c r="W4" s="11" t="s">
        <v>127</v>
      </c>
      <c r="X4" s="11" t="s">
        <v>128</v>
      </c>
    </row>
    <row r="5" spans="1:25" x14ac:dyDescent="0.15">
      <c r="A5" s="8">
        <v>1</v>
      </c>
      <c r="B5" s="8">
        <v>0.7</v>
      </c>
      <c r="C5" s="8">
        <v>0.1</v>
      </c>
      <c r="D5" s="8">
        <v>0.05</v>
      </c>
      <c r="E5" s="8">
        <v>0</v>
      </c>
      <c r="F5" s="8">
        <v>0</v>
      </c>
      <c r="G5" s="9">
        <v>0.15</v>
      </c>
      <c r="I5" s="8">
        <v>1</v>
      </c>
      <c r="J5" s="8">
        <v>1</v>
      </c>
      <c r="K5" s="8"/>
      <c r="O5" s="5" t="s">
        <v>123</v>
      </c>
      <c r="P5" s="7">
        <v>25</v>
      </c>
      <c r="Q5" s="7">
        <v>50</v>
      </c>
      <c r="R5" s="7">
        <v>3</v>
      </c>
      <c r="S5" s="7"/>
      <c r="U5" s="7">
        <f>SUM(R21:R49)</f>
        <v>497.53710135079859</v>
      </c>
      <c r="V5" s="7" t="str">
        <f>INT(W5/U13*V13)&amp;"钻"</f>
        <v>4905钻</v>
      </c>
      <c r="W5" s="7">
        <f>SUM(S21:S49)</f>
        <v>49050</v>
      </c>
      <c r="X5" s="7">
        <f>INT(G6/卡牌总数)</f>
        <v>80635</v>
      </c>
    </row>
    <row r="6" spans="1:25" x14ac:dyDescent="0.15">
      <c r="A6" s="6">
        <f>INT(B6/B5)</f>
        <v>26878571</v>
      </c>
      <c r="B6" s="6">
        <f>SUM(卡牌突破消耗!F6:F16)*卡牌总数</f>
        <v>18815000</v>
      </c>
      <c r="C6" s="6">
        <f>INT($A6*C5)</f>
        <v>2687857</v>
      </c>
      <c r="D6" s="6">
        <f t="shared" ref="D6:G6" si="0">INT($A6*D5)</f>
        <v>1343928</v>
      </c>
      <c r="E6" s="6">
        <f t="shared" si="0"/>
        <v>0</v>
      </c>
      <c r="F6" s="6">
        <f t="shared" si="0"/>
        <v>0</v>
      </c>
      <c r="G6" s="6">
        <f t="shared" si="0"/>
        <v>4031785</v>
      </c>
      <c r="I6" s="6">
        <f>J6/J5</f>
        <v>1250000</v>
      </c>
      <c r="J6" s="6">
        <f>SUM(卡牌突破消耗!L7:L16)*卡牌总数*P5</f>
        <v>1250000</v>
      </c>
      <c r="K6" s="6">
        <f>I6*K5</f>
        <v>0</v>
      </c>
      <c r="L6" s="6"/>
      <c r="O6" s="5" t="s">
        <v>124</v>
      </c>
      <c r="P6" s="7">
        <f>P5*蓝晶石价格</f>
        <v>10</v>
      </c>
      <c r="Q6" s="7">
        <f>Q5/钻石兑金币</f>
        <v>2</v>
      </c>
      <c r="R6" s="7">
        <f>R5*活力价格</f>
        <v>3</v>
      </c>
      <c r="S6" s="7">
        <f>SUM(P6:R6)</f>
        <v>15</v>
      </c>
      <c r="U6" s="1"/>
      <c r="V6" s="1"/>
      <c r="W6" s="1"/>
      <c r="X6" s="1"/>
    </row>
    <row r="7" spans="1:25" x14ac:dyDescent="0.15">
      <c r="F7">
        <f>INT(F6/SUM(卡牌突破消耗!L7:L16)/卡牌总数)</f>
        <v>0</v>
      </c>
      <c r="G7" s="1">
        <f>G6/卡牌总数</f>
        <v>80635.7</v>
      </c>
      <c r="I7" s="6">
        <f>I6/生命周期/24/3</f>
        <v>48.22530864197531</v>
      </c>
      <c r="J7" s="6"/>
      <c r="K7" s="6">
        <f>K6*0.3</f>
        <v>0</v>
      </c>
      <c r="L7" s="6"/>
      <c r="O7" s="5" t="s">
        <v>125</v>
      </c>
      <c r="P7" s="8">
        <f>P6/$S$6</f>
        <v>0.66666666666666663</v>
      </c>
      <c r="Q7" s="8">
        <f t="shared" ref="Q7:R7" si="1">Q6/$S$6</f>
        <v>0.13333333333333333</v>
      </c>
      <c r="R7" s="8">
        <f t="shared" si="1"/>
        <v>0.2</v>
      </c>
      <c r="S7" s="7"/>
    </row>
    <row r="8" spans="1:25" x14ac:dyDescent="0.15">
      <c r="G8">
        <f>INT(G7/SUM(R21:R49)/2)</f>
        <v>81</v>
      </c>
      <c r="U8" t="s">
        <v>387</v>
      </c>
    </row>
    <row r="9" spans="1:25" ht="20.25" x14ac:dyDescent="0.15">
      <c r="A9" s="26" t="s">
        <v>78</v>
      </c>
      <c r="B9" s="26"/>
      <c r="C9" s="26"/>
      <c r="D9" s="26"/>
      <c r="E9" s="26"/>
      <c r="F9" s="26"/>
      <c r="G9" s="26"/>
      <c r="H9" s="1"/>
      <c r="I9" s="13"/>
      <c r="U9" s="25" t="s">
        <v>131</v>
      </c>
      <c r="V9" s="25"/>
      <c r="W9" s="25"/>
      <c r="X9" s="25"/>
      <c r="Y9" s="25"/>
    </row>
    <row r="10" spans="1:25" x14ac:dyDescent="0.15">
      <c r="A10" s="10" t="s">
        <v>79</v>
      </c>
      <c r="B10" s="10" t="s">
        <v>80</v>
      </c>
      <c r="C10" s="10" t="s">
        <v>81</v>
      </c>
      <c r="D10" s="10" t="s">
        <v>82</v>
      </c>
      <c r="E10" s="10" t="s">
        <v>304</v>
      </c>
      <c r="F10" s="10" t="s">
        <v>305</v>
      </c>
      <c r="G10" s="10" t="s">
        <v>365</v>
      </c>
      <c r="I10" s="1"/>
      <c r="U10" s="10" t="s">
        <v>132</v>
      </c>
      <c r="V10" s="10" t="s">
        <v>133</v>
      </c>
      <c r="W10" s="10" t="s">
        <v>134</v>
      </c>
      <c r="X10" s="10" t="s">
        <v>121</v>
      </c>
      <c r="Y10" s="10" t="s">
        <v>120</v>
      </c>
    </row>
    <row r="11" spans="1:25" x14ac:dyDescent="0.15">
      <c r="A11" s="8">
        <v>1</v>
      </c>
      <c r="B11" s="8">
        <v>0.35</v>
      </c>
      <c r="C11" s="8">
        <v>0.46</v>
      </c>
      <c r="D11" s="8">
        <v>0.05</v>
      </c>
      <c r="E11" s="8">
        <v>0.09</v>
      </c>
      <c r="F11" s="8">
        <v>0.05</v>
      </c>
      <c r="G11" s="3">
        <v>0</v>
      </c>
      <c r="I11" s="1"/>
      <c r="U11" s="7">
        <v>50</v>
      </c>
      <c r="V11" s="7">
        <f>X11*活力价格+Y11/钻石兑金币</f>
        <v>9</v>
      </c>
      <c r="W11" s="7">
        <v>10</v>
      </c>
      <c r="X11" s="7">
        <v>5</v>
      </c>
      <c r="Y11" s="7">
        <v>100</v>
      </c>
    </row>
    <row r="12" spans="1:25" x14ac:dyDescent="0.15">
      <c r="A12" s="5" t="s">
        <v>83</v>
      </c>
      <c r="B12" s="6">
        <f>$A$6*B11</f>
        <v>9407499.8499999996</v>
      </c>
      <c r="C12" s="6">
        <f t="shared" ref="C12:D12" si="2">$A$6*C11</f>
        <v>12364142.66</v>
      </c>
      <c r="D12" s="6">
        <f t="shared" si="2"/>
        <v>1343928.55</v>
      </c>
      <c r="E12" s="6">
        <f>$A$6*E11</f>
        <v>2419071.39</v>
      </c>
      <c r="F12" s="6">
        <f>$A$6*F11</f>
        <v>1343928.55</v>
      </c>
      <c r="G12" s="6">
        <f>$A$6*G11</f>
        <v>0</v>
      </c>
      <c r="I12" s="1"/>
      <c r="U12" s="7">
        <v>300</v>
      </c>
      <c r="V12" s="7">
        <f>X12*活力价格+Y12/钻石兑金币</f>
        <v>41</v>
      </c>
      <c r="W12" s="7">
        <v>50</v>
      </c>
      <c r="X12" s="7">
        <v>25</v>
      </c>
      <c r="Y12" s="7">
        <v>400</v>
      </c>
    </row>
    <row r="13" spans="1:25" x14ac:dyDescent="0.15">
      <c r="A13" s="5" t="s">
        <v>84</v>
      </c>
      <c r="B13" s="6">
        <f>INT(B12/$B$1)</f>
        <v>26131</v>
      </c>
      <c r="C13" s="6">
        <f t="shared" ref="C13:D13" si="3">INT(C12/$B$1)</f>
        <v>34344</v>
      </c>
      <c r="D13" s="6">
        <f t="shared" si="3"/>
        <v>3733</v>
      </c>
      <c r="E13" s="6">
        <f>INT(E12/$B$1)</f>
        <v>6719</v>
      </c>
      <c r="F13" s="6">
        <f>INT(F12/$B$1)</f>
        <v>3733</v>
      </c>
      <c r="G13" s="6">
        <f>INT(G12/$B$1)</f>
        <v>0</v>
      </c>
      <c r="I13" s="1"/>
      <c r="U13" s="7">
        <v>1000</v>
      </c>
      <c r="V13" s="7">
        <f>X13*活力价格+Y13/钻石兑金币</f>
        <v>100</v>
      </c>
      <c r="W13" s="7">
        <v>120</v>
      </c>
      <c r="X13" s="7">
        <v>60</v>
      </c>
      <c r="Y13" s="7">
        <v>1000</v>
      </c>
    </row>
    <row r="14" spans="1:25" x14ac:dyDescent="0.15">
      <c r="A14" s="5" t="s">
        <v>85</v>
      </c>
      <c r="B14" s="7">
        <v>12</v>
      </c>
      <c r="C14" s="7">
        <v>72</v>
      </c>
      <c r="D14" s="7">
        <v>10</v>
      </c>
      <c r="E14" s="14">
        <v>3</v>
      </c>
      <c r="F14" s="14">
        <v>1</v>
      </c>
      <c r="G14" s="14">
        <v>1</v>
      </c>
      <c r="I14" s="1"/>
    </row>
    <row r="15" spans="1:25" x14ac:dyDescent="0.15">
      <c r="A15" s="5" t="s">
        <v>86</v>
      </c>
      <c r="B15" s="6">
        <f>INT(B13/B14)</f>
        <v>2177</v>
      </c>
      <c r="C15" s="6">
        <f t="shared" ref="C15:D15" si="4">INT(C13/C14)</f>
        <v>477</v>
      </c>
      <c r="D15" s="6">
        <f t="shared" si="4"/>
        <v>373</v>
      </c>
      <c r="E15" s="6">
        <f>INT(E13/E14)</f>
        <v>2239</v>
      </c>
      <c r="F15" s="6">
        <f>INT(F13/F14)</f>
        <v>3733</v>
      </c>
      <c r="G15" s="6">
        <f>INT(G13/G14)</f>
        <v>0</v>
      </c>
    </row>
    <row r="16" spans="1:25" x14ac:dyDescent="0.15">
      <c r="R16">
        <f>SUM(R21:R50)</f>
        <v>550.52006945886251</v>
      </c>
    </row>
    <row r="17" spans="1:20" x14ac:dyDescent="0.15">
      <c r="B17" s="7">
        <v>2.1999999999999999E-2</v>
      </c>
      <c r="C17" s="7">
        <v>0.25</v>
      </c>
      <c r="R17">
        <v>0.42</v>
      </c>
      <c r="S17">
        <f>SUM(S21:S49)</f>
        <v>49050</v>
      </c>
    </row>
    <row r="18" spans="1:20" s="1" customFormat="1" x14ac:dyDescent="0.15">
      <c r="B18" s="7">
        <v>1.0249999999999999</v>
      </c>
      <c r="C18" s="7">
        <v>1.1499999999999999</v>
      </c>
      <c r="D18" s="6">
        <f>SUM(C21:C50)</f>
        <v>1109.3203903428594</v>
      </c>
      <c r="L18" s="1">
        <f>10*24*3600</f>
        <v>864000</v>
      </c>
      <c r="R18" s="1">
        <v>1.08</v>
      </c>
      <c r="S18" s="1">
        <v>100</v>
      </c>
    </row>
    <row r="19" spans="1:20" s="1" customFormat="1" ht="20.25" customHeight="1" x14ac:dyDescent="0.15">
      <c r="A19" s="26" t="s">
        <v>88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R19" s="25" t="s">
        <v>106</v>
      </c>
      <c r="S19" s="25"/>
    </row>
    <row r="20" spans="1:20" x14ac:dyDescent="0.15">
      <c r="A20" s="10" t="s">
        <v>87</v>
      </c>
      <c r="B20" s="10" t="s">
        <v>89</v>
      </c>
      <c r="C20" s="10" t="s">
        <v>90</v>
      </c>
      <c r="D20" s="10" t="s">
        <v>91</v>
      </c>
      <c r="E20" s="10" t="s">
        <v>94</v>
      </c>
      <c r="F20" s="10" t="s">
        <v>159</v>
      </c>
      <c r="G20" s="10" t="s">
        <v>95</v>
      </c>
      <c r="H20" s="10" t="s">
        <v>98</v>
      </c>
      <c r="I20" s="10" t="s">
        <v>160</v>
      </c>
      <c r="J20" s="10" t="s">
        <v>385</v>
      </c>
      <c r="K20" s="12" t="s">
        <v>102</v>
      </c>
      <c r="L20" s="12" t="s">
        <v>103</v>
      </c>
      <c r="M20" s="12" t="s">
        <v>104</v>
      </c>
      <c r="N20" s="12" t="s">
        <v>262</v>
      </c>
      <c r="O20" s="12" t="s">
        <v>261</v>
      </c>
      <c r="R20" s="11" t="s">
        <v>107</v>
      </c>
      <c r="S20" s="11" t="s">
        <v>108</v>
      </c>
      <c r="T20" s="11" t="s">
        <v>141</v>
      </c>
    </row>
    <row r="21" spans="1:20" x14ac:dyDescent="0.15">
      <c r="A21" s="7">
        <v>1</v>
      </c>
      <c r="B21" s="8">
        <v>0.05</v>
      </c>
      <c r="C21" s="7">
        <v>1</v>
      </c>
      <c r="D21" s="8">
        <f>C21/$D$18</f>
        <v>9.0145282526622305E-4</v>
      </c>
      <c r="E21">
        <f t="shared" ref="E21:E50" si="5">INT($C$15*B21)</f>
        <v>23</v>
      </c>
      <c r="F21">
        <f t="shared" ref="F21:F50" si="6">INT(D21*$D$6)</f>
        <v>1211</v>
      </c>
      <c r="G21">
        <f>F21/(E22-E21)/24/3</f>
        <v>1.529040404040404</v>
      </c>
      <c r="H21" s="1">
        <v>2</v>
      </c>
      <c r="I21">
        <f t="shared" ref="I21:I50" si="7">INT($C$6*D21)</f>
        <v>2422</v>
      </c>
      <c r="J21" s="23">
        <f>I21/((H22-H21)*资源价值!$C$6)/3/24</f>
        <v>1.6819444444444445</v>
      </c>
      <c r="K21">
        <f t="shared" ref="K21:K50" si="8">INT($L$18*D21)</f>
        <v>778</v>
      </c>
      <c r="L21">
        <v>0.2</v>
      </c>
      <c r="M21">
        <f>ROUND(K21*L21/60,0)*60</f>
        <v>180</v>
      </c>
      <c r="N21" s="1">
        <f t="shared" ref="N21:N50" si="9">ROUND(F21/500,0)*500</f>
        <v>1000</v>
      </c>
      <c r="O21">
        <f>ROUND(I21/500,0)*500</f>
        <v>2500</v>
      </c>
      <c r="R21">
        <v>1</v>
      </c>
      <c r="S21">
        <f>INT(R21*$S$18/50)*50</f>
        <v>100</v>
      </c>
      <c r="T21" s="2">
        <f>ROUND(R21/$R$16,4)</f>
        <v>1.8E-3</v>
      </c>
    </row>
    <row r="22" spans="1:20" x14ac:dyDescent="0.15">
      <c r="A22" s="7">
        <v>2</v>
      </c>
      <c r="B22" s="8">
        <f>B21*$B$18+$B$17</f>
        <v>7.3249999999999996E-2</v>
      </c>
      <c r="C22" s="7">
        <f t="shared" ref="C22:C50" si="10">C21*$C$18+$C$17</f>
        <v>1.4</v>
      </c>
      <c r="D22" s="8">
        <f t="shared" ref="D22:D50" si="11">C22/$D$18</f>
        <v>1.2620339553727122E-3</v>
      </c>
      <c r="E22" s="1">
        <f t="shared" si="5"/>
        <v>34</v>
      </c>
      <c r="F22" s="1">
        <f t="shared" si="6"/>
        <v>1696</v>
      </c>
      <c r="G22" s="1">
        <f t="shared" ref="G22:G49" si="12">F22/(E23-E22)/24/3</f>
        <v>1.962962962962963</v>
      </c>
      <c r="H22" s="1">
        <v>4</v>
      </c>
      <c r="I22" s="1">
        <f t="shared" si="7"/>
        <v>3392</v>
      </c>
      <c r="J22" s="23">
        <f>I22/((H23-H22)*资源价值!$C$6)/3/24</f>
        <v>2.3555555555555556</v>
      </c>
      <c r="K22" s="1">
        <f t="shared" si="8"/>
        <v>1090</v>
      </c>
      <c r="L22">
        <v>0.3</v>
      </c>
      <c r="M22" s="1">
        <f t="shared" ref="M22:M50" si="13">ROUND(K22*L22/60,0)*60</f>
        <v>300</v>
      </c>
      <c r="N22" s="1">
        <f t="shared" si="9"/>
        <v>1500</v>
      </c>
      <c r="O22" s="1">
        <f t="shared" ref="O22:O50" si="14">ROUND(I22/500,0)*500</f>
        <v>3500</v>
      </c>
      <c r="R22">
        <f>R21*$R$18+$R$17</f>
        <v>1.5</v>
      </c>
      <c r="S22" s="1">
        <f t="shared" ref="S22:S50" si="15">INT(R22*$S$18/50)*50</f>
        <v>150</v>
      </c>
      <c r="T22" s="2">
        <f t="shared" ref="T22:T50" si="16">ROUND(R22/$R$16,4)</f>
        <v>2.7000000000000001E-3</v>
      </c>
    </row>
    <row r="23" spans="1:20" x14ac:dyDescent="0.15">
      <c r="A23" s="7">
        <v>3</v>
      </c>
      <c r="B23" s="8">
        <f t="shared" ref="B23:B50" si="17">B22*$B$18+$B$17</f>
        <v>9.708124999999998E-2</v>
      </c>
      <c r="C23" s="7">
        <f t="shared" si="10"/>
        <v>1.8599999999999999</v>
      </c>
      <c r="D23" s="8">
        <f t="shared" si="11"/>
        <v>1.6767022549951749E-3</v>
      </c>
      <c r="E23" s="1">
        <f t="shared" si="5"/>
        <v>46</v>
      </c>
      <c r="F23" s="1">
        <f t="shared" si="6"/>
        <v>2253</v>
      </c>
      <c r="G23" s="1">
        <f t="shared" si="12"/>
        <v>2.8446969696969693</v>
      </c>
      <c r="H23" s="1">
        <v>6</v>
      </c>
      <c r="I23" s="1">
        <f t="shared" si="7"/>
        <v>4506</v>
      </c>
      <c r="J23" s="23">
        <f>I23/((H24-H23)*资源价值!$C$6)/3/24</f>
        <v>3.1291666666666669</v>
      </c>
      <c r="K23" s="1">
        <f t="shared" si="8"/>
        <v>1448</v>
      </c>
      <c r="L23" s="1">
        <v>0.4</v>
      </c>
      <c r="M23" s="1">
        <f t="shared" si="13"/>
        <v>600</v>
      </c>
      <c r="N23" s="1">
        <f t="shared" si="9"/>
        <v>2500</v>
      </c>
      <c r="O23" s="1">
        <f t="shared" si="14"/>
        <v>4500</v>
      </c>
      <c r="R23" s="1">
        <f t="shared" ref="R23:R50" si="18">R22*$R$18+$R$17</f>
        <v>2.04</v>
      </c>
      <c r="S23" s="1">
        <f t="shared" si="15"/>
        <v>200</v>
      </c>
      <c r="T23" s="2">
        <f t="shared" si="16"/>
        <v>3.7000000000000002E-3</v>
      </c>
    </row>
    <row r="24" spans="1:20" x14ac:dyDescent="0.15">
      <c r="A24" s="7">
        <v>4</v>
      </c>
      <c r="B24" s="8">
        <f t="shared" si="17"/>
        <v>0.12150828124999996</v>
      </c>
      <c r="C24" s="7">
        <f t="shared" si="10"/>
        <v>2.3889999999999998</v>
      </c>
      <c r="D24" s="8">
        <f t="shared" si="11"/>
        <v>2.1535707995610069E-3</v>
      </c>
      <c r="E24" s="1">
        <f t="shared" si="5"/>
        <v>57</v>
      </c>
      <c r="F24" s="1">
        <f t="shared" si="6"/>
        <v>2894</v>
      </c>
      <c r="G24" s="1">
        <f t="shared" si="12"/>
        <v>3.3495370370370368</v>
      </c>
      <c r="H24" s="1">
        <v>8</v>
      </c>
      <c r="I24" s="1">
        <f t="shared" si="7"/>
        <v>5788</v>
      </c>
      <c r="J24" s="23">
        <f>I24/((H25-H24)*资源价值!$C$6)/3/24</f>
        <v>4.0194444444444439</v>
      </c>
      <c r="K24" s="1">
        <f t="shared" si="8"/>
        <v>1860</v>
      </c>
      <c r="L24" s="1">
        <v>0.5</v>
      </c>
      <c r="M24" s="1">
        <f t="shared" si="13"/>
        <v>960</v>
      </c>
      <c r="N24" s="1">
        <f t="shared" si="9"/>
        <v>3000</v>
      </c>
      <c r="O24" s="1">
        <f t="shared" si="14"/>
        <v>6000</v>
      </c>
      <c r="R24" s="1">
        <f t="shared" si="18"/>
        <v>2.6232000000000002</v>
      </c>
      <c r="S24" s="1">
        <f t="shared" si="15"/>
        <v>250</v>
      </c>
      <c r="T24" s="2">
        <f t="shared" si="16"/>
        <v>4.7999999999999996E-3</v>
      </c>
    </row>
    <row r="25" spans="1:20" x14ac:dyDescent="0.15">
      <c r="A25" s="7">
        <v>5</v>
      </c>
      <c r="B25" s="8">
        <f t="shared" si="17"/>
        <v>0.14654598828124996</v>
      </c>
      <c r="C25" s="7">
        <f t="shared" si="10"/>
        <v>2.9973499999999995</v>
      </c>
      <c r="D25" s="8">
        <f t="shared" si="11"/>
        <v>2.7019696258117135E-3</v>
      </c>
      <c r="E25" s="1">
        <f t="shared" si="5"/>
        <v>69</v>
      </c>
      <c r="F25" s="1">
        <f t="shared" si="6"/>
        <v>3631</v>
      </c>
      <c r="G25" s="1">
        <f t="shared" si="12"/>
        <v>3.8792735042735043</v>
      </c>
      <c r="H25" s="1">
        <v>10</v>
      </c>
      <c r="I25" s="1">
        <f t="shared" si="7"/>
        <v>7262</v>
      </c>
      <c r="J25" s="23">
        <f>I25/((H26-H25)*资源价值!$C$6)/3/24</f>
        <v>5.0430555555555561</v>
      </c>
      <c r="K25" s="1">
        <f t="shared" si="8"/>
        <v>2334</v>
      </c>
      <c r="L25" s="1">
        <v>0.6</v>
      </c>
      <c r="M25" s="1">
        <f t="shared" si="13"/>
        <v>1380</v>
      </c>
      <c r="N25" s="1">
        <f t="shared" si="9"/>
        <v>3500</v>
      </c>
      <c r="O25" s="1">
        <f t="shared" si="14"/>
        <v>7500</v>
      </c>
      <c r="R25" s="1">
        <f t="shared" si="18"/>
        <v>3.2530560000000004</v>
      </c>
      <c r="S25" s="1">
        <f t="shared" si="15"/>
        <v>300</v>
      </c>
      <c r="T25" s="2">
        <f t="shared" si="16"/>
        <v>5.8999999999999999E-3</v>
      </c>
    </row>
    <row r="26" spans="1:20" x14ac:dyDescent="0.15">
      <c r="A26" s="7">
        <v>6</v>
      </c>
      <c r="B26" s="8">
        <f t="shared" si="17"/>
        <v>0.17220963798828118</v>
      </c>
      <c r="C26" s="7">
        <f t="shared" si="10"/>
        <v>3.6969524999999992</v>
      </c>
      <c r="D26" s="8">
        <f t="shared" si="11"/>
        <v>3.332628276000026E-3</v>
      </c>
      <c r="E26" s="1">
        <f t="shared" si="5"/>
        <v>82</v>
      </c>
      <c r="F26" s="1">
        <f t="shared" si="6"/>
        <v>4478</v>
      </c>
      <c r="G26" s="1">
        <f t="shared" si="12"/>
        <v>5.1828703703703711</v>
      </c>
      <c r="H26" s="1">
        <v>12</v>
      </c>
      <c r="I26" s="1">
        <f t="shared" si="7"/>
        <v>8957</v>
      </c>
      <c r="J26" s="23">
        <f>I26/((H27-H26)*资源价值!$C$6)/3/24</f>
        <v>6.2201388888888891</v>
      </c>
      <c r="K26" s="1">
        <f t="shared" si="8"/>
        <v>2879</v>
      </c>
      <c r="L26" s="1">
        <v>0.7</v>
      </c>
      <c r="M26" s="1">
        <f t="shared" si="13"/>
        <v>2040</v>
      </c>
      <c r="N26" s="1">
        <f t="shared" si="9"/>
        <v>4500</v>
      </c>
      <c r="O26" s="1">
        <f t="shared" si="14"/>
        <v>9000</v>
      </c>
      <c r="R26" s="1">
        <f t="shared" si="18"/>
        <v>3.9333004800000007</v>
      </c>
      <c r="S26" s="1">
        <f t="shared" si="15"/>
        <v>350</v>
      </c>
      <c r="T26" s="2">
        <f t="shared" si="16"/>
        <v>7.1000000000000004E-3</v>
      </c>
    </row>
    <row r="27" spans="1:20" x14ac:dyDescent="0.15">
      <c r="A27" s="7">
        <v>7</v>
      </c>
      <c r="B27" s="8">
        <f t="shared" si="17"/>
        <v>0.19851487893798819</v>
      </c>
      <c r="C27" s="7">
        <f t="shared" si="10"/>
        <v>4.5014953749999984</v>
      </c>
      <c r="D27" s="8">
        <f t="shared" si="11"/>
        <v>4.0578857237165847E-3</v>
      </c>
      <c r="E27" s="1">
        <f t="shared" si="5"/>
        <v>94</v>
      </c>
      <c r="F27" s="1">
        <f t="shared" si="6"/>
        <v>5453</v>
      </c>
      <c r="G27" s="1">
        <f t="shared" si="12"/>
        <v>5.825854700854701</v>
      </c>
      <c r="H27" s="1">
        <v>14</v>
      </c>
      <c r="I27" s="1">
        <f t="shared" si="7"/>
        <v>10907</v>
      </c>
      <c r="J27" s="23">
        <f>I27/((H28-H27)*资源价值!$C$6)/3/24</f>
        <v>7.5743055555555552</v>
      </c>
      <c r="K27" s="1">
        <f t="shared" si="8"/>
        <v>3506</v>
      </c>
      <c r="L27" s="1">
        <v>0.8</v>
      </c>
      <c r="M27" s="1">
        <f t="shared" si="13"/>
        <v>2820</v>
      </c>
      <c r="N27" s="1">
        <f t="shared" si="9"/>
        <v>5500</v>
      </c>
      <c r="O27" s="1">
        <f t="shared" si="14"/>
        <v>11000</v>
      </c>
      <c r="R27" s="1">
        <f t="shared" si="18"/>
        <v>4.6679645184000007</v>
      </c>
      <c r="S27" s="1">
        <f t="shared" si="15"/>
        <v>450</v>
      </c>
      <c r="T27" s="2">
        <f t="shared" si="16"/>
        <v>8.5000000000000006E-3</v>
      </c>
    </row>
    <row r="28" spans="1:20" x14ac:dyDescent="0.15">
      <c r="A28" s="7">
        <v>8</v>
      </c>
      <c r="B28" s="8">
        <f t="shared" si="17"/>
        <v>0.22547775091143787</v>
      </c>
      <c r="C28" s="7">
        <f t="shared" si="10"/>
        <v>5.426719681249998</v>
      </c>
      <c r="D28" s="8">
        <f t="shared" si="11"/>
        <v>4.8919317885906281E-3</v>
      </c>
      <c r="E28" s="1">
        <f t="shared" si="5"/>
        <v>107</v>
      </c>
      <c r="F28" s="1">
        <f t="shared" si="6"/>
        <v>6574</v>
      </c>
      <c r="G28" s="1">
        <f t="shared" si="12"/>
        <v>7.0235042735042734</v>
      </c>
      <c r="H28" s="1">
        <v>16</v>
      </c>
      <c r="I28" s="1">
        <f t="shared" si="7"/>
        <v>13148</v>
      </c>
      <c r="J28" s="23">
        <f>I28/((H29-H28)*资源价值!$C$6)/3/24</f>
        <v>9.1305555555555546</v>
      </c>
      <c r="K28" s="1">
        <f t="shared" si="8"/>
        <v>4226</v>
      </c>
      <c r="L28" s="1">
        <v>0.9</v>
      </c>
      <c r="M28" s="1">
        <f t="shared" si="13"/>
        <v>3780</v>
      </c>
      <c r="N28" s="1">
        <f t="shared" si="9"/>
        <v>6500</v>
      </c>
      <c r="O28" s="1">
        <f t="shared" si="14"/>
        <v>13000</v>
      </c>
      <c r="R28" s="1">
        <f t="shared" si="18"/>
        <v>5.4614016798720009</v>
      </c>
      <c r="S28" s="1">
        <f t="shared" si="15"/>
        <v>500</v>
      </c>
      <c r="T28" s="2">
        <f t="shared" si="16"/>
        <v>9.9000000000000008E-3</v>
      </c>
    </row>
    <row r="29" spans="1:20" x14ac:dyDescent="0.15">
      <c r="A29" s="7">
        <v>9</v>
      </c>
      <c r="B29" s="8">
        <f t="shared" si="17"/>
        <v>0.25311469468422382</v>
      </c>
      <c r="C29" s="7">
        <f t="shared" si="10"/>
        <v>6.4907276334374977</v>
      </c>
      <c r="D29" s="8">
        <f t="shared" si="11"/>
        <v>5.8510847631957786E-3</v>
      </c>
      <c r="E29" s="1">
        <f t="shared" si="5"/>
        <v>120</v>
      </c>
      <c r="F29" s="1">
        <f t="shared" si="6"/>
        <v>7863</v>
      </c>
      <c r="G29" s="1">
        <f t="shared" si="12"/>
        <v>7.8005952380952372</v>
      </c>
      <c r="H29" s="1">
        <v>18</v>
      </c>
      <c r="I29" s="1">
        <f t="shared" si="7"/>
        <v>15726</v>
      </c>
      <c r="J29" s="23">
        <f>I29/((H30-H29)*资源价值!$C$6)/3/24</f>
        <v>10.920833333333333</v>
      </c>
      <c r="K29" s="1">
        <f t="shared" si="8"/>
        <v>5055</v>
      </c>
      <c r="L29" s="1">
        <v>1</v>
      </c>
      <c r="M29" s="1">
        <f t="shared" si="13"/>
        <v>5040</v>
      </c>
      <c r="N29" s="1">
        <f t="shared" si="9"/>
        <v>8000</v>
      </c>
      <c r="O29" s="1">
        <f t="shared" si="14"/>
        <v>15500</v>
      </c>
      <c r="R29" s="1">
        <f t="shared" si="18"/>
        <v>6.318313814261761</v>
      </c>
      <c r="S29" s="1">
        <f t="shared" si="15"/>
        <v>600</v>
      </c>
      <c r="T29" s="2">
        <f t="shared" si="16"/>
        <v>1.15E-2</v>
      </c>
    </row>
    <row r="30" spans="1:20" x14ac:dyDescent="0.15">
      <c r="A30" s="7">
        <v>10</v>
      </c>
      <c r="B30" s="8">
        <f t="shared" si="17"/>
        <v>0.28144256205132939</v>
      </c>
      <c r="C30" s="7">
        <f t="shared" si="10"/>
        <v>7.7143367784531218</v>
      </c>
      <c r="D30" s="8">
        <f t="shared" si="11"/>
        <v>6.9541106839917004E-3</v>
      </c>
      <c r="E30" s="1">
        <f t="shared" si="5"/>
        <v>134</v>
      </c>
      <c r="F30" s="1">
        <f t="shared" si="6"/>
        <v>9345</v>
      </c>
      <c r="G30" s="1">
        <f t="shared" si="12"/>
        <v>9.2708333333333339</v>
      </c>
      <c r="H30" s="1">
        <v>20</v>
      </c>
      <c r="I30" s="1">
        <f t="shared" si="7"/>
        <v>18691</v>
      </c>
      <c r="J30" s="23">
        <f>I30/((H31-H30)*资源价值!$C$6)/3/24</f>
        <v>12.979861111111111</v>
      </c>
      <c r="K30" s="1">
        <f t="shared" si="8"/>
        <v>6008</v>
      </c>
      <c r="L30">
        <v>1</v>
      </c>
      <c r="M30" s="1">
        <f t="shared" si="13"/>
        <v>6000</v>
      </c>
      <c r="N30" s="1">
        <f t="shared" si="9"/>
        <v>9500</v>
      </c>
      <c r="O30" s="1">
        <f t="shared" si="14"/>
        <v>18500</v>
      </c>
      <c r="R30" s="1">
        <f t="shared" si="18"/>
        <v>7.2437789194027022</v>
      </c>
      <c r="S30" s="1">
        <f t="shared" si="15"/>
        <v>700</v>
      </c>
      <c r="T30" s="2">
        <f t="shared" si="16"/>
        <v>1.32E-2</v>
      </c>
    </row>
    <row r="31" spans="1:20" x14ac:dyDescent="0.15">
      <c r="A31" s="7">
        <v>11</v>
      </c>
      <c r="B31" s="8">
        <f t="shared" si="17"/>
        <v>0.31047862610261262</v>
      </c>
      <c r="C31" s="7">
        <f t="shared" si="10"/>
        <v>9.1214872952210886</v>
      </c>
      <c r="D31" s="8">
        <f t="shared" si="11"/>
        <v>8.2225904929070105E-3</v>
      </c>
      <c r="E31" s="1">
        <f t="shared" si="5"/>
        <v>148</v>
      </c>
      <c r="F31" s="1">
        <f t="shared" si="6"/>
        <v>11050</v>
      </c>
      <c r="G31" s="1">
        <f t="shared" si="12"/>
        <v>10.962301587301589</v>
      </c>
      <c r="H31" s="1">
        <v>22</v>
      </c>
      <c r="I31" s="1">
        <f t="shared" si="7"/>
        <v>22101</v>
      </c>
      <c r="J31" s="23">
        <f>I31/((H32-H31)*资源价值!$C$6)/3/24</f>
        <v>15.347916666666665</v>
      </c>
      <c r="K31" s="1">
        <f t="shared" si="8"/>
        <v>7104</v>
      </c>
      <c r="L31" s="1">
        <v>1</v>
      </c>
      <c r="M31" s="1">
        <f t="shared" si="13"/>
        <v>7080</v>
      </c>
      <c r="N31" s="1">
        <f t="shared" si="9"/>
        <v>11000</v>
      </c>
      <c r="O31" s="1">
        <f t="shared" si="14"/>
        <v>22000</v>
      </c>
      <c r="R31" s="1">
        <f t="shared" si="18"/>
        <v>8.243281232954919</v>
      </c>
      <c r="S31" s="1">
        <f t="shared" si="15"/>
        <v>800</v>
      </c>
      <c r="T31" s="2">
        <f t="shared" si="16"/>
        <v>1.4999999999999999E-2</v>
      </c>
    </row>
    <row r="32" spans="1:20" x14ac:dyDescent="0.15">
      <c r="A32" s="7">
        <v>12</v>
      </c>
      <c r="B32" s="8">
        <f t="shared" si="17"/>
        <v>0.3402405917551779</v>
      </c>
      <c r="C32" s="7">
        <f t="shared" si="10"/>
        <v>10.739710389504252</v>
      </c>
      <c r="D32" s="8">
        <f t="shared" si="11"/>
        <v>9.6813422731596172E-3</v>
      </c>
      <c r="E32" s="1">
        <f t="shared" si="5"/>
        <v>162</v>
      </c>
      <c r="F32" s="1">
        <f t="shared" si="6"/>
        <v>13011</v>
      </c>
      <c r="G32" s="1">
        <f t="shared" si="12"/>
        <v>12.907738095238095</v>
      </c>
      <c r="H32" s="1">
        <v>24</v>
      </c>
      <c r="I32" s="1">
        <f t="shared" si="7"/>
        <v>26022</v>
      </c>
      <c r="J32" s="23">
        <f>I32/((H33-H32)*资源价值!$C$6)/3/24</f>
        <v>18.070833333333333</v>
      </c>
      <c r="K32" s="1">
        <f t="shared" si="8"/>
        <v>8364</v>
      </c>
      <c r="L32" s="1">
        <v>1</v>
      </c>
      <c r="M32" s="1">
        <f t="shared" si="13"/>
        <v>8340</v>
      </c>
      <c r="N32" s="1">
        <f t="shared" si="9"/>
        <v>13000</v>
      </c>
      <c r="O32" s="1">
        <f t="shared" si="14"/>
        <v>26000</v>
      </c>
      <c r="R32" s="1">
        <f t="shared" si="18"/>
        <v>9.3227437315913129</v>
      </c>
      <c r="S32" s="1">
        <f t="shared" si="15"/>
        <v>900</v>
      </c>
      <c r="T32" s="2">
        <f t="shared" si="16"/>
        <v>1.6899999999999998E-2</v>
      </c>
    </row>
    <row r="33" spans="1:20" x14ac:dyDescent="0.15">
      <c r="A33" s="7">
        <v>13</v>
      </c>
      <c r="B33" s="8">
        <f t="shared" si="17"/>
        <v>0.37074660654905733</v>
      </c>
      <c r="C33" s="7">
        <f t="shared" si="10"/>
        <v>12.600666947929888</v>
      </c>
      <c r="D33" s="8">
        <f t="shared" si="11"/>
        <v>1.1358906820450114E-2</v>
      </c>
      <c r="E33" s="1">
        <f t="shared" si="5"/>
        <v>176</v>
      </c>
      <c r="F33" s="1">
        <f t="shared" si="6"/>
        <v>15265</v>
      </c>
      <c r="G33" s="1">
        <f t="shared" si="12"/>
        <v>14.13425925925926</v>
      </c>
      <c r="H33" s="1">
        <v>26</v>
      </c>
      <c r="I33" s="1">
        <f t="shared" si="7"/>
        <v>30531</v>
      </c>
      <c r="J33" s="23">
        <f>I33/((H34-H33)*资源价值!$C$6)/3/24</f>
        <v>21.202083333333331</v>
      </c>
      <c r="K33" s="1">
        <f t="shared" si="8"/>
        <v>9814</v>
      </c>
      <c r="L33" s="1">
        <v>1</v>
      </c>
      <c r="M33" s="1">
        <f t="shared" si="13"/>
        <v>9840</v>
      </c>
      <c r="N33" s="1">
        <f t="shared" si="9"/>
        <v>15500</v>
      </c>
      <c r="O33" s="1">
        <f t="shared" si="14"/>
        <v>30500</v>
      </c>
      <c r="R33" s="1">
        <f t="shared" si="18"/>
        <v>10.488563230118618</v>
      </c>
      <c r="S33" s="1">
        <f t="shared" si="15"/>
        <v>1000</v>
      </c>
      <c r="T33" s="2">
        <f t="shared" si="16"/>
        <v>1.9099999999999999E-2</v>
      </c>
    </row>
    <row r="34" spans="1:20" x14ac:dyDescent="0.15">
      <c r="A34" s="7">
        <v>14</v>
      </c>
      <c r="B34" s="8">
        <f t="shared" si="17"/>
        <v>0.40201527171278373</v>
      </c>
      <c r="C34" s="7">
        <f t="shared" si="10"/>
        <v>14.74076699011937</v>
      </c>
      <c r="D34" s="8">
        <f t="shared" si="11"/>
        <v>1.3288106049834186E-2</v>
      </c>
      <c r="E34" s="1">
        <f t="shared" si="5"/>
        <v>191</v>
      </c>
      <c r="F34" s="1">
        <f t="shared" si="6"/>
        <v>17858</v>
      </c>
      <c r="G34" s="1">
        <f t="shared" si="12"/>
        <v>15.501736111111112</v>
      </c>
      <c r="H34" s="1">
        <v>28</v>
      </c>
      <c r="I34" s="1">
        <f t="shared" si="7"/>
        <v>35716</v>
      </c>
      <c r="J34" s="23">
        <f>I34/((H35-H34)*资源价值!$C$6)/3/24</f>
        <v>24.802777777777777</v>
      </c>
      <c r="K34" s="1">
        <f t="shared" si="8"/>
        <v>11480</v>
      </c>
      <c r="L34" s="1">
        <v>1</v>
      </c>
      <c r="M34" s="1">
        <f t="shared" si="13"/>
        <v>11460</v>
      </c>
      <c r="N34" s="1">
        <f t="shared" si="9"/>
        <v>18000</v>
      </c>
      <c r="O34" s="1">
        <f t="shared" si="14"/>
        <v>35500</v>
      </c>
      <c r="R34" s="1">
        <f t="shared" si="18"/>
        <v>11.747648288528108</v>
      </c>
      <c r="S34" s="1">
        <f t="shared" si="15"/>
        <v>1150</v>
      </c>
      <c r="T34" s="2">
        <f t="shared" si="16"/>
        <v>2.1299999999999999E-2</v>
      </c>
    </row>
    <row r="35" spans="1:20" x14ac:dyDescent="0.15">
      <c r="A35" s="7">
        <v>15</v>
      </c>
      <c r="B35" s="8">
        <f t="shared" si="17"/>
        <v>0.43406565350560333</v>
      </c>
      <c r="C35" s="7">
        <f t="shared" si="10"/>
        <v>17.201882038637276</v>
      </c>
      <c r="D35" s="8">
        <f t="shared" si="11"/>
        <v>1.5506685163625871E-2</v>
      </c>
      <c r="E35" s="1">
        <f t="shared" si="5"/>
        <v>207</v>
      </c>
      <c r="F35" s="1">
        <f t="shared" si="6"/>
        <v>20839</v>
      </c>
      <c r="G35" s="1">
        <f t="shared" si="12"/>
        <v>19.295370370370371</v>
      </c>
      <c r="H35" s="1">
        <v>30</v>
      </c>
      <c r="I35" s="1">
        <f t="shared" si="7"/>
        <v>41679</v>
      </c>
      <c r="J35" s="23">
        <f>I35/((H36-H35)*资源价值!$C$6)/3/24</f>
        <v>28.943749999999998</v>
      </c>
      <c r="K35" s="1">
        <f t="shared" si="8"/>
        <v>13397</v>
      </c>
      <c r="L35" s="1">
        <v>1</v>
      </c>
      <c r="M35" s="1">
        <f t="shared" si="13"/>
        <v>13380</v>
      </c>
      <c r="N35" s="1">
        <f t="shared" si="9"/>
        <v>21000</v>
      </c>
      <c r="O35" s="1">
        <f t="shared" si="14"/>
        <v>41500</v>
      </c>
      <c r="R35" s="1">
        <f t="shared" si="18"/>
        <v>13.107460151610358</v>
      </c>
      <c r="S35" s="1">
        <f t="shared" si="15"/>
        <v>1300</v>
      </c>
      <c r="T35" s="2">
        <f t="shared" si="16"/>
        <v>2.3800000000000002E-2</v>
      </c>
    </row>
    <row r="36" spans="1:20" x14ac:dyDescent="0.15">
      <c r="A36" s="7">
        <v>16</v>
      </c>
      <c r="B36" s="8">
        <f t="shared" si="17"/>
        <v>0.4669172948432434</v>
      </c>
      <c r="C36" s="7">
        <f t="shared" si="10"/>
        <v>20.032164344432864</v>
      </c>
      <c r="D36" s="8">
        <f t="shared" si="11"/>
        <v>1.8058051144486303E-2</v>
      </c>
      <c r="E36" s="1">
        <f t="shared" si="5"/>
        <v>222</v>
      </c>
      <c r="F36" s="1">
        <f t="shared" si="6"/>
        <v>24268</v>
      </c>
      <c r="G36" s="1">
        <f t="shared" si="12"/>
        <v>21.065972222222221</v>
      </c>
      <c r="H36" s="1">
        <v>32</v>
      </c>
      <c r="I36" s="1">
        <f t="shared" si="7"/>
        <v>48537</v>
      </c>
      <c r="J36" s="23">
        <f>I36/((H37-H36)*资源价值!$C$6)/3/24</f>
        <v>33.706249999999997</v>
      </c>
      <c r="K36" s="1">
        <f t="shared" si="8"/>
        <v>15602</v>
      </c>
      <c r="L36" s="1">
        <v>1</v>
      </c>
      <c r="M36" s="1">
        <f t="shared" si="13"/>
        <v>15600</v>
      </c>
      <c r="N36" s="1">
        <f t="shared" si="9"/>
        <v>24500</v>
      </c>
      <c r="O36" s="1">
        <f t="shared" si="14"/>
        <v>48500</v>
      </c>
      <c r="R36" s="1">
        <f t="shared" si="18"/>
        <v>14.576056963739187</v>
      </c>
      <c r="S36" s="1">
        <f t="shared" si="15"/>
        <v>1450</v>
      </c>
      <c r="T36" s="2">
        <f t="shared" si="16"/>
        <v>2.6499999999999999E-2</v>
      </c>
    </row>
    <row r="37" spans="1:20" x14ac:dyDescent="0.15">
      <c r="A37" s="7">
        <v>17</v>
      </c>
      <c r="B37" s="8">
        <f t="shared" si="17"/>
        <v>0.50059022721432445</v>
      </c>
      <c r="C37" s="7">
        <f t="shared" si="10"/>
        <v>23.286988996097794</v>
      </c>
      <c r="D37" s="8">
        <f t="shared" si="11"/>
        <v>2.0992122022475804E-2</v>
      </c>
      <c r="E37" s="1">
        <f t="shared" si="5"/>
        <v>238</v>
      </c>
      <c r="F37" s="1">
        <f t="shared" si="6"/>
        <v>28211</v>
      </c>
      <c r="G37" s="1">
        <f t="shared" si="12"/>
        <v>23.048202614379083</v>
      </c>
      <c r="H37" s="1">
        <v>34</v>
      </c>
      <c r="I37" s="1">
        <f t="shared" si="7"/>
        <v>56423</v>
      </c>
      <c r="J37" s="23">
        <f>I37/((H38-H37)*资源价值!$C$6)/3/24</f>
        <v>39.182638888888889</v>
      </c>
      <c r="K37" s="1">
        <f t="shared" si="8"/>
        <v>18137</v>
      </c>
      <c r="L37" s="1">
        <v>1</v>
      </c>
      <c r="M37" s="1">
        <f t="shared" si="13"/>
        <v>18120</v>
      </c>
      <c r="N37" s="1">
        <f t="shared" si="9"/>
        <v>28000</v>
      </c>
      <c r="O37" s="1">
        <f t="shared" si="14"/>
        <v>56500</v>
      </c>
      <c r="R37" s="1">
        <f t="shared" si="18"/>
        <v>16.162141520838325</v>
      </c>
      <c r="S37" s="1">
        <f t="shared" si="15"/>
        <v>1600</v>
      </c>
      <c r="T37" s="2">
        <f t="shared" si="16"/>
        <v>2.9399999999999999E-2</v>
      </c>
    </row>
    <row r="38" spans="1:20" x14ac:dyDescent="0.15">
      <c r="A38" s="7">
        <v>18</v>
      </c>
      <c r="B38" s="8">
        <f t="shared" si="17"/>
        <v>0.53510498289468256</v>
      </c>
      <c r="C38" s="7">
        <f t="shared" si="10"/>
        <v>27.030037345512461</v>
      </c>
      <c r="D38" s="8">
        <f t="shared" si="11"/>
        <v>2.4366303532163729E-2</v>
      </c>
      <c r="E38" s="1">
        <f t="shared" si="5"/>
        <v>255</v>
      </c>
      <c r="F38" s="1">
        <f t="shared" si="6"/>
        <v>32746</v>
      </c>
      <c r="G38" s="1">
        <f t="shared" si="12"/>
        <v>26.753267973856211</v>
      </c>
      <c r="H38" s="1">
        <v>36</v>
      </c>
      <c r="I38" s="1">
        <f t="shared" si="7"/>
        <v>65493</v>
      </c>
      <c r="J38" s="23">
        <f>I38/((H39-H38)*资源价值!$C$6)/3/24</f>
        <v>45.481249999999996</v>
      </c>
      <c r="K38" s="1">
        <f t="shared" si="8"/>
        <v>21052</v>
      </c>
      <c r="L38" s="1">
        <v>1</v>
      </c>
      <c r="M38" s="1">
        <f t="shared" si="13"/>
        <v>21060</v>
      </c>
      <c r="N38" s="1">
        <f t="shared" si="9"/>
        <v>32500</v>
      </c>
      <c r="O38" s="1">
        <f t="shared" si="14"/>
        <v>65500</v>
      </c>
      <c r="R38" s="1">
        <f t="shared" si="18"/>
        <v>17.875112842505395</v>
      </c>
      <c r="S38" s="1">
        <f t="shared" si="15"/>
        <v>1750</v>
      </c>
      <c r="T38" s="2">
        <f t="shared" si="16"/>
        <v>3.2500000000000001E-2</v>
      </c>
    </row>
    <row r="39" spans="1:20" x14ac:dyDescent="0.15">
      <c r="A39" s="7">
        <v>19</v>
      </c>
      <c r="B39" s="8">
        <f t="shared" si="17"/>
        <v>0.5704826074670496</v>
      </c>
      <c r="C39" s="7">
        <f t="shared" si="10"/>
        <v>31.33454294733933</v>
      </c>
      <c r="D39" s="8">
        <f t="shared" si="11"/>
        <v>2.8246612268304844E-2</v>
      </c>
      <c r="E39" s="1">
        <f t="shared" si="5"/>
        <v>272</v>
      </c>
      <c r="F39" s="1">
        <f t="shared" si="6"/>
        <v>37961</v>
      </c>
      <c r="G39" s="1">
        <f t="shared" si="12"/>
        <v>31.013888888888889</v>
      </c>
      <c r="H39" s="1">
        <v>38</v>
      </c>
      <c r="I39" s="1">
        <f t="shared" si="7"/>
        <v>75922</v>
      </c>
      <c r="J39" s="23">
        <f>I39/((H40-H39)*资源价值!$C$6)/3/24</f>
        <v>52.723611111111104</v>
      </c>
      <c r="K39" s="1">
        <f t="shared" si="8"/>
        <v>24405</v>
      </c>
      <c r="L39" s="1">
        <v>1</v>
      </c>
      <c r="M39" s="1">
        <f t="shared" si="13"/>
        <v>24420</v>
      </c>
      <c r="N39" s="1">
        <f t="shared" si="9"/>
        <v>38000</v>
      </c>
      <c r="O39" s="1">
        <f t="shared" si="14"/>
        <v>76000</v>
      </c>
      <c r="R39" s="1">
        <f t="shared" si="18"/>
        <v>19.725121869905831</v>
      </c>
      <c r="S39" s="1">
        <f t="shared" si="15"/>
        <v>1950</v>
      </c>
      <c r="T39" s="2">
        <f t="shared" si="16"/>
        <v>3.5799999999999998E-2</v>
      </c>
    </row>
    <row r="40" spans="1:20" x14ac:dyDescent="0.15">
      <c r="A40" s="7">
        <v>20</v>
      </c>
      <c r="B40" s="8">
        <f t="shared" si="17"/>
        <v>0.60674467265372578</v>
      </c>
      <c r="C40" s="7">
        <f t="shared" si="10"/>
        <v>36.284724389440228</v>
      </c>
      <c r="D40" s="8">
        <f t="shared" si="11"/>
        <v>3.2708967314867124E-2</v>
      </c>
      <c r="E40" s="1">
        <f t="shared" si="5"/>
        <v>289</v>
      </c>
      <c r="F40" s="1">
        <f t="shared" si="6"/>
        <v>43958</v>
      </c>
      <c r="G40" s="1">
        <f t="shared" si="12"/>
        <v>33.918209876543209</v>
      </c>
      <c r="H40" s="1">
        <v>40</v>
      </c>
      <c r="I40" s="1">
        <f t="shared" si="7"/>
        <v>87917</v>
      </c>
      <c r="J40" s="23">
        <f>I40/((H41-H40)*资源价值!$C$6)/3/24</f>
        <v>61.053472222222233</v>
      </c>
      <c r="K40" s="1">
        <f t="shared" si="8"/>
        <v>28260</v>
      </c>
      <c r="L40" s="1">
        <v>1</v>
      </c>
      <c r="M40" s="1">
        <f t="shared" si="13"/>
        <v>28260</v>
      </c>
      <c r="N40" s="1">
        <f t="shared" si="9"/>
        <v>44000</v>
      </c>
      <c r="O40" s="1">
        <f t="shared" si="14"/>
        <v>88000</v>
      </c>
      <c r="R40" s="1">
        <f t="shared" si="18"/>
        <v>21.7231316194983</v>
      </c>
      <c r="S40" s="1">
        <f t="shared" si="15"/>
        <v>2150</v>
      </c>
      <c r="T40" s="2">
        <f t="shared" si="16"/>
        <v>3.95E-2</v>
      </c>
    </row>
    <row r="41" spans="1:20" x14ac:dyDescent="0.15">
      <c r="A41" s="7">
        <v>21</v>
      </c>
      <c r="B41" s="8">
        <f t="shared" si="17"/>
        <v>0.64391328947006887</v>
      </c>
      <c r="C41" s="7">
        <f t="shared" si="10"/>
        <v>41.977433047856259</v>
      </c>
      <c r="D41" s="8">
        <f t="shared" si="11"/>
        <v>3.7840675618413748E-2</v>
      </c>
      <c r="E41" s="1">
        <f t="shared" si="5"/>
        <v>307</v>
      </c>
      <c r="F41" s="1">
        <f t="shared" si="6"/>
        <v>50855</v>
      </c>
      <c r="G41" s="1">
        <f t="shared" si="12"/>
        <v>39.239969135802468</v>
      </c>
      <c r="H41" s="1">
        <v>42</v>
      </c>
      <c r="I41" s="1">
        <f t="shared" si="7"/>
        <v>101710</v>
      </c>
      <c r="J41" s="23">
        <f>I41/((H42-H41)*资源价值!$C$6)/3/24</f>
        <v>70.631944444444443</v>
      </c>
      <c r="K41" s="1">
        <f t="shared" si="8"/>
        <v>32694</v>
      </c>
      <c r="L41" s="1">
        <v>1</v>
      </c>
      <c r="M41" s="1">
        <f t="shared" si="13"/>
        <v>32700</v>
      </c>
      <c r="N41" s="1">
        <f t="shared" si="9"/>
        <v>51000</v>
      </c>
      <c r="O41" s="1">
        <f t="shared" si="14"/>
        <v>101500</v>
      </c>
      <c r="R41" s="1">
        <f t="shared" si="18"/>
        <v>23.880982149058166</v>
      </c>
      <c r="S41" s="1">
        <f t="shared" si="15"/>
        <v>2350</v>
      </c>
      <c r="T41" s="2">
        <f t="shared" si="16"/>
        <v>4.3400000000000001E-2</v>
      </c>
    </row>
    <row r="42" spans="1:20" x14ac:dyDescent="0.15">
      <c r="A42" s="7">
        <v>22</v>
      </c>
      <c r="B42" s="8">
        <f t="shared" si="17"/>
        <v>0.68201112170682054</v>
      </c>
      <c r="C42" s="7">
        <f t="shared" si="10"/>
        <v>48.524048005034693</v>
      </c>
      <c r="D42" s="8">
        <f t="shared" si="11"/>
        <v>4.3742140167492359E-2</v>
      </c>
      <c r="E42" s="1">
        <f t="shared" si="5"/>
        <v>325</v>
      </c>
      <c r="F42" s="1">
        <f t="shared" si="6"/>
        <v>58786</v>
      </c>
      <c r="G42" s="1">
        <f t="shared" si="12"/>
        <v>45.359567901234563</v>
      </c>
      <c r="H42" s="1">
        <v>44</v>
      </c>
      <c r="I42" s="1">
        <f t="shared" si="7"/>
        <v>117572</v>
      </c>
      <c r="J42" s="23">
        <f>I42/((H43-H42)*资源价值!$C$6)/3/24</f>
        <v>81.647222222222226</v>
      </c>
      <c r="K42" s="1">
        <f t="shared" si="8"/>
        <v>37793</v>
      </c>
      <c r="L42" s="1">
        <v>1</v>
      </c>
      <c r="M42" s="1">
        <f t="shared" si="13"/>
        <v>37800</v>
      </c>
      <c r="N42" s="1">
        <f t="shared" si="9"/>
        <v>59000</v>
      </c>
      <c r="O42" s="1">
        <f t="shared" si="14"/>
        <v>117500</v>
      </c>
      <c r="R42" s="1">
        <f t="shared" si="18"/>
        <v>26.211460720982824</v>
      </c>
      <c r="S42" s="1">
        <f t="shared" si="15"/>
        <v>2600</v>
      </c>
      <c r="T42" s="2">
        <f t="shared" si="16"/>
        <v>4.7600000000000003E-2</v>
      </c>
    </row>
    <row r="43" spans="1:20" x14ac:dyDescent="0.15">
      <c r="A43" s="7">
        <v>23</v>
      </c>
      <c r="B43" s="8">
        <f t="shared" si="17"/>
        <v>0.72106139974949102</v>
      </c>
      <c r="C43" s="7">
        <f t="shared" si="10"/>
        <v>56.05265520578989</v>
      </c>
      <c r="D43" s="8">
        <f t="shared" si="11"/>
        <v>5.0528824398932762E-2</v>
      </c>
      <c r="E43" s="1">
        <f t="shared" si="5"/>
        <v>343</v>
      </c>
      <c r="F43" s="1">
        <f t="shared" si="6"/>
        <v>67907</v>
      </c>
      <c r="G43" s="1">
        <f t="shared" si="12"/>
        <v>47.15763888888889</v>
      </c>
      <c r="H43" s="1">
        <v>46</v>
      </c>
      <c r="I43" s="1">
        <f t="shared" si="7"/>
        <v>135814</v>
      </c>
      <c r="J43" s="23">
        <f>I43/((H44-H43)*资源价值!$C$6)/3/24</f>
        <v>94.31527777777778</v>
      </c>
      <c r="K43" s="1">
        <f t="shared" si="8"/>
        <v>43656</v>
      </c>
      <c r="L43" s="1">
        <v>1</v>
      </c>
      <c r="M43" s="1">
        <f t="shared" si="13"/>
        <v>43680</v>
      </c>
      <c r="N43" s="1">
        <f t="shared" si="9"/>
        <v>68000</v>
      </c>
      <c r="O43" s="1">
        <f t="shared" si="14"/>
        <v>136000</v>
      </c>
      <c r="R43" s="1">
        <f t="shared" si="18"/>
        <v>28.728377578661455</v>
      </c>
      <c r="S43" s="1">
        <f t="shared" si="15"/>
        <v>2850</v>
      </c>
      <c r="T43" s="2">
        <f t="shared" si="16"/>
        <v>5.2200000000000003E-2</v>
      </c>
    </row>
    <row r="44" spans="1:20" x14ac:dyDescent="0.15">
      <c r="A44" s="7">
        <v>24</v>
      </c>
      <c r="B44" s="8">
        <f t="shared" si="17"/>
        <v>0.76108793474322822</v>
      </c>
      <c r="C44" s="7">
        <f t="shared" si="10"/>
        <v>64.71055348665837</v>
      </c>
      <c r="D44" s="8">
        <f t="shared" si="11"/>
        <v>5.8333511265089233E-2</v>
      </c>
      <c r="E44" s="1">
        <f t="shared" si="5"/>
        <v>363</v>
      </c>
      <c r="F44" s="1">
        <f t="shared" si="6"/>
        <v>78396</v>
      </c>
      <c r="G44" s="1">
        <f t="shared" si="12"/>
        <v>57.307017543859651</v>
      </c>
      <c r="H44" s="1">
        <v>48</v>
      </c>
      <c r="I44" s="1">
        <f t="shared" si="7"/>
        <v>156792</v>
      </c>
      <c r="J44" s="23">
        <f>I44/((H45-H44)*资源价值!$C$6)/3/24</f>
        <v>108.88333333333334</v>
      </c>
      <c r="K44" s="1">
        <f t="shared" si="8"/>
        <v>50400</v>
      </c>
      <c r="L44" s="1">
        <v>1</v>
      </c>
      <c r="M44" s="1">
        <f t="shared" si="13"/>
        <v>50400</v>
      </c>
      <c r="N44" s="1">
        <f t="shared" si="9"/>
        <v>78500</v>
      </c>
      <c r="O44" s="1">
        <f t="shared" si="14"/>
        <v>157000</v>
      </c>
      <c r="R44" s="1">
        <f t="shared" si="18"/>
        <v>31.446647784954376</v>
      </c>
      <c r="S44" s="1">
        <f t="shared" si="15"/>
        <v>3100</v>
      </c>
      <c r="T44" s="2">
        <f t="shared" si="16"/>
        <v>5.7099999999999998E-2</v>
      </c>
    </row>
    <row r="45" spans="1:20" x14ac:dyDescent="0.15">
      <c r="A45" s="7">
        <v>25</v>
      </c>
      <c r="B45" s="8">
        <f t="shared" si="17"/>
        <v>0.80211513311180893</v>
      </c>
      <c r="C45" s="7">
        <f t="shared" si="10"/>
        <v>74.667136509657112</v>
      </c>
      <c r="D45" s="8">
        <f t="shared" si="11"/>
        <v>6.7308901161169166E-2</v>
      </c>
      <c r="E45" s="1">
        <f t="shared" si="5"/>
        <v>382</v>
      </c>
      <c r="F45" s="1">
        <f t="shared" si="6"/>
        <v>90458</v>
      </c>
      <c r="G45" s="1">
        <f t="shared" si="12"/>
        <v>62.818055555555553</v>
      </c>
      <c r="H45" s="1">
        <v>50</v>
      </c>
      <c r="I45" s="1">
        <f t="shared" si="7"/>
        <v>180916</v>
      </c>
      <c r="J45" s="23">
        <f>I45/((H46-H45)*资源价值!$C$6)/3/24</f>
        <v>125.63611111111111</v>
      </c>
      <c r="K45" s="1">
        <f t="shared" si="8"/>
        <v>58154</v>
      </c>
      <c r="L45" s="1">
        <v>1</v>
      </c>
      <c r="M45" s="1">
        <f t="shared" si="13"/>
        <v>58140</v>
      </c>
      <c r="N45" s="1">
        <f t="shared" si="9"/>
        <v>90500</v>
      </c>
      <c r="O45" s="1">
        <f t="shared" si="14"/>
        <v>181000</v>
      </c>
      <c r="R45" s="1">
        <f t="shared" si="18"/>
        <v>34.382379607750728</v>
      </c>
      <c r="S45" s="1">
        <f t="shared" si="15"/>
        <v>3400</v>
      </c>
      <c r="T45" s="2">
        <f t="shared" si="16"/>
        <v>6.25E-2</v>
      </c>
    </row>
    <row r="46" spans="1:20" x14ac:dyDescent="0.15">
      <c r="A46" s="7">
        <v>26</v>
      </c>
      <c r="B46" s="8">
        <f t="shared" si="17"/>
        <v>0.84416801143960407</v>
      </c>
      <c r="C46" s="7">
        <f t="shared" si="10"/>
        <v>86.117206986105671</v>
      </c>
      <c r="D46" s="8">
        <f t="shared" si="11"/>
        <v>7.7630599541661086E-2</v>
      </c>
      <c r="E46" s="1">
        <f t="shared" si="5"/>
        <v>402</v>
      </c>
      <c r="F46" s="1">
        <f t="shared" si="6"/>
        <v>104329</v>
      </c>
      <c r="G46" s="1">
        <f t="shared" si="12"/>
        <v>69.00066137566138</v>
      </c>
      <c r="H46" s="1">
        <v>52</v>
      </c>
      <c r="I46" s="1">
        <f t="shared" si="7"/>
        <v>208659</v>
      </c>
      <c r="J46" s="23">
        <f>I46/((H47-H46)*资源价值!$C$6)/3/24</f>
        <v>144.90208333333334</v>
      </c>
      <c r="K46" s="1">
        <f t="shared" si="8"/>
        <v>67072</v>
      </c>
      <c r="L46" s="1">
        <v>1</v>
      </c>
      <c r="M46" s="1">
        <f t="shared" si="13"/>
        <v>67080</v>
      </c>
      <c r="N46" s="1">
        <f t="shared" si="9"/>
        <v>104500</v>
      </c>
      <c r="O46" s="1">
        <f t="shared" si="14"/>
        <v>208500</v>
      </c>
      <c r="R46" s="1">
        <f t="shared" si="18"/>
        <v>37.55296997637079</v>
      </c>
      <c r="S46" s="1">
        <f t="shared" si="15"/>
        <v>3750</v>
      </c>
      <c r="T46" s="2">
        <f t="shared" si="16"/>
        <v>6.8199999999999997E-2</v>
      </c>
    </row>
    <row r="47" spans="1:20" x14ac:dyDescent="0.15">
      <c r="A47" s="7">
        <v>27</v>
      </c>
      <c r="B47" s="8">
        <f t="shared" si="17"/>
        <v>0.88727221172559412</v>
      </c>
      <c r="C47" s="7">
        <f t="shared" si="10"/>
        <v>99.284788034021517</v>
      </c>
      <c r="D47" s="8">
        <f t="shared" si="11"/>
        <v>8.9500552679226797E-2</v>
      </c>
      <c r="E47" s="1">
        <f t="shared" si="5"/>
        <v>423</v>
      </c>
      <c r="F47" s="1">
        <f t="shared" si="6"/>
        <v>120282</v>
      </c>
      <c r="G47" s="1">
        <f t="shared" si="12"/>
        <v>79.551587301587304</v>
      </c>
      <c r="H47" s="1">
        <v>54</v>
      </c>
      <c r="I47" s="1">
        <f t="shared" si="7"/>
        <v>240564</v>
      </c>
      <c r="J47" s="23">
        <f>I47/((H48-H47)*资源价值!$C$6)/3/24</f>
        <v>167.05833333333334</v>
      </c>
      <c r="K47" s="1">
        <f t="shared" si="8"/>
        <v>77328</v>
      </c>
      <c r="L47" s="1">
        <v>1</v>
      </c>
      <c r="M47" s="1">
        <f t="shared" si="13"/>
        <v>77340</v>
      </c>
      <c r="N47" s="1">
        <f t="shared" si="9"/>
        <v>120500</v>
      </c>
      <c r="O47" s="1">
        <f t="shared" si="14"/>
        <v>240500</v>
      </c>
      <c r="R47" s="1">
        <f t="shared" si="18"/>
        <v>40.97720757448046</v>
      </c>
      <c r="S47" s="1">
        <f t="shared" si="15"/>
        <v>4050</v>
      </c>
      <c r="T47" s="2">
        <f t="shared" si="16"/>
        <v>7.4399999999999994E-2</v>
      </c>
    </row>
    <row r="48" spans="1:20" x14ac:dyDescent="0.15">
      <c r="A48" s="7">
        <v>28</v>
      </c>
      <c r="B48" s="8">
        <f t="shared" si="17"/>
        <v>0.93145401701873387</v>
      </c>
      <c r="C48" s="7">
        <f t="shared" si="10"/>
        <v>114.42750623912474</v>
      </c>
      <c r="D48" s="8">
        <f t="shared" si="11"/>
        <v>0.10315099878742737</v>
      </c>
      <c r="E48" s="1">
        <f t="shared" si="5"/>
        <v>444</v>
      </c>
      <c r="F48" s="1">
        <f t="shared" si="6"/>
        <v>138627</v>
      </c>
      <c r="G48" s="1">
        <f t="shared" si="12"/>
        <v>91.68452380952381</v>
      </c>
      <c r="H48" s="1">
        <v>56</v>
      </c>
      <c r="I48" s="1">
        <f t="shared" si="7"/>
        <v>277255</v>
      </c>
      <c r="J48" s="23">
        <f>I48/((H49-H48)*资源价值!$C$6)/3/24</f>
        <v>192.53819444444446</v>
      </c>
      <c r="K48" s="1">
        <f t="shared" si="8"/>
        <v>89122</v>
      </c>
      <c r="L48" s="1">
        <v>1</v>
      </c>
      <c r="M48" s="1">
        <f t="shared" si="13"/>
        <v>89100</v>
      </c>
      <c r="N48" s="1">
        <f t="shared" si="9"/>
        <v>138500</v>
      </c>
      <c r="O48" s="1">
        <f t="shared" si="14"/>
        <v>277500</v>
      </c>
      <c r="R48" s="1">
        <f t="shared" si="18"/>
        <v>44.675384180438904</v>
      </c>
      <c r="S48" s="1">
        <f t="shared" si="15"/>
        <v>4450</v>
      </c>
      <c r="T48" s="2">
        <f t="shared" si="16"/>
        <v>8.1199999999999994E-2</v>
      </c>
    </row>
    <row r="49" spans="1:20" x14ac:dyDescent="0.15">
      <c r="A49" s="7">
        <v>29</v>
      </c>
      <c r="B49" s="8">
        <f t="shared" si="17"/>
        <v>0.97674036744420212</v>
      </c>
      <c r="C49" s="7">
        <f t="shared" si="10"/>
        <v>131.84163217499344</v>
      </c>
      <c r="D49" s="8">
        <f t="shared" si="11"/>
        <v>0.11884901181185802</v>
      </c>
      <c r="E49" s="1">
        <f t="shared" si="5"/>
        <v>465</v>
      </c>
      <c r="F49" s="1">
        <f t="shared" si="6"/>
        <v>159724</v>
      </c>
      <c r="G49" s="1">
        <f t="shared" si="12"/>
        <v>96.451690821256037</v>
      </c>
      <c r="H49" s="1">
        <v>58</v>
      </c>
      <c r="I49" s="1">
        <f t="shared" si="7"/>
        <v>319449</v>
      </c>
      <c r="J49" s="23">
        <f>I49/((H50-H49)*资源价值!$C$6)/3/24</f>
        <v>221.83958333333337</v>
      </c>
      <c r="K49" s="1">
        <f t="shared" si="8"/>
        <v>102685</v>
      </c>
      <c r="L49" s="1">
        <v>1</v>
      </c>
      <c r="M49" s="1">
        <f t="shared" si="13"/>
        <v>102660</v>
      </c>
      <c r="N49" s="1">
        <f t="shared" si="9"/>
        <v>159500</v>
      </c>
      <c r="O49" s="1">
        <f t="shared" si="14"/>
        <v>319500</v>
      </c>
      <c r="R49" s="1">
        <f t="shared" si="18"/>
        <v>48.669414914874018</v>
      </c>
      <c r="S49" s="1">
        <f t="shared" si="15"/>
        <v>4850</v>
      </c>
      <c r="T49" s="2">
        <f t="shared" si="16"/>
        <v>8.8400000000000006E-2</v>
      </c>
    </row>
    <row r="50" spans="1:20" x14ac:dyDescent="0.15">
      <c r="A50" s="7">
        <v>30</v>
      </c>
      <c r="B50" s="8">
        <f t="shared" si="17"/>
        <v>1.023158876630307</v>
      </c>
      <c r="C50" s="7">
        <f t="shared" si="10"/>
        <v>151.86787700124245</v>
      </c>
      <c r="D50" s="8">
        <f t="shared" si="11"/>
        <v>0.13690172678995327</v>
      </c>
      <c r="E50" s="1">
        <f t="shared" si="5"/>
        <v>488</v>
      </c>
      <c r="F50" s="1">
        <f t="shared" si="6"/>
        <v>183986</v>
      </c>
      <c r="G50" s="1"/>
      <c r="H50" s="1">
        <v>60</v>
      </c>
      <c r="I50" s="1">
        <f t="shared" si="7"/>
        <v>367972</v>
      </c>
      <c r="J50" s="23"/>
      <c r="K50" s="1">
        <f t="shared" si="8"/>
        <v>118283</v>
      </c>
      <c r="L50" s="1">
        <v>1</v>
      </c>
      <c r="M50" s="1">
        <f t="shared" si="13"/>
        <v>118260</v>
      </c>
      <c r="N50" s="1">
        <f t="shared" si="9"/>
        <v>184000</v>
      </c>
      <c r="O50" s="1">
        <f t="shared" si="14"/>
        <v>368000</v>
      </c>
      <c r="R50" s="1">
        <f t="shared" si="18"/>
        <v>52.982968108063943</v>
      </c>
      <c r="S50" s="1">
        <f t="shared" si="15"/>
        <v>5250</v>
      </c>
      <c r="T50" s="2">
        <f t="shared" si="16"/>
        <v>9.6199999999999994E-2</v>
      </c>
    </row>
    <row r="52" spans="1:20" x14ac:dyDescent="0.15">
      <c r="D52" s="22"/>
      <c r="E52" s="22"/>
    </row>
  </sheetData>
  <mergeCells count="8">
    <mergeCell ref="U3:X3"/>
    <mergeCell ref="R19:S19"/>
    <mergeCell ref="A3:G3"/>
    <mergeCell ref="O3:S3"/>
    <mergeCell ref="I3:L3"/>
    <mergeCell ref="A9:G9"/>
    <mergeCell ref="A19:O19"/>
    <mergeCell ref="U9:Y9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33"/>
  <sheetViews>
    <sheetView workbookViewId="0">
      <selection activeCell="C2" sqref="C2"/>
    </sheetView>
  </sheetViews>
  <sheetFormatPr defaultRowHeight="13.5" x14ac:dyDescent="0.15"/>
  <cols>
    <col min="1" max="1" width="14.125" customWidth="1"/>
    <col min="2" max="2" width="14.125" style="1" customWidth="1"/>
    <col min="3" max="3" width="11.625" customWidth="1"/>
    <col min="4" max="5" width="11.625" style="1" customWidth="1"/>
    <col min="8" max="8" width="9" style="1"/>
  </cols>
  <sheetData>
    <row r="2" spans="1:25" x14ac:dyDescent="0.15">
      <c r="A2" t="s">
        <v>142</v>
      </c>
      <c r="C2">
        <v>800</v>
      </c>
      <c r="J2" t="s">
        <v>149</v>
      </c>
      <c r="K2" t="s">
        <v>150</v>
      </c>
      <c r="L2" t="s">
        <v>151</v>
      </c>
      <c r="O2" s="1"/>
      <c r="P2" s="1"/>
      <c r="Q2" s="1">
        <f>360+75*6</f>
        <v>810</v>
      </c>
      <c r="R2" s="1"/>
      <c r="S2" s="1"/>
      <c r="T2" s="1"/>
      <c r="U2" s="1"/>
      <c r="V2" s="1"/>
      <c r="W2" s="1" t="s">
        <v>149</v>
      </c>
      <c r="X2" s="1" t="s">
        <v>150</v>
      </c>
      <c r="Y2" s="1" t="s">
        <v>151</v>
      </c>
    </row>
    <row r="3" spans="1:25" x14ac:dyDescent="0.15">
      <c r="G3" t="s">
        <v>143</v>
      </c>
      <c r="H3" s="1">
        <v>1</v>
      </c>
      <c r="I3">
        <v>3</v>
      </c>
      <c r="J3">
        <v>0.4</v>
      </c>
      <c r="K3">
        <v>1.21</v>
      </c>
      <c r="L3">
        <f>J3*(1-K3^5)/(1-K3)</f>
        <v>3.0356999239999998</v>
      </c>
      <c r="O3" s="1" t="s">
        <v>153</v>
      </c>
      <c r="P3" s="1" t="s">
        <v>154</v>
      </c>
      <c r="Q3" s="1" t="s">
        <v>155</v>
      </c>
      <c r="R3" s="1" t="s">
        <v>156</v>
      </c>
      <c r="S3" s="1"/>
      <c r="T3" s="1"/>
      <c r="U3" s="1" t="s">
        <v>143</v>
      </c>
      <c r="V3" s="1">
        <v>2</v>
      </c>
      <c r="W3" s="1">
        <v>0.25</v>
      </c>
      <c r="X3" s="1">
        <v>1.24</v>
      </c>
      <c r="Y3" s="1">
        <f>W3*(1-X3^5)/(1-X3)</f>
        <v>2.0121094400000001</v>
      </c>
    </row>
    <row r="4" spans="1:25" x14ac:dyDescent="0.15">
      <c r="A4">
        <v>1</v>
      </c>
      <c r="C4">
        <v>0.4</v>
      </c>
      <c r="D4" s="1">
        <f>ROUND($C$2*C4/10,0)*10</f>
        <v>320</v>
      </c>
      <c r="G4" t="s">
        <v>144</v>
      </c>
      <c r="H4" s="1">
        <v>6</v>
      </c>
      <c r="I4">
        <v>8</v>
      </c>
      <c r="J4">
        <f>J3*K3^5</f>
        <v>1.0374969840399999</v>
      </c>
      <c r="K4">
        <v>1.22</v>
      </c>
      <c r="L4" s="1">
        <f t="shared" ref="L4:L8" si="0">J4*(1-K4^5)/(1-K4)</f>
        <v>8.0297935637285818</v>
      </c>
      <c r="O4" s="1">
        <v>1</v>
      </c>
      <c r="P4" s="1"/>
      <c r="Q4" s="1">
        <v>0.25</v>
      </c>
      <c r="R4" s="1">
        <f>ROUND($C$2*Q4/10,0)*10</f>
        <v>200</v>
      </c>
      <c r="S4" s="1"/>
      <c r="T4" s="1"/>
      <c r="U4" s="1" t="s">
        <v>144</v>
      </c>
      <c r="V4" s="1">
        <v>5</v>
      </c>
      <c r="W4" s="1">
        <f>W3*X3^5</f>
        <v>0.73290626560000005</v>
      </c>
      <c r="X4" s="1">
        <v>1.2</v>
      </c>
      <c r="Y4" s="1">
        <f t="shared" ref="Y4:Y8" si="1">W4*(1-X4^5)/(1-X4)</f>
        <v>5.4539952660889615</v>
      </c>
    </row>
    <row r="5" spans="1:25" x14ac:dyDescent="0.15">
      <c r="A5">
        <v>2</v>
      </c>
      <c r="B5">
        <f t="shared" ref="B5:B33" si="2">VLOOKUP(A5,$H$3:$L$8,4)</f>
        <v>1.21</v>
      </c>
      <c r="C5">
        <f>VLOOKUP(A5,$H$3:$L$8,4)*C4</f>
        <v>0.48399999999999999</v>
      </c>
      <c r="D5" s="1">
        <f t="shared" ref="D5:D33" si="3">ROUND($C$2*C5/10,0)*10</f>
        <v>390</v>
      </c>
      <c r="G5" t="s">
        <v>145</v>
      </c>
      <c r="H5" s="1">
        <v>11</v>
      </c>
      <c r="I5">
        <v>17</v>
      </c>
      <c r="J5" s="1">
        <f t="shared" ref="J5:J8" si="4">J4*K4^5</f>
        <v>2.8040515680602875</v>
      </c>
      <c r="K5">
        <v>1.1000000000000001</v>
      </c>
      <c r="L5" s="1">
        <f t="shared" si="0"/>
        <v>17.119015228164862</v>
      </c>
      <c r="O5" s="1">
        <v>2</v>
      </c>
      <c r="P5" s="1">
        <f>VLOOKUP(O5,$V$3:$Y$8,3)</f>
        <v>1.24</v>
      </c>
      <c r="Q5" s="1">
        <f>P5*Q4</f>
        <v>0.31</v>
      </c>
      <c r="R5" s="1">
        <f t="shared" ref="R5:R33" si="5">ROUND($C$2*Q5/10,0)*10</f>
        <v>250</v>
      </c>
      <c r="S5" s="1"/>
      <c r="T5" s="1"/>
      <c r="U5" s="1" t="s">
        <v>145</v>
      </c>
      <c r="V5" s="1">
        <v>11</v>
      </c>
      <c r="W5" s="1">
        <f t="shared" ref="W5:W8" si="6">W4*X4^5</f>
        <v>1.8237053188177921</v>
      </c>
      <c r="X5" s="1">
        <v>1.1000000000000001</v>
      </c>
      <c r="Y5" s="1">
        <f t="shared" si="1"/>
        <v>11.133903341914502</v>
      </c>
    </row>
    <row r="6" spans="1:25" x14ac:dyDescent="0.15">
      <c r="A6">
        <v>3</v>
      </c>
      <c r="B6" s="1">
        <f t="shared" si="2"/>
        <v>1.21</v>
      </c>
      <c r="C6" s="1">
        <f t="shared" ref="C6:C33" si="7">VLOOKUP(A6,$H$3:$L$8,4)*C5</f>
        <v>0.58563999999999994</v>
      </c>
      <c r="D6" s="1">
        <f t="shared" si="3"/>
        <v>470</v>
      </c>
      <c r="G6" t="s">
        <v>146</v>
      </c>
      <c r="H6" s="1">
        <v>16</v>
      </c>
      <c r="I6">
        <v>30</v>
      </c>
      <c r="J6" s="1">
        <f t="shared" si="4"/>
        <v>4.5159530908767751</v>
      </c>
      <c r="K6">
        <v>1.143</v>
      </c>
      <c r="L6" s="1">
        <f t="shared" si="0"/>
        <v>30.028961928265641</v>
      </c>
      <c r="O6" s="1">
        <v>3</v>
      </c>
      <c r="P6" s="1">
        <f t="shared" ref="P6:P33" si="8">VLOOKUP(O6,$V$3:$Y$8,3)</f>
        <v>1.24</v>
      </c>
      <c r="Q6" s="1">
        <f t="shared" ref="Q6:Q33" si="9">P6*Q5</f>
        <v>0.38440000000000002</v>
      </c>
      <c r="R6" s="1">
        <f t="shared" si="5"/>
        <v>310</v>
      </c>
      <c r="S6" s="1"/>
      <c r="T6" s="1"/>
      <c r="U6" s="1" t="s">
        <v>146</v>
      </c>
      <c r="V6" s="1">
        <v>18</v>
      </c>
      <c r="W6" s="1">
        <f t="shared" si="6"/>
        <v>2.9370956530092434</v>
      </c>
      <c r="X6" s="1">
        <v>1.1000000000000001</v>
      </c>
      <c r="Y6" s="1">
        <f t="shared" si="1"/>
        <v>17.931262671186733</v>
      </c>
    </row>
    <row r="7" spans="1:25" x14ac:dyDescent="0.15">
      <c r="A7" s="1">
        <v>4</v>
      </c>
      <c r="B7" s="1">
        <f t="shared" si="2"/>
        <v>1.21</v>
      </c>
      <c r="C7" s="1">
        <f t="shared" si="7"/>
        <v>0.70862439999999993</v>
      </c>
      <c r="D7" s="1">
        <f t="shared" si="3"/>
        <v>570</v>
      </c>
      <c r="G7" t="s">
        <v>147</v>
      </c>
      <c r="H7" s="1">
        <v>21</v>
      </c>
      <c r="I7">
        <v>50</v>
      </c>
      <c r="J7" s="1">
        <f t="shared" si="4"/>
        <v>8.8100946466187615</v>
      </c>
      <c r="K7">
        <v>1.0640000000000001</v>
      </c>
      <c r="L7" s="1">
        <f t="shared" si="0"/>
        <v>50.061490659771437</v>
      </c>
      <c r="O7" s="1">
        <v>4</v>
      </c>
      <c r="P7" s="1">
        <f t="shared" si="8"/>
        <v>1.24</v>
      </c>
      <c r="Q7" s="1">
        <f t="shared" si="9"/>
        <v>0.47665600000000002</v>
      </c>
      <c r="R7" s="1">
        <f t="shared" si="5"/>
        <v>380</v>
      </c>
      <c r="S7" s="1"/>
      <c r="T7" s="1"/>
      <c r="U7" s="1" t="s">
        <v>147</v>
      </c>
      <c r="V7" s="1">
        <v>28</v>
      </c>
      <c r="W7" s="1">
        <f t="shared" si="6"/>
        <v>4.7302219201279181</v>
      </c>
      <c r="X7" s="1">
        <v>1.1000000000000001</v>
      </c>
      <c r="Y7" s="1">
        <f t="shared" si="1"/>
        <v>28.878477844572956</v>
      </c>
    </row>
    <row r="8" spans="1:25" x14ac:dyDescent="0.15">
      <c r="A8" s="1">
        <v>5</v>
      </c>
      <c r="B8" s="1">
        <f t="shared" si="2"/>
        <v>1.21</v>
      </c>
      <c r="C8" s="1">
        <f t="shared" si="7"/>
        <v>0.85743552399999989</v>
      </c>
      <c r="D8" s="1">
        <f t="shared" si="3"/>
        <v>690</v>
      </c>
      <c r="G8" t="s">
        <v>148</v>
      </c>
      <c r="H8" s="1">
        <v>26</v>
      </c>
      <c r="I8">
        <v>72</v>
      </c>
      <c r="J8" s="1">
        <f t="shared" si="4"/>
        <v>12.014030048844136</v>
      </c>
      <c r="K8">
        <v>1.091</v>
      </c>
      <c r="L8" s="1">
        <f t="shared" si="0"/>
        <v>72.043890401845374</v>
      </c>
      <c r="O8" s="1">
        <v>5</v>
      </c>
      <c r="P8" s="1">
        <f t="shared" si="8"/>
        <v>1.2</v>
      </c>
      <c r="Q8" s="1">
        <f t="shared" si="9"/>
        <v>0.57198720000000003</v>
      </c>
      <c r="R8" s="1">
        <f t="shared" si="5"/>
        <v>460</v>
      </c>
      <c r="S8" s="1"/>
      <c r="T8" s="1"/>
      <c r="U8" s="1" t="s">
        <v>148</v>
      </c>
      <c r="V8" s="1">
        <v>30</v>
      </c>
      <c r="W8" s="1">
        <f t="shared" si="6"/>
        <v>7.6180697045852162</v>
      </c>
      <c r="X8" s="1">
        <v>1.05</v>
      </c>
      <c r="Y8" s="1">
        <f t="shared" si="1"/>
        <v>42.094644024334315</v>
      </c>
    </row>
    <row r="9" spans="1:25" x14ac:dyDescent="0.15">
      <c r="A9" s="1">
        <v>6</v>
      </c>
      <c r="B9" s="1">
        <f t="shared" si="2"/>
        <v>1.22</v>
      </c>
      <c r="C9" s="1">
        <f t="shared" si="7"/>
        <v>1.0460713392799998</v>
      </c>
      <c r="D9" s="1">
        <f t="shared" si="3"/>
        <v>840</v>
      </c>
      <c r="O9" s="1">
        <v>6</v>
      </c>
      <c r="P9" s="1">
        <f t="shared" si="8"/>
        <v>1.2</v>
      </c>
      <c r="Q9" s="1">
        <f t="shared" si="9"/>
        <v>0.68638463999999999</v>
      </c>
      <c r="R9" s="1">
        <f t="shared" si="5"/>
        <v>550</v>
      </c>
      <c r="S9" s="1"/>
      <c r="T9" s="1"/>
      <c r="U9" s="1"/>
      <c r="V9" s="1"/>
      <c r="W9" s="1"/>
      <c r="X9" s="1"/>
      <c r="Y9" s="1"/>
    </row>
    <row r="10" spans="1:25" x14ac:dyDescent="0.15">
      <c r="A10" s="1">
        <v>7</v>
      </c>
      <c r="B10" s="1">
        <f t="shared" si="2"/>
        <v>1.22</v>
      </c>
      <c r="C10" s="1">
        <f t="shared" si="7"/>
        <v>1.2762070339215998</v>
      </c>
      <c r="D10" s="1">
        <f t="shared" si="3"/>
        <v>1020</v>
      </c>
      <c r="O10" s="1">
        <v>7</v>
      </c>
      <c r="P10" s="1">
        <f t="shared" si="8"/>
        <v>1.2</v>
      </c>
      <c r="Q10" s="1">
        <f t="shared" si="9"/>
        <v>0.82366156800000001</v>
      </c>
      <c r="R10" s="1">
        <f t="shared" si="5"/>
        <v>660</v>
      </c>
      <c r="S10" s="1"/>
      <c r="T10" s="1"/>
      <c r="U10" s="1"/>
      <c r="V10" s="1"/>
      <c r="W10" s="1"/>
      <c r="X10" s="1"/>
      <c r="Y10" s="1"/>
    </row>
    <row r="11" spans="1:25" x14ac:dyDescent="0.15">
      <c r="A11" s="1">
        <v>8</v>
      </c>
      <c r="B11" s="1">
        <f t="shared" si="2"/>
        <v>1.22</v>
      </c>
      <c r="C11" s="1">
        <f t="shared" si="7"/>
        <v>1.5569725813843518</v>
      </c>
      <c r="D11" s="1">
        <f t="shared" si="3"/>
        <v>1250</v>
      </c>
      <c r="O11" s="1">
        <v>8</v>
      </c>
      <c r="P11" s="1">
        <f t="shared" si="8"/>
        <v>1.2</v>
      </c>
      <c r="Q11" s="1">
        <f t="shared" si="9"/>
        <v>0.98839388159999997</v>
      </c>
      <c r="R11" s="1">
        <f t="shared" si="5"/>
        <v>790</v>
      </c>
      <c r="S11" s="1"/>
      <c r="T11" s="1"/>
      <c r="U11" s="1"/>
      <c r="V11" s="1"/>
      <c r="W11" s="1"/>
      <c r="X11" s="1"/>
      <c r="Y11" s="1"/>
    </row>
    <row r="12" spans="1:25" x14ac:dyDescent="0.15">
      <c r="A12" s="1">
        <v>9</v>
      </c>
      <c r="B12" s="1">
        <f t="shared" si="2"/>
        <v>1.22</v>
      </c>
      <c r="C12" s="1">
        <f t="shared" si="7"/>
        <v>1.8995065492889092</v>
      </c>
      <c r="D12" s="1">
        <f t="shared" si="3"/>
        <v>1520</v>
      </c>
      <c r="O12" s="1">
        <v>9</v>
      </c>
      <c r="P12" s="1">
        <f t="shared" si="8"/>
        <v>1.2</v>
      </c>
      <c r="Q12" s="1">
        <f t="shared" si="9"/>
        <v>1.1860726579199998</v>
      </c>
      <c r="R12" s="1">
        <f t="shared" si="5"/>
        <v>950</v>
      </c>
      <c r="S12" s="1"/>
      <c r="T12" s="1"/>
      <c r="U12" s="1"/>
      <c r="V12" s="1"/>
      <c r="W12" s="1"/>
      <c r="X12" s="1"/>
      <c r="Y12" s="1"/>
    </row>
    <row r="13" spans="1:25" x14ac:dyDescent="0.15">
      <c r="A13" s="1">
        <v>10</v>
      </c>
      <c r="B13" s="1">
        <f t="shared" si="2"/>
        <v>1.22</v>
      </c>
      <c r="C13" s="1">
        <f t="shared" si="7"/>
        <v>2.3173979901324691</v>
      </c>
      <c r="D13" s="1">
        <f t="shared" si="3"/>
        <v>1850</v>
      </c>
      <c r="O13" s="1">
        <v>10</v>
      </c>
      <c r="P13" s="1">
        <f t="shared" si="8"/>
        <v>1.2</v>
      </c>
      <c r="Q13" s="1">
        <f t="shared" si="9"/>
        <v>1.4232871895039998</v>
      </c>
      <c r="R13" s="1">
        <f t="shared" si="5"/>
        <v>1140</v>
      </c>
      <c r="S13" s="1"/>
      <c r="T13" s="1"/>
      <c r="U13" s="1"/>
      <c r="V13" s="1"/>
      <c r="W13" s="1"/>
      <c r="X13" s="1"/>
      <c r="Y13" s="1"/>
    </row>
    <row r="14" spans="1:25" x14ac:dyDescent="0.15">
      <c r="A14" s="1">
        <v>11</v>
      </c>
      <c r="B14" s="1">
        <f t="shared" si="2"/>
        <v>1.1000000000000001</v>
      </c>
      <c r="C14" s="1">
        <f t="shared" si="7"/>
        <v>2.5491377891457163</v>
      </c>
      <c r="D14" s="1">
        <f t="shared" si="3"/>
        <v>2040</v>
      </c>
      <c r="O14" s="1">
        <v>11</v>
      </c>
      <c r="P14" s="1">
        <f t="shared" si="8"/>
        <v>1.1000000000000001</v>
      </c>
      <c r="Q14" s="1">
        <f t="shared" si="9"/>
        <v>1.5656159084543999</v>
      </c>
      <c r="R14" s="1">
        <f t="shared" si="5"/>
        <v>1250</v>
      </c>
      <c r="S14" s="1"/>
      <c r="T14" s="1"/>
      <c r="U14" s="1"/>
      <c r="V14" s="1"/>
      <c r="W14" s="1"/>
      <c r="X14" s="1"/>
      <c r="Y14" s="1"/>
    </row>
    <row r="15" spans="1:25" x14ac:dyDescent="0.15">
      <c r="A15" s="1">
        <v>12</v>
      </c>
      <c r="B15" s="1">
        <f t="shared" si="2"/>
        <v>1.1000000000000001</v>
      </c>
      <c r="C15" s="1">
        <f t="shared" si="7"/>
        <v>2.804051568060288</v>
      </c>
      <c r="D15" s="1">
        <f t="shared" si="3"/>
        <v>2240</v>
      </c>
      <c r="O15" s="1">
        <v>12</v>
      </c>
      <c r="P15" s="1">
        <f t="shared" si="8"/>
        <v>1.1000000000000001</v>
      </c>
      <c r="Q15" s="1">
        <f t="shared" si="9"/>
        <v>1.72217749929984</v>
      </c>
      <c r="R15" s="1">
        <f t="shared" si="5"/>
        <v>1380</v>
      </c>
      <c r="S15" s="1"/>
      <c r="T15" s="1"/>
      <c r="U15" s="1"/>
      <c r="V15" s="1"/>
      <c r="W15" s="1"/>
      <c r="X15" s="1"/>
      <c r="Y15" s="1"/>
    </row>
    <row r="16" spans="1:25" x14ac:dyDescent="0.15">
      <c r="A16" s="1">
        <v>13</v>
      </c>
      <c r="B16" s="1">
        <f t="shared" si="2"/>
        <v>1.1000000000000001</v>
      </c>
      <c r="C16" s="1">
        <f t="shared" si="7"/>
        <v>3.0844567248663171</v>
      </c>
      <c r="D16" s="1">
        <f t="shared" si="3"/>
        <v>2470</v>
      </c>
      <c r="O16" s="1">
        <v>13</v>
      </c>
      <c r="P16" s="1">
        <f t="shared" si="8"/>
        <v>1.1000000000000001</v>
      </c>
      <c r="Q16" s="1">
        <f t="shared" si="9"/>
        <v>1.8943952492298242</v>
      </c>
      <c r="R16" s="1">
        <f t="shared" si="5"/>
        <v>1520</v>
      </c>
      <c r="S16" s="1"/>
      <c r="T16" s="1"/>
      <c r="U16" s="1"/>
      <c r="V16" s="1"/>
      <c r="W16" s="1"/>
      <c r="X16" s="1"/>
      <c r="Y16" s="1"/>
    </row>
    <row r="17" spans="1:25" x14ac:dyDescent="0.15">
      <c r="A17" s="1">
        <v>14</v>
      </c>
      <c r="B17" s="1">
        <f t="shared" si="2"/>
        <v>1.1000000000000001</v>
      </c>
      <c r="C17" s="1">
        <f t="shared" si="7"/>
        <v>3.3929023973529491</v>
      </c>
      <c r="D17" s="1">
        <f t="shared" si="3"/>
        <v>2710</v>
      </c>
      <c r="O17" s="1">
        <v>14</v>
      </c>
      <c r="P17" s="1">
        <f t="shared" si="8"/>
        <v>1.1000000000000001</v>
      </c>
      <c r="Q17" s="1">
        <f t="shared" si="9"/>
        <v>2.0838347741528067</v>
      </c>
      <c r="R17" s="1">
        <f t="shared" si="5"/>
        <v>1670</v>
      </c>
      <c r="S17" s="1"/>
      <c r="T17" s="1"/>
      <c r="U17" s="1"/>
      <c r="V17" s="1"/>
      <c r="W17" s="1"/>
      <c r="X17" s="1"/>
      <c r="Y17" s="1"/>
    </row>
    <row r="18" spans="1:25" x14ac:dyDescent="0.15">
      <c r="A18" s="1">
        <v>15</v>
      </c>
      <c r="B18" s="1">
        <f t="shared" si="2"/>
        <v>1.1000000000000001</v>
      </c>
      <c r="C18" s="1">
        <f t="shared" si="7"/>
        <v>3.7321926370882443</v>
      </c>
      <c r="D18" s="1">
        <f t="shared" si="3"/>
        <v>2990</v>
      </c>
      <c r="O18" s="1">
        <v>15</v>
      </c>
      <c r="P18" s="1">
        <f t="shared" si="8"/>
        <v>1.1000000000000001</v>
      </c>
      <c r="Q18" s="1">
        <f t="shared" si="9"/>
        <v>2.2922182515680878</v>
      </c>
      <c r="R18" s="1">
        <f t="shared" si="5"/>
        <v>1830</v>
      </c>
      <c r="S18" s="1"/>
      <c r="T18" s="1"/>
      <c r="U18" s="1"/>
      <c r="V18" s="1"/>
      <c r="W18" s="1"/>
      <c r="X18" s="1"/>
      <c r="Y18" s="1"/>
    </row>
    <row r="19" spans="1:25" x14ac:dyDescent="0.15">
      <c r="A19" s="1">
        <v>16</v>
      </c>
      <c r="B19" s="1">
        <f t="shared" si="2"/>
        <v>1.143</v>
      </c>
      <c r="C19" s="1">
        <f t="shared" si="7"/>
        <v>4.2658961841918632</v>
      </c>
      <c r="D19" s="1">
        <f t="shared" si="3"/>
        <v>3410</v>
      </c>
      <c r="O19" s="1">
        <v>16</v>
      </c>
      <c r="P19" s="1">
        <f t="shared" si="8"/>
        <v>1.1000000000000001</v>
      </c>
      <c r="Q19" s="1">
        <f t="shared" si="9"/>
        <v>2.5214400767248968</v>
      </c>
      <c r="R19" s="1">
        <f t="shared" si="5"/>
        <v>2020</v>
      </c>
      <c r="S19" s="1"/>
      <c r="T19" s="1"/>
      <c r="U19" s="1"/>
      <c r="V19" s="1"/>
      <c r="W19" s="1"/>
      <c r="X19" s="1"/>
      <c r="Y19" s="1"/>
    </row>
    <row r="20" spans="1:25" x14ac:dyDescent="0.15">
      <c r="A20" s="1">
        <v>17</v>
      </c>
      <c r="B20" s="1">
        <f t="shared" si="2"/>
        <v>1.143</v>
      </c>
      <c r="C20" s="1">
        <f t="shared" si="7"/>
        <v>4.8759193385312996</v>
      </c>
      <c r="D20" s="1">
        <f t="shared" si="3"/>
        <v>3900</v>
      </c>
      <c r="O20" s="1">
        <v>17</v>
      </c>
      <c r="P20" s="1">
        <f t="shared" si="8"/>
        <v>1.1000000000000001</v>
      </c>
      <c r="Q20" s="1">
        <f t="shared" si="9"/>
        <v>2.7735840843973869</v>
      </c>
      <c r="R20" s="1">
        <f t="shared" si="5"/>
        <v>2220</v>
      </c>
      <c r="S20" s="1"/>
      <c r="T20" s="1"/>
      <c r="U20" s="1"/>
      <c r="V20" s="1"/>
      <c r="W20" s="1"/>
      <c r="X20" s="1"/>
      <c r="Y20" s="1"/>
    </row>
    <row r="21" spans="1:25" x14ac:dyDescent="0.15">
      <c r="A21" s="1">
        <v>18</v>
      </c>
      <c r="B21" s="1">
        <f t="shared" si="2"/>
        <v>1.143</v>
      </c>
      <c r="C21" s="1">
        <f t="shared" si="7"/>
        <v>5.5731758039412753</v>
      </c>
      <c r="D21" s="1">
        <f t="shared" si="3"/>
        <v>4460</v>
      </c>
      <c r="O21" s="1">
        <v>18</v>
      </c>
      <c r="P21" s="1">
        <f t="shared" si="8"/>
        <v>1.1000000000000001</v>
      </c>
      <c r="Q21" s="1">
        <f t="shared" si="9"/>
        <v>3.0509424928371258</v>
      </c>
      <c r="R21" s="1">
        <f t="shared" si="5"/>
        <v>2440</v>
      </c>
      <c r="S21" s="1"/>
      <c r="T21" s="1"/>
      <c r="U21" s="1"/>
      <c r="V21" s="1"/>
      <c r="W21" s="1"/>
      <c r="X21" s="1"/>
      <c r="Y21" s="1"/>
    </row>
    <row r="22" spans="1:25" x14ac:dyDescent="0.15">
      <c r="A22" s="1">
        <v>19</v>
      </c>
      <c r="B22" s="1">
        <f t="shared" si="2"/>
        <v>1.143</v>
      </c>
      <c r="C22" s="1">
        <f t="shared" si="7"/>
        <v>6.3701399439048778</v>
      </c>
      <c r="D22" s="1">
        <f t="shared" si="3"/>
        <v>5100</v>
      </c>
      <c r="O22" s="1">
        <v>19</v>
      </c>
      <c r="P22" s="1">
        <f t="shared" si="8"/>
        <v>1.1000000000000001</v>
      </c>
      <c r="Q22" s="1">
        <f t="shared" si="9"/>
        <v>3.3560367421208386</v>
      </c>
      <c r="R22" s="1">
        <f t="shared" si="5"/>
        <v>2680</v>
      </c>
      <c r="S22" s="1"/>
      <c r="T22" s="1"/>
      <c r="U22" s="1"/>
      <c r="V22" s="1"/>
      <c r="W22" s="1"/>
      <c r="X22" s="1"/>
      <c r="Y22" s="1"/>
    </row>
    <row r="23" spans="1:25" x14ac:dyDescent="0.15">
      <c r="A23" s="1">
        <v>20</v>
      </c>
      <c r="B23" s="1">
        <f t="shared" si="2"/>
        <v>1.143</v>
      </c>
      <c r="C23" s="1">
        <f t="shared" si="7"/>
        <v>7.2810699558832752</v>
      </c>
      <c r="D23" s="1">
        <f t="shared" si="3"/>
        <v>5820</v>
      </c>
      <c r="O23" s="1">
        <v>20</v>
      </c>
      <c r="P23" s="1">
        <f t="shared" si="8"/>
        <v>1.1000000000000001</v>
      </c>
      <c r="Q23" s="1">
        <f t="shared" si="9"/>
        <v>3.6916404163329228</v>
      </c>
      <c r="R23" s="1">
        <f t="shared" si="5"/>
        <v>2950</v>
      </c>
      <c r="S23" s="1"/>
      <c r="T23" s="1"/>
      <c r="U23" s="1"/>
      <c r="V23" s="1"/>
      <c r="W23" s="1"/>
      <c r="X23" s="1"/>
      <c r="Y23" s="1"/>
    </row>
    <row r="24" spans="1:25" x14ac:dyDescent="0.15">
      <c r="A24" s="1">
        <v>21</v>
      </c>
      <c r="B24" s="1">
        <f t="shared" si="2"/>
        <v>1.0640000000000001</v>
      </c>
      <c r="C24" s="1">
        <f t="shared" si="7"/>
        <v>7.7470584330598049</v>
      </c>
      <c r="D24" s="1">
        <f t="shared" si="3"/>
        <v>6200</v>
      </c>
      <c r="O24" s="1">
        <v>21</v>
      </c>
      <c r="P24" s="1">
        <f t="shared" si="8"/>
        <v>1.1000000000000001</v>
      </c>
      <c r="Q24" s="1">
        <f t="shared" si="9"/>
        <v>4.0608044579662153</v>
      </c>
      <c r="R24" s="1">
        <f t="shared" si="5"/>
        <v>3250</v>
      </c>
      <c r="S24" s="1"/>
      <c r="T24" s="1"/>
      <c r="U24" s="1"/>
      <c r="V24" s="1"/>
      <c r="W24" s="1"/>
      <c r="X24" s="1"/>
      <c r="Y24" s="1"/>
    </row>
    <row r="25" spans="1:25" x14ac:dyDescent="0.15">
      <c r="A25" s="1">
        <v>22</v>
      </c>
      <c r="B25" s="1">
        <f t="shared" si="2"/>
        <v>1.0640000000000001</v>
      </c>
      <c r="C25" s="1">
        <f t="shared" si="7"/>
        <v>8.2428701727756337</v>
      </c>
      <c r="D25" s="1">
        <f t="shared" si="3"/>
        <v>6590</v>
      </c>
      <c r="O25" s="1">
        <v>22</v>
      </c>
      <c r="P25" s="1">
        <f t="shared" si="8"/>
        <v>1.1000000000000001</v>
      </c>
      <c r="Q25" s="1">
        <f t="shared" si="9"/>
        <v>4.4668849037628373</v>
      </c>
      <c r="R25" s="1">
        <f t="shared" si="5"/>
        <v>3570</v>
      </c>
      <c r="S25" s="1"/>
      <c r="T25" s="1"/>
      <c r="U25" s="1"/>
      <c r="V25" s="1"/>
      <c r="W25" s="1"/>
      <c r="X25" s="1"/>
      <c r="Y25" s="1"/>
    </row>
    <row r="26" spans="1:25" x14ac:dyDescent="0.15">
      <c r="A26" s="1">
        <v>23</v>
      </c>
      <c r="B26" s="1">
        <f t="shared" si="2"/>
        <v>1.0640000000000001</v>
      </c>
      <c r="C26" s="1">
        <f t="shared" si="7"/>
        <v>8.7704138638332747</v>
      </c>
      <c r="D26" s="1">
        <f t="shared" si="3"/>
        <v>7020</v>
      </c>
      <c r="O26" s="1">
        <v>23</v>
      </c>
      <c r="P26" s="1">
        <f t="shared" si="8"/>
        <v>1.1000000000000001</v>
      </c>
      <c r="Q26" s="1">
        <f t="shared" si="9"/>
        <v>4.9135733941391218</v>
      </c>
      <c r="R26" s="1">
        <f t="shared" si="5"/>
        <v>3930</v>
      </c>
      <c r="S26" s="1"/>
      <c r="T26" s="1"/>
      <c r="U26" s="1"/>
      <c r="V26" s="1"/>
      <c r="W26" s="1"/>
      <c r="X26" s="1"/>
      <c r="Y26" s="1"/>
    </row>
    <row r="27" spans="1:25" x14ac:dyDescent="0.15">
      <c r="A27" s="1">
        <v>24</v>
      </c>
      <c r="B27" s="1">
        <f t="shared" si="2"/>
        <v>1.0640000000000001</v>
      </c>
      <c r="C27" s="1">
        <f t="shared" si="7"/>
        <v>9.3317203511186051</v>
      </c>
      <c r="D27" s="1">
        <f t="shared" si="3"/>
        <v>7470</v>
      </c>
      <c r="O27" s="1">
        <v>24</v>
      </c>
      <c r="P27" s="1">
        <f t="shared" si="8"/>
        <v>1.1000000000000001</v>
      </c>
      <c r="Q27" s="1">
        <f t="shared" si="9"/>
        <v>5.4049307335530345</v>
      </c>
      <c r="R27" s="1">
        <f t="shared" si="5"/>
        <v>4320</v>
      </c>
      <c r="S27" s="1"/>
      <c r="T27" s="1"/>
      <c r="U27" s="1"/>
      <c r="V27" s="1"/>
      <c r="W27" s="1"/>
      <c r="X27" s="1"/>
      <c r="Y27" s="1"/>
    </row>
    <row r="28" spans="1:25" x14ac:dyDescent="0.15">
      <c r="A28" s="1">
        <v>25</v>
      </c>
      <c r="B28" s="1">
        <f t="shared" si="2"/>
        <v>1.0640000000000001</v>
      </c>
      <c r="C28" s="1">
        <f t="shared" si="7"/>
        <v>9.9289504535901969</v>
      </c>
      <c r="D28" s="1">
        <f t="shared" si="3"/>
        <v>7940</v>
      </c>
      <c r="O28" s="1">
        <v>25</v>
      </c>
      <c r="P28" s="1">
        <f t="shared" si="8"/>
        <v>1.1000000000000001</v>
      </c>
      <c r="Q28" s="1">
        <f t="shared" si="9"/>
        <v>5.9454238069083383</v>
      </c>
      <c r="R28" s="1">
        <f t="shared" si="5"/>
        <v>4760</v>
      </c>
      <c r="S28" s="1"/>
      <c r="T28" s="1"/>
      <c r="U28" s="1"/>
      <c r="V28" s="1"/>
      <c r="W28" s="1"/>
      <c r="X28" s="1"/>
      <c r="Y28" s="1"/>
    </row>
    <row r="29" spans="1:25" x14ac:dyDescent="0.15">
      <c r="A29" s="1">
        <v>26</v>
      </c>
      <c r="B29" s="1">
        <f t="shared" si="2"/>
        <v>1.091</v>
      </c>
      <c r="C29" s="1">
        <f t="shared" si="7"/>
        <v>10.832484944866904</v>
      </c>
      <c r="D29" s="1">
        <f t="shared" si="3"/>
        <v>8670</v>
      </c>
      <c r="O29" s="1">
        <v>26</v>
      </c>
      <c r="P29" s="1">
        <f t="shared" si="8"/>
        <v>1.1000000000000001</v>
      </c>
      <c r="Q29" s="1">
        <f t="shared" si="9"/>
        <v>6.5399661875991724</v>
      </c>
      <c r="R29" s="1">
        <f t="shared" si="5"/>
        <v>5230</v>
      </c>
      <c r="S29" s="1"/>
      <c r="T29" s="1"/>
      <c r="U29" s="1"/>
      <c r="V29" s="1"/>
      <c r="W29" s="1"/>
      <c r="X29" s="1"/>
      <c r="Y29" s="1"/>
    </row>
    <row r="30" spans="1:25" x14ac:dyDescent="0.15">
      <c r="A30" s="1">
        <v>27</v>
      </c>
      <c r="B30" s="1">
        <f t="shared" si="2"/>
        <v>1.091</v>
      </c>
      <c r="C30" s="1">
        <f t="shared" si="7"/>
        <v>11.818241074849793</v>
      </c>
      <c r="D30" s="1">
        <f t="shared" si="3"/>
        <v>9450</v>
      </c>
      <c r="O30" s="1">
        <v>27</v>
      </c>
      <c r="P30" s="1">
        <f t="shared" si="8"/>
        <v>1.1000000000000001</v>
      </c>
      <c r="Q30" s="1">
        <f t="shared" si="9"/>
        <v>7.1939628063590906</v>
      </c>
      <c r="R30" s="1">
        <f t="shared" si="5"/>
        <v>5760</v>
      </c>
      <c r="S30" s="1"/>
      <c r="T30" s="1"/>
      <c r="U30" s="1"/>
      <c r="V30" s="1"/>
      <c r="W30" s="1"/>
      <c r="X30" s="1"/>
      <c r="Y30" s="1"/>
    </row>
    <row r="31" spans="1:25" x14ac:dyDescent="0.15">
      <c r="A31" s="1">
        <v>28</v>
      </c>
      <c r="B31" s="1">
        <f t="shared" si="2"/>
        <v>1.091</v>
      </c>
      <c r="C31" s="1">
        <f t="shared" si="7"/>
        <v>12.893701012661124</v>
      </c>
      <c r="D31" s="1">
        <f t="shared" si="3"/>
        <v>10310</v>
      </c>
      <c r="O31" s="1">
        <v>28</v>
      </c>
      <c r="P31" s="1">
        <f t="shared" si="8"/>
        <v>1.1000000000000001</v>
      </c>
      <c r="Q31" s="1">
        <f t="shared" si="9"/>
        <v>7.9133590869950003</v>
      </c>
      <c r="R31" s="1">
        <f t="shared" si="5"/>
        <v>6330</v>
      </c>
      <c r="S31" s="1"/>
      <c r="T31" s="1"/>
      <c r="U31" s="1"/>
      <c r="V31" s="1"/>
      <c r="W31" s="1"/>
      <c r="X31" s="1"/>
      <c r="Y31" s="1"/>
    </row>
    <row r="32" spans="1:25" x14ac:dyDescent="0.15">
      <c r="A32" s="1">
        <v>29</v>
      </c>
      <c r="B32" s="1">
        <f t="shared" si="2"/>
        <v>1.091</v>
      </c>
      <c r="C32" s="1">
        <f t="shared" si="7"/>
        <v>14.067027804813286</v>
      </c>
      <c r="D32" s="1">
        <f t="shared" si="3"/>
        <v>11250</v>
      </c>
      <c r="O32" s="1">
        <v>29</v>
      </c>
      <c r="P32" s="1">
        <f t="shared" si="8"/>
        <v>1.1000000000000001</v>
      </c>
      <c r="Q32" s="1">
        <f t="shared" si="9"/>
        <v>8.704694995694501</v>
      </c>
      <c r="R32" s="1">
        <f t="shared" si="5"/>
        <v>6960</v>
      </c>
      <c r="S32" s="1"/>
      <c r="T32" s="1"/>
      <c r="U32" s="1"/>
      <c r="V32" s="1"/>
      <c r="W32" s="1"/>
      <c r="X32" s="1"/>
      <c r="Y32" s="1"/>
    </row>
    <row r="33" spans="1:25" x14ac:dyDescent="0.15">
      <c r="A33" s="1">
        <v>30</v>
      </c>
      <c r="B33" s="1">
        <f t="shared" si="2"/>
        <v>1.091</v>
      </c>
      <c r="C33" s="1">
        <f t="shared" si="7"/>
        <v>15.347127335051294</v>
      </c>
      <c r="D33" s="1">
        <f t="shared" si="3"/>
        <v>12280</v>
      </c>
      <c r="O33" s="1">
        <v>30</v>
      </c>
      <c r="P33" s="1">
        <f t="shared" si="8"/>
        <v>1.05</v>
      </c>
      <c r="Q33" s="1">
        <f t="shared" si="9"/>
        <v>9.1399297454792272</v>
      </c>
      <c r="R33" s="1">
        <f t="shared" si="5"/>
        <v>7310</v>
      </c>
      <c r="S33" s="1"/>
      <c r="T33" s="1"/>
      <c r="U33" s="1"/>
      <c r="V33" s="1"/>
      <c r="W33" s="1"/>
      <c r="X33" s="1"/>
      <c r="Y33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tabSelected="1" workbookViewId="0">
      <selection activeCell="P19" sqref="P19"/>
    </sheetView>
  </sheetViews>
  <sheetFormatPr defaultRowHeight="13.5" x14ac:dyDescent="0.15"/>
  <cols>
    <col min="1" max="1" width="10.125" style="1" customWidth="1"/>
    <col min="2" max="2" width="11.75" customWidth="1"/>
    <col min="4" max="4" width="8.25" customWidth="1"/>
    <col min="8" max="8" width="9.875" customWidth="1"/>
    <col min="9" max="9" width="9.5" bestFit="1" customWidth="1"/>
    <col min="10" max="10" width="9" style="1"/>
    <col min="11" max="11" width="10" style="1" customWidth="1"/>
  </cols>
  <sheetData>
    <row r="1" spans="1:25" x14ac:dyDescent="0.15">
      <c r="J1" s="1">
        <f>SUM(J7:J16)</f>
        <v>113.330078125</v>
      </c>
    </row>
    <row r="2" spans="1:25" s="1" customFormat="1" x14ac:dyDescent="0.15">
      <c r="A2" s="1" t="s">
        <v>8</v>
      </c>
      <c r="B2" s="1" t="str">
        <f>(SUM(B6:B15)*B21+SUM(F6:F16)/B30+SUM(L6:L16)*15)&amp;"钻"</f>
        <v>43147钻</v>
      </c>
      <c r="C2" s="1" t="str">
        <f>(SUM(C6:C14)*B22+SUM(G6:G14)/B30+SUM(M6:M14)*10)&amp;"钻"</f>
        <v>46325钻</v>
      </c>
      <c r="D2" s="1">
        <f>卡牌突破消耗!I22</f>
        <v>104</v>
      </c>
      <c r="E2" s="1" t="str">
        <f>(SUM(E6:E9)*B24+SUM(I6:I9)/B30+SUM(O6:O9)*10)&amp;"钻"</f>
        <v>38350钻</v>
      </c>
      <c r="F2" s="1" t="str">
        <f>SUM(F7:F16)/钻石兑金币&amp;"钻"</f>
        <v>15052钻</v>
      </c>
      <c r="G2" s="1" t="str">
        <f>SUM(G6:G14)/钻石兑金币&amp;"钻"</f>
        <v>15040钻</v>
      </c>
      <c r="H2" s="1" t="str">
        <f>SUM(H6:H12)/钻石兑金币&amp;"钻"</f>
        <v>14960钻</v>
      </c>
      <c r="I2" s="1" t="str">
        <f>SUM(I6:I9)/钻石兑金币&amp;"钻"</f>
        <v>13600钻</v>
      </c>
      <c r="J2" s="1">
        <v>1.5</v>
      </c>
    </row>
    <row r="3" spans="1:25" s="1" customFormat="1" x14ac:dyDescent="0.15">
      <c r="B3" s="1">
        <f>SUM(B6:B15)*B21</f>
        <v>13095</v>
      </c>
      <c r="F3" s="1">
        <f>SUM(F6:F16)/钻石兑金币</f>
        <v>15052</v>
      </c>
      <c r="L3" s="1">
        <f>SUM(L7:L16)*15</f>
        <v>15000</v>
      </c>
    </row>
    <row r="4" spans="1:25" s="1" customFormat="1" ht="18" customHeight="1" x14ac:dyDescent="0.15">
      <c r="B4" s="25" t="s">
        <v>5</v>
      </c>
      <c r="C4" s="25"/>
      <c r="D4" s="25"/>
      <c r="E4" s="25"/>
      <c r="F4" s="25" t="s">
        <v>6</v>
      </c>
      <c r="G4" s="25"/>
      <c r="H4" s="25"/>
      <c r="I4" s="25"/>
      <c r="J4" s="25" t="s">
        <v>7</v>
      </c>
      <c r="K4" s="25"/>
      <c r="L4" s="25"/>
      <c r="M4" s="25"/>
      <c r="N4" s="25"/>
      <c r="O4" s="25"/>
    </row>
    <row r="5" spans="1:25" x14ac:dyDescent="0.15">
      <c r="A5" s="1" t="s">
        <v>4</v>
      </c>
      <c r="B5" t="s">
        <v>0</v>
      </c>
      <c r="C5" t="s">
        <v>1</v>
      </c>
      <c r="D5" t="s">
        <v>2</v>
      </c>
      <c r="E5" t="s">
        <v>3</v>
      </c>
      <c r="F5" s="1" t="s">
        <v>0</v>
      </c>
      <c r="G5" s="1" t="s">
        <v>1</v>
      </c>
      <c r="H5" s="1" t="s">
        <v>2</v>
      </c>
      <c r="I5" s="1" t="s">
        <v>3</v>
      </c>
      <c r="J5" s="1" t="s">
        <v>9</v>
      </c>
      <c r="K5" s="1" t="s">
        <v>10</v>
      </c>
      <c r="L5" s="1" t="s">
        <v>0</v>
      </c>
      <c r="M5" s="1" t="s">
        <v>1</v>
      </c>
      <c r="N5" s="1" t="s">
        <v>2</v>
      </c>
      <c r="O5" s="1" t="s">
        <v>3</v>
      </c>
      <c r="S5" t="s">
        <v>256</v>
      </c>
      <c r="T5" t="s">
        <v>257</v>
      </c>
      <c r="U5" t="s">
        <v>258</v>
      </c>
    </row>
    <row r="6" spans="1:25" x14ac:dyDescent="0.15">
      <c r="A6" s="1">
        <v>0</v>
      </c>
      <c r="B6" s="1">
        <v>20</v>
      </c>
      <c r="C6" s="1">
        <v>20</v>
      </c>
      <c r="D6" s="1">
        <v>20</v>
      </c>
      <c r="E6" s="1">
        <v>20</v>
      </c>
      <c r="F6">
        <v>0</v>
      </c>
      <c r="G6">
        <v>0</v>
      </c>
      <c r="H6">
        <v>0</v>
      </c>
      <c r="I6">
        <v>0</v>
      </c>
      <c r="J6" s="1">
        <v>0</v>
      </c>
      <c r="K6" s="2">
        <v>0</v>
      </c>
      <c r="M6" s="1"/>
      <c r="N6" s="1"/>
      <c r="O6" s="1"/>
      <c r="Q6">
        <v>10</v>
      </c>
      <c r="S6">
        <f>SUM(Q6:Q16)/SUM(Q6:Q14)</f>
        <v>3.0477815699658701</v>
      </c>
      <c r="T6">
        <f>SUM(Q6:Q14)/SUM(Q6:Q12)</f>
        <v>2.8446601941747574</v>
      </c>
      <c r="U6">
        <f>SUM(Q6:Q12)/SUM(Q6:Q9)</f>
        <v>4.4782608695652177</v>
      </c>
      <c r="W6" s="1">
        <v>20</v>
      </c>
      <c r="X6">
        <v>20</v>
      </c>
    </row>
    <row r="7" spans="1:25" x14ac:dyDescent="0.15">
      <c r="A7" s="1">
        <v>1</v>
      </c>
      <c r="B7" s="1">
        <v>5</v>
      </c>
      <c r="C7" s="1">
        <v>5</v>
      </c>
      <c r="D7" s="1">
        <v>5</v>
      </c>
      <c r="E7" s="1">
        <v>5</v>
      </c>
      <c r="F7">
        <v>100</v>
      </c>
      <c r="G7" s="1">
        <v>500</v>
      </c>
      <c r="H7" s="1">
        <v>4000</v>
      </c>
      <c r="I7" s="1">
        <v>40000</v>
      </c>
      <c r="J7" s="1">
        <f>1</f>
        <v>1</v>
      </c>
      <c r="K7" s="2">
        <f t="shared" ref="K7:K16" si="0">J7/$J$1</f>
        <v>8.8237828522188706E-3</v>
      </c>
      <c r="L7" s="1">
        <v>5</v>
      </c>
      <c r="M7" s="1">
        <v>10</v>
      </c>
      <c r="N7" s="1">
        <v>25</v>
      </c>
      <c r="O7" s="1">
        <v>100</v>
      </c>
      <c r="Q7">
        <v>20</v>
      </c>
      <c r="R7" s="1">
        <f>Q7/Q6</f>
        <v>2</v>
      </c>
      <c r="S7" s="1"/>
      <c r="T7" s="1"/>
      <c r="V7" s="1"/>
      <c r="W7" s="1">
        <v>20</v>
      </c>
      <c r="X7" s="1">
        <v>5</v>
      </c>
    </row>
    <row r="8" spans="1:25" x14ac:dyDescent="0.15">
      <c r="A8" s="1">
        <v>2</v>
      </c>
      <c r="B8" s="1">
        <v>10</v>
      </c>
      <c r="C8" s="1">
        <v>10</v>
      </c>
      <c r="D8" s="1">
        <v>10</v>
      </c>
      <c r="E8" s="1">
        <v>10</v>
      </c>
      <c r="F8">
        <v>200</v>
      </c>
      <c r="G8" s="1">
        <v>1500</v>
      </c>
      <c r="H8" s="1">
        <v>10000</v>
      </c>
      <c r="I8" s="1">
        <v>100000</v>
      </c>
      <c r="J8" s="1">
        <f t="shared" ref="J8:J16" si="1">J7*$J$2</f>
        <v>1.5</v>
      </c>
      <c r="K8" s="2">
        <f t="shared" si="0"/>
        <v>1.3235674278328306E-2</v>
      </c>
      <c r="L8" s="1">
        <v>10</v>
      </c>
      <c r="M8" s="1">
        <v>20</v>
      </c>
      <c r="N8" s="1">
        <v>40</v>
      </c>
      <c r="O8" s="1">
        <v>180</v>
      </c>
      <c r="Q8" s="1">
        <v>35</v>
      </c>
      <c r="R8" s="1">
        <f t="shared" ref="R8:R16" si="2">Q8/Q7</f>
        <v>1.75</v>
      </c>
      <c r="S8" s="1"/>
      <c r="T8" s="1"/>
      <c r="V8" s="1"/>
      <c r="W8" s="1">
        <v>35</v>
      </c>
      <c r="X8" s="1">
        <v>10</v>
      </c>
      <c r="Y8" s="1"/>
    </row>
    <row r="9" spans="1:25" x14ac:dyDescent="0.15">
      <c r="A9" s="1">
        <v>3</v>
      </c>
      <c r="B9" s="1">
        <v>20</v>
      </c>
      <c r="C9" s="1">
        <v>20</v>
      </c>
      <c r="D9" s="1">
        <v>20</v>
      </c>
      <c r="E9" s="1">
        <v>20</v>
      </c>
      <c r="F9">
        <v>500</v>
      </c>
      <c r="G9" s="1">
        <v>4000</v>
      </c>
      <c r="H9" s="1">
        <v>20000</v>
      </c>
      <c r="I9" s="1">
        <v>200000</v>
      </c>
      <c r="J9" s="1">
        <f t="shared" si="1"/>
        <v>2.25</v>
      </c>
      <c r="K9" s="2">
        <f t="shared" si="0"/>
        <v>1.9853511417492462E-2</v>
      </c>
      <c r="L9" s="1">
        <v>15</v>
      </c>
      <c r="M9" s="1">
        <v>30</v>
      </c>
      <c r="N9" s="1">
        <v>60</v>
      </c>
      <c r="O9" s="1">
        <v>270</v>
      </c>
      <c r="Q9" s="1">
        <v>50</v>
      </c>
      <c r="R9" s="1">
        <f t="shared" si="2"/>
        <v>1.4285714285714286</v>
      </c>
      <c r="S9" s="1"/>
      <c r="T9" s="1"/>
      <c r="V9" s="1"/>
      <c r="W9" s="1">
        <v>50</v>
      </c>
      <c r="X9" s="1">
        <v>20</v>
      </c>
      <c r="Y9" s="1"/>
    </row>
    <row r="10" spans="1:25" x14ac:dyDescent="0.15">
      <c r="A10" s="1">
        <v>4</v>
      </c>
      <c r="B10" s="1">
        <v>50</v>
      </c>
      <c r="C10" s="1">
        <v>50</v>
      </c>
      <c r="D10" s="1">
        <v>50</v>
      </c>
      <c r="E10" s="1">
        <v>50</v>
      </c>
      <c r="F10">
        <v>1500</v>
      </c>
      <c r="G10" s="1">
        <v>10000</v>
      </c>
      <c r="H10" s="1">
        <v>40000</v>
      </c>
      <c r="I10" s="1">
        <v>500000</v>
      </c>
      <c r="J10" s="1">
        <f t="shared" si="1"/>
        <v>3.375</v>
      </c>
      <c r="K10" s="2">
        <f t="shared" si="0"/>
        <v>2.9780267126238689E-2</v>
      </c>
      <c r="L10" s="1">
        <v>25</v>
      </c>
      <c r="M10" s="1">
        <v>50</v>
      </c>
      <c r="N10" s="1">
        <v>100</v>
      </c>
      <c r="O10" s="1">
        <v>450</v>
      </c>
      <c r="Q10" s="1">
        <v>80</v>
      </c>
      <c r="R10" s="1">
        <f t="shared" si="2"/>
        <v>1.6</v>
      </c>
      <c r="S10" s="1"/>
      <c r="T10" s="1"/>
      <c r="V10" s="1"/>
      <c r="W10" s="1">
        <v>80</v>
      </c>
      <c r="X10" s="1">
        <v>35</v>
      </c>
      <c r="Y10" s="1"/>
    </row>
    <row r="11" spans="1:25" x14ac:dyDescent="0.15">
      <c r="A11" s="1">
        <v>5</v>
      </c>
      <c r="B11" s="1">
        <v>80</v>
      </c>
      <c r="C11" s="1">
        <v>80</v>
      </c>
      <c r="D11" s="1">
        <v>80</v>
      </c>
      <c r="E11" s="1">
        <v>80</v>
      </c>
      <c r="F11">
        <v>4000</v>
      </c>
      <c r="G11" s="1">
        <v>20000</v>
      </c>
      <c r="H11" s="1">
        <v>100000</v>
      </c>
      <c r="I11" s="1">
        <v>1000000</v>
      </c>
      <c r="J11" s="1">
        <f t="shared" si="1"/>
        <v>5.0625</v>
      </c>
      <c r="K11" s="2">
        <f t="shared" si="0"/>
        <v>4.4670400689358035E-2</v>
      </c>
      <c r="L11" s="1">
        <v>40</v>
      </c>
      <c r="M11" s="1">
        <v>80</v>
      </c>
      <c r="N11" s="1">
        <v>150</v>
      </c>
      <c r="O11" s="1">
        <v>650</v>
      </c>
      <c r="Q11" s="1">
        <v>120</v>
      </c>
      <c r="R11" s="1">
        <f t="shared" si="2"/>
        <v>1.5</v>
      </c>
      <c r="S11" s="1"/>
      <c r="T11" s="1"/>
      <c r="V11" s="1"/>
      <c r="W11" s="1">
        <v>120</v>
      </c>
      <c r="X11" s="1">
        <v>50</v>
      </c>
      <c r="Y11" s="1"/>
    </row>
    <row r="12" spans="1:25" x14ac:dyDescent="0.15">
      <c r="A12" s="1">
        <v>6</v>
      </c>
      <c r="B12" s="1">
        <v>120</v>
      </c>
      <c r="C12" s="1">
        <v>120</v>
      </c>
      <c r="D12" s="1">
        <v>120</v>
      </c>
      <c r="E12" s="1">
        <v>120</v>
      </c>
      <c r="F12">
        <v>10000</v>
      </c>
      <c r="G12" s="1">
        <v>40000</v>
      </c>
      <c r="H12" s="1">
        <v>200000</v>
      </c>
      <c r="I12" s="1">
        <v>2000000</v>
      </c>
      <c r="J12" s="1">
        <f t="shared" si="1"/>
        <v>7.59375</v>
      </c>
      <c r="K12" s="2">
        <f t="shared" si="0"/>
        <v>6.7005601034037049E-2</v>
      </c>
      <c r="L12" s="1">
        <v>65</v>
      </c>
      <c r="M12" s="1">
        <v>130</v>
      </c>
      <c r="N12" s="1">
        <v>250</v>
      </c>
      <c r="O12" s="1">
        <v>1200</v>
      </c>
      <c r="Q12" s="1">
        <v>200</v>
      </c>
      <c r="R12" s="1">
        <f t="shared" si="2"/>
        <v>1.6666666666666667</v>
      </c>
      <c r="S12" s="1"/>
      <c r="T12" s="1"/>
      <c r="V12" s="1"/>
      <c r="W12" s="1">
        <v>200</v>
      </c>
      <c r="X12" s="1">
        <v>80</v>
      </c>
      <c r="Y12" s="1"/>
    </row>
    <row r="13" spans="1:25" x14ac:dyDescent="0.15">
      <c r="A13" s="1">
        <v>7</v>
      </c>
      <c r="B13" s="1">
        <v>200</v>
      </c>
      <c r="C13" s="1">
        <v>200</v>
      </c>
      <c r="D13" s="1">
        <v>200</v>
      </c>
      <c r="E13" s="1">
        <v>200</v>
      </c>
      <c r="F13">
        <v>20000</v>
      </c>
      <c r="G13" s="1">
        <v>100000</v>
      </c>
      <c r="H13" s="1">
        <v>500000</v>
      </c>
      <c r="I13" s="1">
        <v>5000000</v>
      </c>
      <c r="J13" s="1">
        <f t="shared" si="1"/>
        <v>11.390625</v>
      </c>
      <c r="K13" s="2">
        <f t="shared" si="0"/>
        <v>0.10050840155105557</v>
      </c>
      <c r="L13" s="1">
        <v>100</v>
      </c>
      <c r="M13" s="1">
        <v>200</v>
      </c>
      <c r="N13" s="1">
        <v>400</v>
      </c>
      <c r="O13" s="1">
        <v>1800</v>
      </c>
      <c r="Q13" s="1">
        <v>350</v>
      </c>
      <c r="R13" s="1">
        <f t="shared" si="2"/>
        <v>1.75</v>
      </c>
      <c r="S13" s="1"/>
      <c r="T13" s="1"/>
      <c r="V13" s="1"/>
      <c r="W13" s="1">
        <v>350</v>
      </c>
      <c r="X13" s="1">
        <v>120</v>
      </c>
      <c r="Y13" s="1"/>
    </row>
    <row r="14" spans="1:25" x14ac:dyDescent="0.15">
      <c r="A14" s="1">
        <v>8</v>
      </c>
      <c r="B14" s="1">
        <v>350</v>
      </c>
      <c r="C14" s="1">
        <v>350</v>
      </c>
      <c r="D14" s="1">
        <v>350</v>
      </c>
      <c r="E14" s="1">
        <v>350</v>
      </c>
      <c r="F14">
        <v>40000</v>
      </c>
      <c r="G14" s="1">
        <v>200000</v>
      </c>
      <c r="H14" s="1">
        <v>1000000</v>
      </c>
      <c r="I14">
        <v>10000000</v>
      </c>
      <c r="J14" s="1">
        <f t="shared" si="1"/>
        <v>17.0859375</v>
      </c>
      <c r="K14" s="2">
        <f t="shared" si="0"/>
        <v>0.15076260232658337</v>
      </c>
      <c r="L14" s="1">
        <v>150</v>
      </c>
      <c r="M14" s="1">
        <v>300</v>
      </c>
      <c r="N14" s="1">
        <v>600</v>
      </c>
      <c r="O14" s="1">
        <v>2700</v>
      </c>
      <c r="Q14" s="1">
        <v>600</v>
      </c>
      <c r="R14" s="1">
        <f t="shared" si="2"/>
        <v>1.7142857142857142</v>
      </c>
      <c r="S14" s="1"/>
      <c r="T14" s="1"/>
      <c r="V14" s="1"/>
      <c r="W14" s="1">
        <v>600</v>
      </c>
      <c r="X14" s="1">
        <v>200</v>
      </c>
      <c r="Y14" s="1"/>
    </row>
    <row r="15" spans="1:25" x14ac:dyDescent="0.15">
      <c r="A15" s="1">
        <v>9</v>
      </c>
      <c r="B15" s="1">
        <v>600</v>
      </c>
      <c r="C15" s="1">
        <v>600</v>
      </c>
      <c r="D15" s="1">
        <v>600</v>
      </c>
      <c r="E15" s="1">
        <v>600</v>
      </c>
      <c r="F15">
        <v>100000</v>
      </c>
      <c r="G15">
        <v>500000</v>
      </c>
      <c r="H15" s="1">
        <v>2000000</v>
      </c>
      <c r="I15" s="1">
        <v>20000000</v>
      </c>
      <c r="J15" s="1">
        <f t="shared" si="1"/>
        <v>25.62890625</v>
      </c>
      <c r="K15" s="2">
        <f t="shared" si="0"/>
        <v>0.22614390348987506</v>
      </c>
      <c r="L15" s="1">
        <v>230</v>
      </c>
      <c r="M15" s="1">
        <v>450</v>
      </c>
      <c r="N15" s="1">
        <v>900</v>
      </c>
      <c r="O15" s="1">
        <v>4000</v>
      </c>
      <c r="Q15" s="1">
        <v>1000</v>
      </c>
      <c r="R15" s="1">
        <f t="shared" si="2"/>
        <v>1.6666666666666667</v>
      </c>
      <c r="S15" s="1"/>
      <c r="T15" s="1"/>
      <c r="V15" s="1"/>
      <c r="W15" s="1">
        <v>1000</v>
      </c>
      <c r="X15" s="1">
        <v>350</v>
      </c>
      <c r="Y15" s="1"/>
    </row>
    <row r="16" spans="1:25" x14ac:dyDescent="0.15">
      <c r="A16" s="1">
        <v>10</v>
      </c>
      <c r="B16">
        <v>1000</v>
      </c>
      <c r="C16" s="1">
        <v>1000</v>
      </c>
      <c r="D16" s="1">
        <v>1000</v>
      </c>
      <c r="E16" s="1">
        <v>1000</v>
      </c>
      <c r="F16">
        <v>200000</v>
      </c>
      <c r="G16">
        <v>1000000</v>
      </c>
      <c r="H16" s="1">
        <v>5000000</v>
      </c>
      <c r="I16" s="1">
        <v>50000000</v>
      </c>
      <c r="J16" s="1">
        <f t="shared" si="1"/>
        <v>38.443359375</v>
      </c>
      <c r="K16" s="2">
        <f t="shared" si="0"/>
        <v>0.33921585523481257</v>
      </c>
      <c r="L16" s="1">
        <v>360</v>
      </c>
      <c r="M16" s="1">
        <v>720</v>
      </c>
      <c r="N16" s="1">
        <v>1400</v>
      </c>
      <c r="O16" s="1">
        <v>6000</v>
      </c>
      <c r="Q16" s="1">
        <v>2000</v>
      </c>
      <c r="R16" s="1">
        <f t="shared" si="2"/>
        <v>2</v>
      </c>
      <c r="S16" s="1"/>
      <c r="T16" s="1"/>
      <c r="V16" s="1"/>
      <c r="W16" s="1">
        <v>2000</v>
      </c>
      <c r="X16" s="1">
        <v>600</v>
      </c>
      <c r="Y16" s="1"/>
    </row>
    <row r="17" spans="1:21" s="1" customFormat="1" x14ac:dyDescent="0.15">
      <c r="A17" s="1" t="s">
        <v>101</v>
      </c>
      <c r="B17" s="2" t="e">
        <f>#REF!/(SUM(B6:B15)*30/生命周期/每日开箱)</f>
        <v>#REF!</v>
      </c>
      <c r="F17" s="1">
        <f>SUM(F6:F16)/720/12*卡牌总数</f>
        <v>2177.662037037037</v>
      </c>
      <c r="K17" s="2"/>
      <c r="L17" s="1">
        <v>-1</v>
      </c>
      <c r="M17" s="1">
        <v>-1</v>
      </c>
      <c r="N17" s="1">
        <v>-1</v>
      </c>
      <c r="O17" s="1">
        <v>-1</v>
      </c>
    </row>
    <row r="19" spans="1:21" s="1" customFormat="1" ht="18.75" customHeight="1" x14ac:dyDescent="0.15">
      <c r="A19" s="1" t="s">
        <v>255</v>
      </c>
      <c r="B19" s="1">
        <v>5</v>
      </c>
    </row>
    <row r="20" spans="1:21" s="1" customFormat="1" x14ac:dyDescent="0.15">
      <c r="B20" s="1" t="s">
        <v>21</v>
      </c>
      <c r="C20" s="1" t="s">
        <v>22</v>
      </c>
      <c r="E20" s="27" t="s">
        <v>67</v>
      </c>
      <c r="F20" s="27"/>
    </row>
    <row r="21" spans="1:21" x14ac:dyDescent="0.15">
      <c r="A21" s="1" t="s">
        <v>11</v>
      </c>
      <c r="B21">
        <v>9</v>
      </c>
      <c r="C21">
        <v>15</v>
      </c>
      <c r="E21" t="s">
        <v>69</v>
      </c>
      <c r="H21" t="s">
        <v>259</v>
      </c>
      <c r="I21" t="s">
        <v>70</v>
      </c>
      <c r="J21" s="1" t="s">
        <v>71</v>
      </c>
      <c r="K21" s="1" t="s">
        <v>72</v>
      </c>
      <c r="L21" t="s">
        <v>99</v>
      </c>
      <c r="O21">
        <v>10</v>
      </c>
      <c r="S21">
        <v>5</v>
      </c>
    </row>
    <row r="22" spans="1:21" x14ac:dyDescent="0.15">
      <c r="A22" s="1" t="s">
        <v>12</v>
      </c>
      <c r="B22">
        <v>27</v>
      </c>
      <c r="C22">
        <v>50</v>
      </c>
      <c r="E22">
        <v>1</v>
      </c>
      <c r="F22">
        <v>400</v>
      </c>
      <c r="G22">
        <v>1.2</v>
      </c>
      <c r="H22" s="2">
        <v>0.76827267802039922</v>
      </c>
      <c r="I22">
        <f t="shared" ref="I22:I28" si="3">INT(F22/宝箱开启次数/H22)</f>
        <v>104</v>
      </c>
      <c r="J22" s="1">
        <f>INT(I22*0.3)</f>
        <v>31</v>
      </c>
      <c r="K22" s="1">
        <f>INT(I22*1.7)</f>
        <v>176</v>
      </c>
      <c r="L22">
        <f t="shared" ref="L22:L28" si="4">F22/钻石兑金币</f>
        <v>16</v>
      </c>
      <c r="N22" s="2">
        <v>0.70250512331284021</v>
      </c>
      <c r="O22">
        <f t="shared" ref="O22:O28" si="5">INT(F22/宝箱开启次数/N22*$O$21)</f>
        <v>1138</v>
      </c>
      <c r="P22">
        <f>INT(O22*0.5)</f>
        <v>569</v>
      </c>
      <c r="Q22" s="1">
        <f>INT(O22*1.5)</f>
        <v>1707</v>
      </c>
      <c r="S22">
        <f>INT(I22*$S$21*0.5)</f>
        <v>260</v>
      </c>
      <c r="T22">
        <f>INT(I22*$S$21*1.5)</f>
        <v>780</v>
      </c>
    </row>
    <row r="23" spans="1:21" x14ac:dyDescent="0.15">
      <c r="A23" s="1" t="s">
        <v>13</v>
      </c>
      <c r="B23">
        <v>75</v>
      </c>
      <c r="C23">
        <v>150</v>
      </c>
      <c r="E23" s="1">
        <v>2</v>
      </c>
      <c r="F23">
        <f>INT(F22*G22)</f>
        <v>480</v>
      </c>
      <c r="G23" s="1">
        <v>1.21</v>
      </c>
      <c r="H23" s="2">
        <v>0.61794737709938097</v>
      </c>
      <c r="I23" s="1">
        <f t="shared" si="3"/>
        <v>155</v>
      </c>
      <c r="J23" s="1">
        <f t="shared" ref="J23:J28" si="6">INT(I23*0.3)</f>
        <v>46</v>
      </c>
      <c r="K23" s="1">
        <f t="shared" ref="K23:K28" si="7">INT(I23*1.7)</f>
        <v>263</v>
      </c>
      <c r="L23" s="1">
        <f t="shared" si="4"/>
        <v>19.2</v>
      </c>
      <c r="N23" s="2">
        <v>0.5743869691187905</v>
      </c>
      <c r="O23" s="1">
        <f t="shared" si="5"/>
        <v>1671</v>
      </c>
      <c r="P23" s="1">
        <f t="shared" ref="P23:P28" si="8">INT(O23*0.5)</f>
        <v>835</v>
      </c>
      <c r="Q23" s="1">
        <f t="shared" ref="Q23:Q28" si="9">INT(O23*1.5)</f>
        <v>2506</v>
      </c>
      <c r="R23" s="1"/>
      <c r="S23" s="1">
        <f t="shared" ref="S23:S28" si="10">INT(I23*$S$21*0.5)</f>
        <v>387</v>
      </c>
      <c r="T23" s="1">
        <f t="shared" ref="T23:T28" si="11">INT(I23*$S$21*1.5)</f>
        <v>1162</v>
      </c>
      <c r="U23" s="1"/>
    </row>
    <row r="24" spans="1:21" x14ac:dyDescent="0.15">
      <c r="A24" s="1" t="s">
        <v>14</v>
      </c>
      <c r="B24">
        <v>350</v>
      </c>
      <c r="C24">
        <v>700</v>
      </c>
      <c r="E24" s="1">
        <v>3</v>
      </c>
      <c r="F24" s="1">
        <f t="shared" ref="F24:F28" si="12">INT(F23*G23)</f>
        <v>580</v>
      </c>
      <c r="G24" s="1">
        <v>1.22</v>
      </c>
      <c r="H24" s="2">
        <v>0.42931524273902955</v>
      </c>
      <c r="I24" s="1">
        <f t="shared" si="3"/>
        <v>270</v>
      </c>
      <c r="J24" s="1">
        <f t="shared" si="6"/>
        <v>81</v>
      </c>
      <c r="K24" s="1">
        <f t="shared" si="7"/>
        <v>459</v>
      </c>
      <c r="L24" s="1">
        <f t="shared" si="4"/>
        <v>23.2</v>
      </c>
      <c r="N24" s="2">
        <v>0.41362094551621842</v>
      </c>
      <c r="O24" s="1">
        <f t="shared" si="5"/>
        <v>2804</v>
      </c>
      <c r="P24" s="1">
        <f t="shared" si="8"/>
        <v>1402</v>
      </c>
      <c r="Q24" s="1">
        <f t="shared" si="9"/>
        <v>4206</v>
      </c>
      <c r="R24" s="1"/>
      <c r="S24" s="1">
        <f t="shared" si="10"/>
        <v>675</v>
      </c>
      <c r="T24" s="1">
        <f t="shared" si="11"/>
        <v>2025</v>
      </c>
      <c r="U24" s="1"/>
    </row>
    <row r="25" spans="1:21" x14ac:dyDescent="0.15">
      <c r="E25" s="1">
        <v>4</v>
      </c>
      <c r="F25" s="1">
        <f t="shared" si="12"/>
        <v>707</v>
      </c>
      <c r="G25" s="1">
        <v>1.23</v>
      </c>
      <c r="H25" s="2">
        <v>0.28827644689421295</v>
      </c>
      <c r="I25" s="1">
        <f t="shared" si="3"/>
        <v>490</v>
      </c>
      <c r="J25" s="1">
        <f t="shared" si="6"/>
        <v>147</v>
      </c>
      <c r="K25" s="1">
        <f t="shared" si="7"/>
        <v>833</v>
      </c>
      <c r="L25" s="1">
        <f t="shared" si="4"/>
        <v>28.28</v>
      </c>
      <c r="N25" s="2">
        <v>0.29341742633029533</v>
      </c>
      <c r="O25" s="1">
        <f t="shared" si="5"/>
        <v>4819</v>
      </c>
      <c r="P25" s="1">
        <f t="shared" si="8"/>
        <v>2409</v>
      </c>
      <c r="Q25" s="1">
        <f t="shared" si="9"/>
        <v>7228</v>
      </c>
      <c r="R25" s="1"/>
      <c r="S25" s="1">
        <f t="shared" si="10"/>
        <v>1225</v>
      </c>
      <c r="T25" s="1">
        <f t="shared" si="11"/>
        <v>3675</v>
      </c>
      <c r="U25" s="1"/>
    </row>
    <row r="26" spans="1:21" x14ac:dyDescent="0.15">
      <c r="A26" s="1" t="s">
        <v>16</v>
      </c>
      <c r="B26">
        <f>SUM(B6:B16)/SUM(C6:C14)</f>
        <v>2.871345029239766</v>
      </c>
      <c r="C26" t="s">
        <v>15</v>
      </c>
      <c r="E26" s="1">
        <v>5</v>
      </c>
      <c r="F26" s="1">
        <f t="shared" si="12"/>
        <v>869</v>
      </c>
      <c r="G26" s="1">
        <v>1.24</v>
      </c>
      <c r="H26" s="2">
        <v>0.19076814359409278</v>
      </c>
      <c r="I26" s="1">
        <f t="shared" si="3"/>
        <v>911</v>
      </c>
      <c r="J26" s="1">
        <f t="shared" si="6"/>
        <v>273</v>
      </c>
      <c r="K26" s="1">
        <f t="shared" si="7"/>
        <v>1548</v>
      </c>
      <c r="L26" s="1">
        <f t="shared" si="4"/>
        <v>34.76</v>
      </c>
      <c r="N26" s="2">
        <v>0.21031375874496583</v>
      </c>
      <c r="O26" s="1">
        <f t="shared" si="5"/>
        <v>8263</v>
      </c>
      <c r="P26" s="1">
        <f t="shared" si="8"/>
        <v>4131</v>
      </c>
      <c r="Q26" s="1">
        <f t="shared" si="9"/>
        <v>12394</v>
      </c>
      <c r="R26" s="1"/>
      <c r="S26" s="1">
        <f t="shared" si="10"/>
        <v>2277</v>
      </c>
      <c r="T26" s="1">
        <f t="shared" si="11"/>
        <v>6832</v>
      </c>
      <c r="U26" s="1"/>
    </row>
    <row r="27" spans="1:21" x14ac:dyDescent="0.15">
      <c r="A27" s="1" t="s">
        <v>17</v>
      </c>
      <c r="B27">
        <f>SUM(C6:C14)/SUM(D6:D12)</f>
        <v>2.8032786885245899</v>
      </c>
      <c r="C27" t="s">
        <v>18</v>
      </c>
      <c r="E27" s="1">
        <v>6</v>
      </c>
      <c r="F27" s="1">
        <f t="shared" si="12"/>
        <v>1077</v>
      </c>
      <c r="G27" s="1">
        <v>1.25</v>
      </c>
      <c r="H27" s="2">
        <v>0.13679033283866893</v>
      </c>
      <c r="I27" s="1">
        <f t="shared" si="3"/>
        <v>1574</v>
      </c>
      <c r="J27" s="1">
        <f t="shared" si="6"/>
        <v>472</v>
      </c>
      <c r="K27" s="1">
        <f t="shared" si="7"/>
        <v>2675</v>
      </c>
      <c r="L27" s="1">
        <f t="shared" si="4"/>
        <v>43.08</v>
      </c>
      <c r="N27" s="2">
        <v>0.16430994276022992</v>
      </c>
      <c r="O27" s="1">
        <f t="shared" si="5"/>
        <v>13109</v>
      </c>
      <c r="P27" s="1">
        <f t="shared" si="8"/>
        <v>6554</v>
      </c>
      <c r="Q27" s="1">
        <f t="shared" si="9"/>
        <v>19663</v>
      </c>
      <c r="R27" s="1"/>
      <c r="S27" s="1">
        <f t="shared" si="10"/>
        <v>3935</v>
      </c>
      <c r="T27" s="1">
        <f t="shared" si="11"/>
        <v>11805</v>
      </c>
      <c r="U27" s="1"/>
    </row>
    <row r="28" spans="1:21" x14ac:dyDescent="0.15">
      <c r="A28" s="1" t="s">
        <v>19</v>
      </c>
      <c r="B28">
        <f>SUM(D6:D12)/SUM(E6:E9)</f>
        <v>5.5454545454545459</v>
      </c>
      <c r="C28" t="s">
        <v>20</v>
      </c>
      <c r="E28" s="1">
        <v>7</v>
      </c>
      <c r="F28" s="1">
        <f t="shared" si="12"/>
        <v>1346</v>
      </c>
      <c r="G28" s="1"/>
      <c r="H28" s="2">
        <v>0.12000000000000022</v>
      </c>
      <c r="I28" s="1">
        <f t="shared" si="3"/>
        <v>2243</v>
      </c>
      <c r="J28" s="1">
        <f t="shared" si="6"/>
        <v>672</v>
      </c>
      <c r="K28" s="1">
        <f t="shared" si="7"/>
        <v>3813</v>
      </c>
      <c r="L28" s="1">
        <f t="shared" si="4"/>
        <v>53.84</v>
      </c>
      <c r="N28" s="2">
        <v>0.15000000000000102</v>
      </c>
      <c r="O28" s="1">
        <f t="shared" si="5"/>
        <v>17946</v>
      </c>
      <c r="P28" s="1">
        <f t="shared" si="8"/>
        <v>8973</v>
      </c>
      <c r="Q28" s="1">
        <f t="shared" si="9"/>
        <v>26919</v>
      </c>
      <c r="R28" s="1"/>
      <c r="S28" s="1">
        <f t="shared" si="10"/>
        <v>5607</v>
      </c>
      <c r="T28" s="1">
        <f t="shared" si="11"/>
        <v>16822</v>
      </c>
      <c r="U28" s="1"/>
    </row>
    <row r="29" spans="1:21" x14ac:dyDescent="0.15">
      <c r="B29" s="1"/>
      <c r="C29" s="1"/>
      <c r="E29" s="1"/>
    </row>
    <row r="30" spans="1:21" x14ac:dyDescent="0.15">
      <c r="A30" s="1" t="s">
        <v>23</v>
      </c>
      <c r="B30" s="1">
        <v>25</v>
      </c>
      <c r="C30" s="1" t="s">
        <v>24</v>
      </c>
      <c r="E30" s="1"/>
    </row>
    <row r="31" spans="1:21" x14ac:dyDescent="0.15">
      <c r="A31" s="1" t="s">
        <v>25</v>
      </c>
      <c r="B31" s="1">
        <v>10</v>
      </c>
      <c r="C31" s="1" t="s">
        <v>26</v>
      </c>
      <c r="E31" s="1"/>
    </row>
    <row r="32" spans="1:21" x14ac:dyDescent="0.15">
      <c r="B32" s="1"/>
      <c r="C32" s="1"/>
      <c r="E32" s="1"/>
    </row>
    <row r="33" spans="1:20" s="1" customFormat="1" ht="20.25" x14ac:dyDescent="0.15">
      <c r="A33" s="25" t="s">
        <v>377</v>
      </c>
      <c r="B33" s="25"/>
      <c r="C33" s="25"/>
      <c r="D33" s="25"/>
      <c r="E33" s="25"/>
      <c r="F33" s="25"/>
      <c r="T33"/>
    </row>
    <row r="34" spans="1:20" s="1" customFormat="1" x14ac:dyDescent="0.15">
      <c r="C34" s="1" t="s">
        <v>378</v>
      </c>
      <c r="D34" s="1">
        <v>20</v>
      </c>
      <c r="E34" s="1">
        <v>10</v>
      </c>
      <c r="F34" s="1">
        <v>3</v>
      </c>
      <c r="T34"/>
    </row>
    <row r="35" spans="1:20" s="1" customFormat="1" x14ac:dyDescent="0.15">
      <c r="C35" s="1" t="s">
        <v>379</v>
      </c>
      <c r="I35" s="1" t="s">
        <v>383</v>
      </c>
      <c r="T35"/>
    </row>
    <row r="36" spans="1:20" x14ac:dyDescent="0.15">
      <c r="A36" s="20" t="s">
        <v>374</v>
      </c>
      <c r="B36" s="7">
        <f>SUM(B6:B15)/生命周期</f>
        <v>4.041666666666667</v>
      </c>
      <c r="C36" s="7">
        <f>SUMPRODUCT($D$34:$F$34,D36:F36)*1.5</f>
        <v>6.1950000000000003</v>
      </c>
      <c r="D36" s="8">
        <v>0.14000000000000001</v>
      </c>
      <c r="E36" s="8">
        <v>0.1</v>
      </c>
      <c r="F36" s="8">
        <v>0.11</v>
      </c>
      <c r="G36" s="7" t="s">
        <v>380</v>
      </c>
      <c r="H36" s="7">
        <v>0.5</v>
      </c>
      <c r="I36">
        <f>INT(资源产销!$E$15*H36/2)</f>
        <v>559</v>
      </c>
    </row>
    <row r="37" spans="1:20" x14ac:dyDescent="0.15">
      <c r="A37" s="20" t="s">
        <v>375</v>
      </c>
      <c r="B37" s="7">
        <f>SUM(C6:C14)/生命周期</f>
        <v>2.375</v>
      </c>
      <c r="C37" s="7">
        <f t="shared" ref="C37:C47" si="13">SUMPRODUCT($D$34:$F$34,D37:F37)*1.5</f>
        <v>2.0099999999999998</v>
      </c>
      <c r="D37" s="8">
        <v>2.5000000000000001E-2</v>
      </c>
      <c r="E37" s="8">
        <v>4.4999999999999998E-2</v>
      </c>
      <c r="F37" s="8">
        <v>0.13</v>
      </c>
      <c r="G37" s="7" t="s">
        <v>381</v>
      </c>
      <c r="H37" s="7">
        <v>0.8</v>
      </c>
      <c r="I37" s="1">
        <f>INT(资源产销!$E$15*H37/2)</f>
        <v>895</v>
      </c>
    </row>
    <row r="38" spans="1:20" x14ac:dyDescent="0.15">
      <c r="A38" s="20" t="s">
        <v>376</v>
      </c>
      <c r="B38" s="7">
        <f>SUM(D6:D12)/生命周期</f>
        <v>0.84722222222222221</v>
      </c>
      <c r="C38" s="7">
        <f t="shared" si="13"/>
        <v>0.72150000000000003</v>
      </c>
      <c r="D38" s="8">
        <v>8.0000000000000002E-3</v>
      </c>
      <c r="E38" s="8">
        <v>1.4999999999999999E-2</v>
      </c>
      <c r="F38" s="8">
        <v>5.7000000000000002E-2</v>
      </c>
      <c r="G38" s="7" t="s">
        <v>382</v>
      </c>
      <c r="H38" s="7">
        <v>1</v>
      </c>
      <c r="I38" s="1">
        <f>INT(资源产销!$E$15*H38/2)</f>
        <v>1119</v>
      </c>
    </row>
    <row r="39" spans="1:20" x14ac:dyDescent="0.15">
      <c r="A39" s="29" t="s">
        <v>380</v>
      </c>
      <c r="B39" s="7" t="s">
        <v>374</v>
      </c>
      <c r="C39" s="7">
        <f t="shared" si="13"/>
        <v>3.0975000000000001</v>
      </c>
      <c r="D39" s="8">
        <f>D36*$H$36</f>
        <v>7.0000000000000007E-2</v>
      </c>
      <c r="E39" s="8">
        <f t="shared" ref="E39:F39" si="14">E36*$H$36</f>
        <v>0.05</v>
      </c>
      <c r="F39" s="8">
        <f t="shared" si="14"/>
        <v>5.5E-2</v>
      </c>
      <c r="G39" s="7"/>
      <c r="H39" s="7"/>
    </row>
    <row r="40" spans="1:20" x14ac:dyDescent="0.15">
      <c r="A40" s="30"/>
      <c r="B40" s="7" t="s">
        <v>375</v>
      </c>
      <c r="C40" s="7">
        <f t="shared" si="13"/>
        <v>1.0049999999999999</v>
      </c>
      <c r="D40" s="8">
        <f t="shared" ref="D40:F40" si="15">D37*$H$36</f>
        <v>1.2500000000000001E-2</v>
      </c>
      <c r="E40" s="8">
        <f t="shared" si="15"/>
        <v>2.2499999999999999E-2</v>
      </c>
      <c r="F40" s="8">
        <f t="shared" si="15"/>
        <v>6.5000000000000002E-2</v>
      </c>
      <c r="G40" s="7"/>
      <c r="H40" s="7"/>
    </row>
    <row r="41" spans="1:20" x14ac:dyDescent="0.15">
      <c r="A41" s="30"/>
      <c r="B41" s="7" t="s">
        <v>376</v>
      </c>
      <c r="C41" s="7">
        <f t="shared" si="13"/>
        <v>0.36075000000000002</v>
      </c>
      <c r="D41" s="8">
        <f t="shared" ref="D41:F41" si="16">D38*$H$36</f>
        <v>4.0000000000000001E-3</v>
      </c>
      <c r="E41" s="8">
        <f t="shared" si="16"/>
        <v>7.4999999999999997E-3</v>
      </c>
      <c r="F41" s="8">
        <f t="shared" si="16"/>
        <v>2.8500000000000001E-2</v>
      </c>
      <c r="G41" s="7"/>
      <c r="H41" s="7"/>
    </row>
    <row r="42" spans="1:20" x14ac:dyDescent="0.15">
      <c r="A42" s="28" t="s">
        <v>381</v>
      </c>
      <c r="B42" s="7" t="s">
        <v>374</v>
      </c>
      <c r="C42" s="7">
        <f t="shared" si="13"/>
        <v>4.9560000000000004</v>
      </c>
      <c r="D42" s="8">
        <f>D36*$H$37</f>
        <v>0.11200000000000002</v>
      </c>
      <c r="E42" s="8">
        <f t="shared" ref="E42:F42" si="17">E36*$H$37</f>
        <v>8.0000000000000016E-2</v>
      </c>
      <c r="F42" s="8">
        <f t="shared" si="17"/>
        <v>8.8000000000000009E-2</v>
      </c>
      <c r="G42" s="7"/>
      <c r="H42" s="7"/>
    </row>
    <row r="43" spans="1:20" x14ac:dyDescent="0.15">
      <c r="A43" s="28"/>
      <c r="B43" s="7" t="s">
        <v>375</v>
      </c>
      <c r="C43" s="7">
        <f t="shared" si="13"/>
        <v>1.6080000000000001</v>
      </c>
      <c r="D43" s="8">
        <f t="shared" ref="D43:F43" si="18">D37*$H$37</f>
        <v>2.0000000000000004E-2</v>
      </c>
      <c r="E43" s="8">
        <f t="shared" si="18"/>
        <v>3.5999999999999997E-2</v>
      </c>
      <c r="F43" s="8">
        <f t="shared" si="18"/>
        <v>0.10400000000000001</v>
      </c>
      <c r="G43" s="7"/>
      <c r="H43" s="7"/>
    </row>
    <row r="44" spans="1:20" x14ac:dyDescent="0.15">
      <c r="A44" s="28"/>
      <c r="B44" s="7" t="s">
        <v>376</v>
      </c>
      <c r="C44" s="7">
        <f t="shared" si="13"/>
        <v>0.57720000000000005</v>
      </c>
      <c r="D44" s="8">
        <f t="shared" ref="D44:F44" si="19">D38*$H$37</f>
        <v>6.4000000000000003E-3</v>
      </c>
      <c r="E44" s="8">
        <f t="shared" si="19"/>
        <v>1.2E-2</v>
      </c>
      <c r="F44" s="8">
        <f t="shared" si="19"/>
        <v>4.5600000000000002E-2</v>
      </c>
      <c r="G44" s="7"/>
      <c r="H44" s="7"/>
    </row>
    <row r="45" spans="1:20" x14ac:dyDescent="0.15">
      <c r="A45" s="28" t="s">
        <v>382</v>
      </c>
      <c r="B45" s="7" t="s">
        <v>374</v>
      </c>
      <c r="C45" s="7">
        <f t="shared" si="13"/>
        <v>6.1950000000000003</v>
      </c>
      <c r="D45" s="8">
        <f>D36*$H$38</f>
        <v>0.14000000000000001</v>
      </c>
      <c r="E45" s="8">
        <f t="shared" ref="E45:F45" si="20">E36*$H$38</f>
        <v>0.1</v>
      </c>
      <c r="F45" s="8">
        <f t="shared" si="20"/>
        <v>0.11</v>
      </c>
      <c r="G45" s="7"/>
      <c r="H45" s="7"/>
    </row>
    <row r="46" spans="1:20" x14ac:dyDescent="0.15">
      <c r="A46" s="28"/>
      <c r="B46" s="7" t="s">
        <v>375</v>
      </c>
      <c r="C46" s="7">
        <f t="shared" si="13"/>
        <v>2.0099999999999998</v>
      </c>
      <c r="D46" s="8">
        <f t="shared" ref="D46:F46" si="21">D37*$H$38</f>
        <v>2.5000000000000001E-2</v>
      </c>
      <c r="E46" s="8">
        <f t="shared" si="21"/>
        <v>4.4999999999999998E-2</v>
      </c>
      <c r="F46" s="8">
        <f t="shared" si="21"/>
        <v>0.13</v>
      </c>
      <c r="G46" s="7"/>
      <c r="H46" s="7"/>
    </row>
    <row r="47" spans="1:20" x14ac:dyDescent="0.15">
      <c r="A47" s="28"/>
      <c r="B47" s="7" t="s">
        <v>376</v>
      </c>
      <c r="C47" s="7">
        <f t="shared" si="13"/>
        <v>0.72150000000000003</v>
      </c>
      <c r="D47" s="8">
        <f t="shared" ref="D47:F47" si="22">D38*$H$38</f>
        <v>8.0000000000000002E-3</v>
      </c>
      <c r="E47" s="8">
        <f t="shared" si="22"/>
        <v>1.4999999999999999E-2</v>
      </c>
      <c r="F47" s="8">
        <f t="shared" si="22"/>
        <v>5.7000000000000002E-2</v>
      </c>
      <c r="G47" s="7"/>
      <c r="H47" s="7"/>
    </row>
  </sheetData>
  <mergeCells count="8">
    <mergeCell ref="J4:O4"/>
    <mergeCell ref="E20:F20"/>
    <mergeCell ref="A33:F33"/>
    <mergeCell ref="A42:A44"/>
    <mergeCell ref="A45:A47"/>
    <mergeCell ref="A39:A41"/>
    <mergeCell ref="B4:E4"/>
    <mergeCell ref="F4:I4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47"/>
  <sheetViews>
    <sheetView workbookViewId="0">
      <selection activeCell="N13" sqref="N13"/>
    </sheetView>
  </sheetViews>
  <sheetFormatPr defaultRowHeight="13.5" x14ac:dyDescent="0.15"/>
  <cols>
    <col min="2" max="6" width="9" style="1"/>
    <col min="7" max="7" width="10.375" customWidth="1"/>
    <col min="8" max="8" width="10.375" style="1" customWidth="1"/>
    <col min="10" max="14" width="9" style="1"/>
    <col min="15" max="15" width="12.625" customWidth="1"/>
    <col min="16" max="16" width="12.375" customWidth="1"/>
    <col min="18" max="18" width="9" style="1"/>
    <col min="20" max="20" width="9" style="1"/>
  </cols>
  <sheetData>
    <row r="1" spans="1:27" x14ac:dyDescent="0.15">
      <c r="G1">
        <v>20</v>
      </c>
      <c r="H1" s="1">
        <v>5</v>
      </c>
      <c r="I1">
        <v>3</v>
      </c>
      <c r="J1" s="1">
        <f>SUMPRODUCT(G1:I1,G2:I2)</f>
        <v>3.67</v>
      </c>
      <c r="S1" t="s">
        <v>391</v>
      </c>
      <c r="T1" s="1">
        <v>7</v>
      </c>
      <c r="U1">
        <v>12</v>
      </c>
    </row>
    <row r="2" spans="1:27" ht="20.25" x14ac:dyDescent="0.15">
      <c r="E2" s="1">
        <f>SUM(E4:E47)</f>
        <v>224322.75132275149</v>
      </c>
      <c r="G2" s="3">
        <v>0.05</v>
      </c>
      <c r="H2" s="3">
        <v>0.09</v>
      </c>
      <c r="I2" s="3">
        <v>0.74</v>
      </c>
      <c r="J2" s="3">
        <v>0.75</v>
      </c>
      <c r="K2" s="3">
        <v>0.1</v>
      </c>
      <c r="L2" s="3">
        <v>0.75</v>
      </c>
      <c r="M2" s="3"/>
      <c r="N2" s="3"/>
      <c r="S2" s="25" t="s">
        <v>406</v>
      </c>
      <c r="T2" s="25"/>
      <c r="U2" s="25"/>
    </row>
    <row r="3" spans="1:27" x14ac:dyDescent="0.15">
      <c r="A3" t="s">
        <v>161</v>
      </c>
      <c r="B3" s="1" t="s">
        <v>166</v>
      </c>
      <c r="C3" s="1" t="s">
        <v>168</v>
      </c>
      <c r="D3" s="1" t="s">
        <v>99</v>
      </c>
      <c r="E3" s="1" t="s">
        <v>169</v>
      </c>
      <c r="F3" s="1" t="s">
        <v>165</v>
      </c>
      <c r="G3" t="s">
        <v>162</v>
      </c>
      <c r="H3" s="1" t="s">
        <v>366</v>
      </c>
      <c r="I3" t="s">
        <v>163</v>
      </c>
      <c r="J3" s="1" t="s">
        <v>260</v>
      </c>
      <c r="K3" s="21" t="s">
        <v>162</v>
      </c>
      <c r="L3" s="21" t="s">
        <v>384</v>
      </c>
      <c r="S3" s="3" t="s">
        <v>388</v>
      </c>
      <c r="T3" s="3" t="s">
        <v>389</v>
      </c>
      <c r="U3" s="3" t="s">
        <v>390</v>
      </c>
      <c r="V3" s="5" t="s">
        <v>395</v>
      </c>
      <c r="W3" s="24">
        <v>0.7</v>
      </c>
    </row>
    <row r="4" spans="1:27" x14ac:dyDescent="0.15">
      <c r="A4" s="1" t="s">
        <v>164</v>
      </c>
      <c r="B4" s="1">
        <v>1</v>
      </c>
      <c r="C4" s="1">
        <v>1</v>
      </c>
      <c r="D4" s="1">
        <v>12</v>
      </c>
      <c r="E4" s="1">
        <f>100000/D4</f>
        <v>8333.3333333333339</v>
      </c>
      <c r="F4" s="2">
        <f>E4/E$2</f>
        <v>3.7148854871806941E-2</v>
      </c>
      <c r="G4" s="4">
        <f>G$2*$F4</f>
        <v>1.8574427435903472E-3</v>
      </c>
      <c r="H4" s="4">
        <f>H$2*$F4</f>
        <v>3.3433969384626247E-3</v>
      </c>
      <c r="I4" s="4">
        <f>I$2*$F4</f>
        <v>2.7490152605137135E-2</v>
      </c>
      <c r="J4" s="4">
        <f t="shared" ref="J4:J47" si="0">F4*J$2</f>
        <v>2.7861641153855206E-2</v>
      </c>
      <c r="K4" s="4">
        <f>K$2*$F4</f>
        <v>3.7148854871806945E-3</v>
      </c>
      <c r="L4" s="4">
        <f>L$2*$F4</f>
        <v>2.7861641153855206E-2</v>
      </c>
      <c r="M4" s="4"/>
      <c r="N4" s="4"/>
      <c r="O4" s="1" t="s">
        <v>212</v>
      </c>
      <c r="P4" t="s">
        <v>212</v>
      </c>
      <c r="R4" s="1" t="s">
        <v>392</v>
      </c>
      <c r="S4" s="23">
        <f>$J$1*$T$1*F5*5</f>
        <v>6.3623605443781353</v>
      </c>
      <c r="T4" s="23">
        <f>$J$1*$T$1*F7*5</f>
        <v>2.1207868481260448</v>
      </c>
      <c r="U4" s="23">
        <f>$J$1*$T$1*F10*5</f>
        <v>0.76348326532537603</v>
      </c>
      <c r="V4" s="5" t="s">
        <v>396</v>
      </c>
      <c r="W4" s="24">
        <v>0.3</v>
      </c>
    </row>
    <row r="5" spans="1:27" x14ac:dyDescent="0.15">
      <c r="A5" s="1" t="s">
        <v>27</v>
      </c>
      <c r="B5" s="1">
        <v>1</v>
      </c>
      <c r="C5" s="1">
        <v>1</v>
      </c>
      <c r="D5" s="1">
        <v>9</v>
      </c>
      <c r="E5" s="1">
        <f t="shared" ref="E5:E45" si="1">100000/D5</f>
        <v>11111.111111111111</v>
      </c>
      <c r="F5" s="2">
        <f t="shared" ref="F5:F45" si="2">E5/E$2</f>
        <v>4.953180649574259E-2</v>
      </c>
      <c r="G5" s="4">
        <f t="shared" ref="G5:H45" si="3">G$2*$F5</f>
        <v>2.4765903247871298E-3</v>
      </c>
      <c r="H5" s="4">
        <f t="shared" si="3"/>
        <v>4.4578625846168332E-3</v>
      </c>
      <c r="I5" s="4">
        <f t="shared" ref="I5:I23" si="4">I$2*$F5</f>
        <v>3.6653536806849518E-2</v>
      </c>
      <c r="J5" s="4">
        <f t="shared" si="0"/>
        <v>3.7148854871806941E-2</v>
      </c>
      <c r="K5" s="4">
        <f t="shared" ref="K5:L47" si="5">K$2*$F5</f>
        <v>4.9531806495742596E-3</v>
      </c>
      <c r="L5" s="4">
        <f t="shared" si="5"/>
        <v>3.7148854871806941E-2</v>
      </c>
      <c r="M5" s="4"/>
      <c r="N5" s="4"/>
      <c r="O5" s="4" t="s">
        <v>170</v>
      </c>
      <c r="P5" s="1" t="s">
        <v>213</v>
      </c>
      <c r="R5" s="1" t="s">
        <v>393</v>
      </c>
      <c r="S5" s="23">
        <f>$J$1*$U$1*F5*5</f>
        <v>10.906903790362518</v>
      </c>
      <c r="T5" s="23">
        <f>$J$1*$U$1*F7*5</f>
        <v>3.6356345967875061</v>
      </c>
      <c r="U5" s="23">
        <f>$J$1*$U$1*F10*5</f>
        <v>1.3088284548435021</v>
      </c>
    </row>
    <row r="6" spans="1:27" x14ac:dyDescent="0.15">
      <c r="A6" s="1" t="s">
        <v>30</v>
      </c>
      <c r="B6" s="1">
        <v>1</v>
      </c>
      <c r="C6" s="1">
        <v>1</v>
      </c>
      <c r="D6" s="1">
        <v>9</v>
      </c>
      <c r="E6" s="1">
        <f t="shared" si="1"/>
        <v>11111.111111111111</v>
      </c>
      <c r="F6" s="2">
        <f t="shared" si="2"/>
        <v>4.953180649574259E-2</v>
      </c>
      <c r="G6" s="4">
        <f t="shared" si="3"/>
        <v>2.4765903247871298E-3</v>
      </c>
      <c r="H6" s="4">
        <f t="shared" si="3"/>
        <v>4.4578625846168332E-3</v>
      </c>
      <c r="I6" s="4">
        <f t="shared" si="4"/>
        <v>3.6653536806849518E-2</v>
      </c>
      <c r="J6" s="4">
        <f t="shared" si="0"/>
        <v>3.7148854871806941E-2</v>
      </c>
      <c r="K6" s="4">
        <f t="shared" si="5"/>
        <v>4.9531806495742596E-3</v>
      </c>
      <c r="L6" s="4">
        <f t="shared" si="5"/>
        <v>3.7148854871806941E-2</v>
      </c>
      <c r="M6" s="4"/>
      <c r="N6" s="4"/>
      <c r="O6" s="4" t="s">
        <v>171</v>
      </c>
      <c r="P6" s="1" t="s">
        <v>214</v>
      </c>
      <c r="R6" s="1" t="s">
        <v>394</v>
      </c>
      <c r="S6" s="23">
        <f>SUM(S4:S5)/3*2*W3/3</f>
        <v>2.6863300076263239</v>
      </c>
      <c r="T6" s="23">
        <f>SUM(T4:T5)/3*2*W3/3</f>
        <v>0.89544333587544134</v>
      </c>
      <c r="U6" s="23">
        <f>SUM(U4:U5)/3*2*W3/3</f>
        <v>0.32235960091515886</v>
      </c>
    </row>
    <row r="7" spans="1:27" x14ac:dyDescent="0.15">
      <c r="A7" s="1" t="s">
        <v>44</v>
      </c>
      <c r="B7" s="1">
        <v>1</v>
      </c>
      <c r="C7" s="1">
        <v>2</v>
      </c>
      <c r="D7" s="1">
        <v>27</v>
      </c>
      <c r="E7" s="1">
        <f t="shared" si="1"/>
        <v>3703.7037037037039</v>
      </c>
      <c r="F7" s="2">
        <f t="shared" si="2"/>
        <v>1.651060216524753E-2</v>
      </c>
      <c r="G7" s="4">
        <f t="shared" si="3"/>
        <v>8.2553010826237659E-4</v>
      </c>
      <c r="H7" s="4">
        <f t="shared" si="3"/>
        <v>1.4859541948722777E-3</v>
      </c>
      <c r="I7" s="4">
        <f t="shared" ref="I7:I12" si="6">I$2*$F7</f>
        <v>1.2217845602283173E-2</v>
      </c>
      <c r="J7" s="4">
        <f t="shared" si="0"/>
        <v>1.2382951623935648E-2</v>
      </c>
      <c r="K7" s="4">
        <f t="shared" si="5"/>
        <v>1.6510602165247532E-3</v>
      </c>
      <c r="L7" s="4">
        <f t="shared" si="5"/>
        <v>1.2382951623935648E-2</v>
      </c>
      <c r="M7" s="4"/>
      <c r="N7" s="4"/>
      <c r="O7" s="4" t="s">
        <v>172</v>
      </c>
      <c r="P7" s="1" t="s">
        <v>215</v>
      </c>
      <c r="R7" s="1" t="s">
        <v>397</v>
      </c>
      <c r="S7" s="23">
        <f>SUM(S4:S5)/3*1*W3/3</f>
        <v>1.343165003813162</v>
      </c>
      <c r="T7" s="23">
        <f>SUM(T4:T5)/3*1*W3/3</f>
        <v>0.44772166793772067</v>
      </c>
      <c r="U7" s="23">
        <f>SUM(U4:U5)/3*1*W3/3</f>
        <v>0.16117980045757943</v>
      </c>
    </row>
    <row r="8" spans="1:27" x14ac:dyDescent="0.15">
      <c r="A8" s="1" t="s">
        <v>56</v>
      </c>
      <c r="B8" s="1">
        <v>1</v>
      </c>
      <c r="C8" s="1">
        <v>1</v>
      </c>
      <c r="D8" s="1">
        <v>9</v>
      </c>
      <c r="E8" s="1">
        <f>100000/D8</f>
        <v>11111.111111111111</v>
      </c>
      <c r="F8" s="2">
        <f>E8/E$2</f>
        <v>4.953180649574259E-2</v>
      </c>
      <c r="G8" s="4">
        <f t="shared" si="3"/>
        <v>2.4765903247871298E-3</v>
      </c>
      <c r="H8" s="4">
        <f t="shared" si="3"/>
        <v>4.4578625846168332E-3</v>
      </c>
      <c r="I8" s="4">
        <f t="shared" si="6"/>
        <v>3.6653536806849518E-2</v>
      </c>
      <c r="J8" s="4">
        <f t="shared" si="0"/>
        <v>3.7148854871806941E-2</v>
      </c>
      <c r="K8" s="4">
        <f t="shared" si="5"/>
        <v>4.9531806495742596E-3</v>
      </c>
      <c r="L8" s="4">
        <f t="shared" si="5"/>
        <v>3.7148854871806941E-2</v>
      </c>
      <c r="M8" s="4"/>
      <c r="N8" s="4"/>
      <c r="O8" s="4" t="s">
        <v>173</v>
      </c>
      <c r="P8" s="1" t="s">
        <v>216</v>
      </c>
      <c r="V8">
        <v>0.7</v>
      </c>
      <c r="Y8">
        <v>0.7</v>
      </c>
    </row>
    <row r="9" spans="1:27" x14ac:dyDescent="0.15">
      <c r="A9" s="1" t="s">
        <v>48</v>
      </c>
      <c r="B9" s="1">
        <v>1</v>
      </c>
      <c r="C9" s="1">
        <v>1</v>
      </c>
      <c r="D9" s="1">
        <v>9</v>
      </c>
      <c r="E9" s="1">
        <f t="shared" si="1"/>
        <v>11111.111111111111</v>
      </c>
      <c r="F9" s="2">
        <f t="shared" si="2"/>
        <v>4.953180649574259E-2</v>
      </c>
      <c r="G9" s="4">
        <f t="shared" si="3"/>
        <v>2.4765903247871298E-3</v>
      </c>
      <c r="H9" s="4">
        <f t="shared" si="3"/>
        <v>4.4578625846168332E-3</v>
      </c>
      <c r="I9" s="4">
        <f t="shared" si="6"/>
        <v>3.6653536806849518E-2</v>
      </c>
      <c r="J9" s="4">
        <f t="shared" si="0"/>
        <v>3.7148854871806941E-2</v>
      </c>
      <c r="K9" s="4">
        <f t="shared" si="5"/>
        <v>4.9531806495742596E-3</v>
      </c>
      <c r="L9" s="4">
        <f t="shared" si="5"/>
        <v>3.7148854871806941E-2</v>
      </c>
      <c r="M9" s="4"/>
      <c r="N9" s="4"/>
      <c r="O9" s="4" t="s">
        <v>174</v>
      </c>
      <c r="P9" s="1" t="s">
        <v>217</v>
      </c>
      <c r="S9" s="27" t="s">
        <v>403</v>
      </c>
      <c r="T9" s="27"/>
      <c r="U9" s="27"/>
      <c r="V9" s="27" t="s">
        <v>404</v>
      </c>
      <c r="W9" s="27"/>
      <c r="X9" s="27"/>
      <c r="Y9" s="27" t="s">
        <v>405</v>
      </c>
      <c r="Z9" s="27"/>
      <c r="AA9" s="27"/>
    </row>
    <row r="10" spans="1:27" x14ac:dyDescent="0.15">
      <c r="A10" s="1" t="s">
        <v>33</v>
      </c>
      <c r="B10" s="1">
        <v>1</v>
      </c>
      <c r="C10" s="1">
        <v>3</v>
      </c>
      <c r="D10" s="1">
        <v>75</v>
      </c>
      <c r="E10" s="1">
        <f>100000/D10</f>
        <v>1333.3333333333333</v>
      </c>
      <c r="F10" s="2">
        <f>E10/E$2</f>
        <v>5.9438167794891097E-3</v>
      </c>
      <c r="G10" s="4">
        <f t="shared" si="3"/>
        <v>2.9719083897445552E-4</v>
      </c>
      <c r="H10" s="4">
        <f t="shared" si="3"/>
        <v>5.349435101540199E-4</v>
      </c>
      <c r="I10" s="4">
        <f t="shared" si="6"/>
        <v>4.3984244168219413E-3</v>
      </c>
      <c r="J10" s="4">
        <f t="shared" si="0"/>
        <v>4.4578625846168323E-3</v>
      </c>
      <c r="K10" s="4">
        <f t="shared" si="5"/>
        <v>5.9438167794891104E-4</v>
      </c>
      <c r="L10" s="4">
        <f t="shared" si="5"/>
        <v>4.4578625846168323E-3</v>
      </c>
      <c r="M10" s="4"/>
      <c r="N10" s="4"/>
      <c r="O10" s="4" t="s">
        <v>175</v>
      </c>
      <c r="P10" s="1" t="s">
        <v>218</v>
      </c>
      <c r="R10" s="1" t="s">
        <v>399</v>
      </c>
      <c r="S10" t="s">
        <v>400</v>
      </c>
      <c r="T10" s="2" t="s">
        <v>401</v>
      </c>
      <c r="U10" s="2" t="s">
        <v>402</v>
      </c>
      <c r="V10" s="1" t="s">
        <v>400</v>
      </c>
      <c r="W10" s="2" t="s">
        <v>401</v>
      </c>
      <c r="X10" s="2" t="s">
        <v>402</v>
      </c>
      <c r="Y10" s="1" t="s">
        <v>400</v>
      </c>
      <c r="Z10" s="2" t="s">
        <v>401</v>
      </c>
      <c r="AA10" s="2" t="s">
        <v>402</v>
      </c>
    </row>
    <row r="11" spans="1:27" x14ac:dyDescent="0.15">
      <c r="A11" s="1" t="s">
        <v>32</v>
      </c>
      <c r="B11" s="1">
        <v>1</v>
      </c>
      <c r="C11" s="1">
        <v>3</v>
      </c>
      <c r="D11" s="1">
        <v>75</v>
      </c>
      <c r="E11" s="1">
        <f>100000/D11</f>
        <v>1333.3333333333333</v>
      </c>
      <c r="F11" s="2">
        <f>E11/E$2</f>
        <v>5.9438167794891097E-3</v>
      </c>
      <c r="G11" s="4">
        <f t="shared" si="3"/>
        <v>2.9719083897445552E-4</v>
      </c>
      <c r="H11" s="4">
        <f t="shared" si="3"/>
        <v>5.349435101540199E-4</v>
      </c>
      <c r="I11" s="4">
        <f t="shared" si="6"/>
        <v>4.3984244168219413E-3</v>
      </c>
      <c r="J11" s="4">
        <f t="shared" si="0"/>
        <v>4.4578625846168323E-3</v>
      </c>
      <c r="K11" s="4">
        <f t="shared" si="5"/>
        <v>5.9438167794891104E-4</v>
      </c>
      <c r="L11" s="4">
        <f t="shared" si="5"/>
        <v>4.4578625846168323E-3</v>
      </c>
      <c r="M11" s="4"/>
      <c r="N11" s="4"/>
      <c r="O11" s="4" t="s">
        <v>176</v>
      </c>
      <c r="P11" s="1" t="s">
        <v>219</v>
      </c>
      <c r="R11" s="1">
        <v>3</v>
      </c>
      <c r="S11" s="2">
        <v>0.1</v>
      </c>
      <c r="T11" s="2">
        <v>8.4000000000000005E-2</v>
      </c>
      <c r="U11" s="2">
        <v>7.2999999999999995E-2</v>
      </c>
      <c r="V11" s="2">
        <f>S11*$V$8</f>
        <v>6.9999999999999993E-2</v>
      </c>
      <c r="W11" s="2">
        <f t="shared" ref="W11:X11" si="7">T11*$V$8</f>
        <v>5.8799999999999998E-2</v>
      </c>
      <c r="X11" s="2">
        <f t="shared" si="7"/>
        <v>5.1099999999999993E-2</v>
      </c>
      <c r="Y11" s="2">
        <f>V11*$Y$8</f>
        <v>4.8999999999999995E-2</v>
      </c>
      <c r="Z11" s="2">
        <f t="shared" ref="Z11:AA11" si="8">W11*$Y$8</f>
        <v>4.1159999999999995E-2</v>
      </c>
      <c r="AA11" s="2">
        <f t="shared" si="8"/>
        <v>3.5769999999999989E-2</v>
      </c>
    </row>
    <row r="12" spans="1:27" x14ac:dyDescent="0.15">
      <c r="A12" s="1" t="s">
        <v>28</v>
      </c>
      <c r="B12" s="1">
        <v>2</v>
      </c>
      <c r="C12" s="1">
        <v>1</v>
      </c>
      <c r="D12" s="1">
        <v>9</v>
      </c>
      <c r="E12" s="1">
        <f t="shared" si="1"/>
        <v>11111.111111111111</v>
      </c>
      <c r="F12" s="2">
        <f t="shared" si="2"/>
        <v>4.953180649574259E-2</v>
      </c>
      <c r="G12" s="4">
        <f t="shared" si="3"/>
        <v>2.4765903247871298E-3</v>
      </c>
      <c r="H12" s="4">
        <f t="shared" si="3"/>
        <v>4.4578625846168332E-3</v>
      </c>
      <c r="I12" s="4">
        <f t="shared" si="6"/>
        <v>3.6653536806849518E-2</v>
      </c>
      <c r="J12" s="4">
        <f t="shared" si="0"/>
        <v>3.7148854871806941E-2</v>
      </c>
      <c r="K12" s="4">
        <f t="shared" si="5"/>
        <v>4.9531806495742596E-3</v>
      </c>
      <c r="L12" s="4">
        <f t="shared" si="5"/>
        <v>3.7148854871806941E-2</v>
      </c>
      <c r="M12" s="4"/>
      <c r="N12" s="4"/>
      <c r="O12" s="4" t="s">
        <v>177</v>
      </c>
      <c r="P12" s="1" t="s">
        <v>220</v>
      </c>
      <c r="R12" s="1">
        <v>10</v>
      </c>
      <c r="S12" s="2">
        <v>0.08</v>
      </c>
      <c r="T12" s="2">
        <v>3.5000000000000003E-2</v>
      </c>
      <c r="U12" s="2">
        <v>0.01</v>
      </c>
      <c r="V12" s="2">
        <f t="shared" ref="V12:V13" si="9">S12*$V$8</f>
        <v>5.5999999999999994E-2</v>
      </c>
      <c r="W12" s="2">
        <f t="shared" ref="W12:W13" si="10">T12*$V$8</f>
        <v>2.4500000000000001E-2</v>
      </c>
      <c r="X12" s="2">
        <f t="shared" ref="X12:X13" si="11">U12*$V$8</f>
        <v>6.9999999999999993E-3</v>
      </c>
      <c r="Y12" s="2">
        <f t="shared" ref="Y12:Y13" si="12">V12*$Y$8</f>
        <v>3.9199999999999992E-2</v>
      </c>
      <c r="Z12" s="2">
        <f t="shared" ref="Z12:Z13" si="13">W12*$Y$8</f>
        <v>1.7149999999999999E-2</v>
      </c>
      <c r="AA12" s="2">
        <f t="shared" ref="AA12:AA13" si="14">X12*$Y$8</f>
        <v>4.899999999999999E-3</v>
      </c>
    </row>
    <row r="13" spans="1:27" x14ac:dyDescent="0.15">
      <c r="A13" s="1" t="s">
        <v>34</v>
      </c>
      <c r="B13" s="1">
        <v>2</v>
      </c>
      <c r="C13" s="1">
        <v>1</v>
      </c>
      <c r="D13" s="1">
        <v>9</v>
      </c>
      <c r="E13" s="1">
        <f t="shared" si="1"/>
        <v>11111.111111111111</v>
      </c>
      <c r="F13" s="2">
        <f t="shared" si="2"/>
        <v>4.953180649574259E-2</v>
      </c>
      <c r="G13" s="4">
        <f t="shared" si="3"/>
        <v>2.4765903247871298E-3</v>
      </c>
      <c r="H13" s="4">
        <f t="shared" si="3"/>
        <v>4.4578625846168332E-3</v>
      </c>
      <c r="I13" s="4">
        <f t="shared" si="4"/>
        <v>3.6653536806849518E-2</v>
      </c>
      <c r="J13" s="4">
        <f t="shared" si="0"/>
        <v>3.7148854871806941E-2</v>
      </c>
      <c r="K13" s="4">
        <f t="shared" si="5"/>
        <v>4.9531806495742596E-3</v>
      </c>
      <c r="L13" s="4">
        <f t="shared" si="5"/>
        <v>3.7148854871806941E-2</v>
      </c>
      <c r="M13" s="4"/>
      <c r="N13" s="4"/>
      <c r="O13" s="4" t="s">
        <v>178</v>
      </c>
      <c r="P13" s="1" t="s">
        <v>221</v>
      </c>
      <c r="R13" s="1">
        <v>20</v>
      </c>
      <c r="S13" s="2">
        <v>0.08</v>
      </c>
      <c r="T13" s="2">
        <v>1.4999999999999999E-2</v>
      </c>
      <c r="U13" s="2">
        <v>0</v>
      </c>
      <c r="V13" s="2">
        <f t="shared" si="9"/>
        <v>5.5999999999999994E-2</v>
      </c>
      <c r="W13" s="2">
        <f t="shared" si="10"/>
        <v>1.0499999999999999E-2</v>
      </c>
      <c r="X13" s="2">
        <f t="shared" si="11"/>
        <v>0</v>
      </c>
      <c r="Y13" s="2">
        <f t="shared" si="12"/>
        <v>3.9199999999999992E-2</v>
      </c>
      <c r="Z13" s="2">
        <f t="shared" si="13"/>
        <v>7.3499999999999989E-3</v>
      </c>
      <c r="AA13" s="2">
        <f t="shared" si="14"/>
        <v>0</v>
      </c>
    </row>
    <row r="14" spans="1:27" x14ac:dyDescent="0.15">
      <c r="A14" s="1" t="s">
        <v>31</v>
      </c>
      <c r="B14" s="1">
        <v>2</v>
      </c>
      <c r="C14" s="1">
        <v>2</v>
      </c>
      <c r="D14" s="1">
        <v>27</v>
      </c>
      <c r="E14" s="1">
        <f t="shared" si="1"/>
        <v>3703.7037037037039</v>
      </c>
      <c r="F14" s="2">
        <f t="shared" si="2"/>
        <v>1.651060216524753E-2</v>
      </c>
      <c r="G14" s="4">
        <f t="shared" si="3"/>
        <v>8.2553010826237659E-4</v>
      </c>
      <c r="H14" s="4">
        <f t="shared" si="3"/>
        <v>1.4859541948722777E-3</v>
      </c>
      <c r="I14" s="4">
        <f>I$2*$F14</f>
        <v>1.2217845602283173E-2</v>
      </c>
      <c r="J14" s="4">
        <f t="shared" si="0"/>
        <v>1.2382951623935648E-2</v>
      </c>
      <c r="K14" s="4">
        <f t="shared" si="5"/>
        <v>1.6510602165247532E-3</v>
      </c>
      <c r="L14" s="4">
        <f t="shared" si="5"/>
        <v>1.2382951623935648E-2</v>
      </c>
      <c r="M14" s="4"/>
      <c r="N14" s="4"/>
      <c r="O14" s="4" t="s">
        <v>179</v>
      </c>
      <c r="P14" s="1" t="s">
        <v>222</v>
      </c>
      <c r="R14" s="1" t="s">
        <v>398</v>
      </c>
      <c r="S14">
        <f>SUMPRODUCT($R11:$R13,S11:S13)</f>
        <v>2.7</v>
      </c>
      <c r="T14" s="1">
        <f>SUMPRODUCT($R11:$R13,T11:T13)</f>
        <v>0.90200000000000014</v>
      </c>
      <c r="U14" s="1">
        <f>SUMPRODUCT($R11:$R13,U11:U13)</f>
        <v>0.31899999999999995</v>
      </c>
      <c r="V14" s="1">
        <f t="shared" ref="V14:X14" si="15">SUMPRODUCT($R11:$R13,V11:V13)</f>
        <v>1.8899999999999997</v>
      </c>
      <c r="W14" s="1">
        <f t="shared" si="15"/>
        <v>0.63139999999999996</v>
      </c>
      <c r="X14" s="1">
        <f t="shared" si="15"/>
        <v>0.2233</v>
      </c>
      <c r="Y14" s="1">
        <f t="shared" ref="Y14" si="16">SUMPRODUCT($R11:$R13,Y11:Y13)</f>
        <v>1.3229999999999997</v>
      </c>
      <c r="Z14" s="1">
        <f t="shared" ref="Z14" si="17">SUMPRODUCT($R11:$R13,Z11:Z13)</f>
        <v>0.44197999999999993</v>
      </c>
      <c r="AA14" s="1">
        <f t="shared" ref="AA14" si="18">SUMPRODUCT($R11:$R13,AA11:AA13)</f>
        <v>0.15630999999999995</v>
      </c>
    </row>
    <row r="15" spans="1:27" x14ac:dyDescent="0.15">
      <c r="A15" s="1" t="s">
        <v>36</v>
      </c>
      <c r="B15" s="1">
        <v>2</v>
      </c>
      <c r="C15" s="1">
        <v>3</v>
      </c>
      <c r="D15" s="1">
        <v>75</v>
      </c>
      <c r="E15" s="1">
        <f t="shared" si="1"/>
        <v>1333.3333333333333</v>
      </c>
      <c r="F15" s="2">
        <f t="shared" si="2"/>
        <v>5.9438167794891097E-3</v>
      </c>
      <c r="G15" s="4">
        <f t="shared" si="3"/>
        <v>2.9719083897445552E-4</v>
      </c>
      <c r="H15" s="4">
        <f t="shared" si="3"/>
        <v>5.349435101540199E-4</v>
      </c>
      <c r="I15" s="4">
        <f t="shared" si="4"/>
        <v>4.3984244168219413E-3</v>
      </c>
      <c r="J15" s="4">
        <f t="shared" si="0"/>
        <v>4.4578625846168323E-3</v>
      </c>
      <c r="K15" s="4">
        <f t="shared" si="5"/>
        <v>5.9438167794891104E-4</v>
      </c>
      <c r="L15" s="4">
        <f t="shared" si="5"/>
        <v>4.4578625846168323E-3</v>
      </c>
      <c r="M15" s="4"/>
      <c r="N15" s="4"/>
      <c r="O15" s="4" t="s">
        <v>180</v>
      </c>
      <c r="P15" s="1" t="s">
        <v>223</v>
      </c>
    </row>
    <row r="16" spans="1:27" x14ac:dyDescent="0.15">
      <c r="A16" s="1" t="s">
        <v>37</v>
      </c>
      <c r="B16" s="1">
        <v>2</v>
      </c>
      <c r="C16" s="1">
        <v>3</v>
      </c>
      <c r="D16" s="1">
        <v>27</v>
      </c>
      <c r="E16" s="1">
        <f t="shared" si="1"/>
        <v>3703.7037037037039</v>
      </c>
      <c r="F16" s="2">
        <f t="shared" si="2"/>
        <v>1.651060216524753E-2</v>
      </c>
      <c r="G16" s="4">
        <f t="shared" si="3"/>
        <v>8.2553010826237659E-4</v>
      </c>
      <c r="H16" s="4">
        <f t="shared" si="3"/>
        <v>1.4859541948722777E-3</v>
      </c>
      <c r="I16" s="4">
        <f t="shared" si="4"/>
        <v>1.2217845602283173E-2</v>
      </c>
      <c r="J16" s="4">
        <f t="shared" si="0"/>
        <v>1.2382951623935648E-2</v>
      </c>
      <c r="K16" s="4">
        <f t="shared" si="5"/>
        <v>1.6510602165247532E-3</v>
      </c>
      <c r="L16" s="4">
        <f t="shared" si="5"/>
        <v>1.2382951623935648E-2</v>
      </c>
      <c r="M16" s="4"/>
      <c r="N16" s="4"/>
      <c r="O16" s="4" t="s">
        <v>181</v>
      </c>
      <c r="P16" s="1" t="s">
        <v>224</v>
      </c>
    </row>
    <row r="17" spans="1:16" x14ac:dyDescent="0.15">
      <c r="A17" s="1" t="s">
        <v>38</v>
      </c>
      <c r="B17" s="1">
        <v>2</v>
      </c>
      <c r="C17" s="1">
        <v>2</v>
      </c>
      <c r="D17" s="1">
        <v>27</v>
      </c>
      <c r="E17" s="1">
        <f t="shared" si="1"/>
        <v>3703.7037037037039</v>
      </c>
      <c r="F17" s="2">
        <f t="shared" si="2"/>
        <v>1.651060216524753E-2</v>
      </c>
      <c r="G17" s="4">
        <f t="shared" si="3"/>
        <v>8.2553010826237659E-4</v>
      </c>
      <c r="H17" s="4">
        <f t="shared" si="3"/>
        <v>1.4859541948722777E-3</v>
      </c>
      <c r="I17" s="4">
        <f t="shared" si="4"/>
        <v>1.2217845602283173E-2</v>
      </c>
      <c r="J17" s="4">
        <f t="shared" si="0"/>
        <v>1.2382951623935648E-2</v>
      </c>
      <c r="K17" s="4">
        <f t="shared" si="5"/>
        <v>1.6510602165247532E-3</v>
      </c>
      <c r="L17" s="4">
        <f t="shared" si="5"/>
        <v>1.2382951623935648E-2</v>
      </c>
      <c r="M17" s="4"/>
      <c r="N17" s="4"/>
      <c r="O17" s="4" t="s">
        <v>182</v>
      </c>
      <c r="P17" s="1" t="s">
        <v>225</v>
      </c>
    </row>
    <row r="18" spans="1:16" x14ac:dyDescent="0.15">
      <c r="A18" s="1" t="s">
        <v>39</v>
      </c>
      <c r="B18" s="1">
        <v>2</v>
      </c>
      <c r="C18" s="1">
        <v>3</v>
      </c>
      <c r="D18" s="1">
        <v>27</v>
      </c>
      <c r="E18" s="1">
        <f t="shared" si="1"/>
        <v>3703.7037037037039</v>
      </c>
      <c r="F18" s="2">
        <f t="shared" si="2"/>
        <v>1.651060216524753E-2</v>
      </c>
      <c r="G18" s="4">
        <f t="shared" si="3"/>
        <v>8.2553010826237659E-4</v>
      </c>
      <c r="H18" s="4">
        <f t="shared" si="3"/>
        <v>1.4859541948722777E-3</v>
      </c>
      <c r="I18" s="4">
        <f t="shared" si="4"/>
        <v>1.2217845602283173E-2</v>
      </c>
      <c r="J18" s="4">
        <f t="shared" si="0"/>
        <v>1.2382951623935648E-2</v>
      </c>
      <c r="K18" s="4">
        <f t="shared" si="5"/>
        <v>1.6510602165247532E-3</v>
      </c>
      <c r="L18" s="4">
        <f t="shared" si="5"/>
        <v>1.2382951623935648E-2</v>
      </c>
      <c r="M18" s="4"/>
      <c r="N18" s="4"/>
      <c r="O18" s="4" t="s">
        <v>183</v>
      </c>
      <c r="P18" s="1" t="s">
        <v>226</v>
      </c>
    </row>
    <row r="19" spans="1:16" x14ac:dyDescent="0.15">
      <c r="A19" s="1" t="s">
        <v>40</v>
      </c>
      <c r="B19" s="1">
        <v>3</v>
      </c>
      <c r="C19" s="1">
        <v>1</v>
      </c>
      <c r="D19" s="1">
        <v>9</v>
      </c>
      <c r="E19" s="1">
        <f t="shared" si="1"/>
        <v>11111.111111111111</v>
      </c>
      <c r="F19" s="2">
        <f t="shared" si="2"/>
        <v>4.953180649574259E-2</v>
      </c>
      <c r="G19" s="4">
        <f t="shared" si="3"/>
        <v>2.4765903247871298E-3</v>
      </c>
      <c r="H19" s="4">
        <f t="shared" si="3"/>
        <v>4.4578625846168332E-3</v>
      </c>
      <c r="I19" s="4">
        <f t="shared" si="4"/>
        <v>3.6653536806849518E-2</v>
      </c>
      <c r="J19" s="4">
        <f t="shared" si="0"/>
        <v>3.7148854871806941E-2</v>
      </c>
      <c r="K19" s="4">
        <f t="shared" si="5"/>
        <v>4.9531806495742596E-3</v>
      </c>
      <c r="L19" s="4">
        <f t="shared" si="5"/>
        <v>3.7148854871806941E-2</v>
      </c>
      <c r="M19" s="4"/>
      <c r="N19" s="4"/>
      <c r="O19" s="4" t="s">
        <v>184</v>
      </c>
      <c r="P19" s="1" t="s">
        <v>227</v>
      </c>
    </row>
    <row r="20" spans="1:16" x14ac:dyDescent="0.15">
      <c r="A20" s="1" t="s">
        <v>29</v>
      </c>
      <c r="B20" s="1">
        <v>3</v>
      </c>
      <c r="C20" s="1">
        <v>1</v>
      </c>
      <c r="D20" s="1">
        <v>9</v>
      </c>
      <c r="E20" s="1">
        <f t="shared" si="1"/>
        <v>11111.111111111111</v>
      </c>
      <c r="F20" s="2">
        <f t="shared" si="2"/>
        <v>4.953180649574259E-2</v>
      </c>
      <c r="G20" s="4">
        <f t="shared" si="3"/>
        <v>2.4765903247871298E-3</v>
      </c>
      <c r="H20" s="4">
        <f t="shared" si="3"/>
        <v>4.4578625846168332E-3</v>
      </c>
      <c r="I20" s="4">
        <f>I$2*$F20</f>
        <v>3.6653536806849518E-2</v>
      </c>
      <c r="J20" s="4">
        <f t="shared" si="0"/>
        <v>3.7148854871806941E-2</v>
      </c>
      <c r="K20" s="4">
        <f t="shared" si="5"/>
        <v>4.9531806495742596E-3</v>
      </c>
      <c r="L20" s="4">
        <f t="shared" si="5"/>
        <v>3.7148854871806941E-2</v>
      </c>
      <c r="M20" s="4"/>
      <c r="N20" s="4"/>
      <c r="O20" s="4" t="s">
        <v>185</v>
      </c>
      <c r="P20" s="1" t="s">
        <v>228</v>
      </c>
    </row>
    <row r="21" spans="1:16" x14ac:dyDescent="0.15">
      <c r="A21" s="1" t="s">
        <v>41</v>
      </c>
      <c r="B21" s="1">
        <v>3</v>
      </c>
      <c r="C21" s="1">
        <v>1</v>
      </c>
      <c r="D21" s="1">
        <v>9</v>
      </c>
      <c r="E21" s="1">
        <f t="shared" si="1"/>
        <v>11111.111111111111</v>
      </c>
      <c r="F21" s="2">
        <f t="shared" si="2"/>
        <v>4.953180649574259E-2</v>
      </c>
      <c r="G21" s="4">
        <f t="shared" si="3"/>
        <v>2.4765903247871298E-3</v>
      </c>
      <c r="H21" s="4">
        <f t="shared" si="3"/>
        <v>4.4578625846168332E-3</v>
      </c>
      <c r="I21" s="4">
        <f t="shared" si="4"/>
        <v>3.6653536806849518E-2</v>
      </c>
      <c r="J21" s="4">
        <f t="shared" si="0"/>
        <v>3.7148854871806941E-2</v>
      </c>
      <c r="K21" s="4">
        <f t="shared" si="5"/>
        <v>4.9531806495742596E-3</v>
      </c>
      <c r="L21" s="4">
        <f t="shared" si="5"/>
        <v>3.7148854871806941E-2</v>
      </c>
      <c r="M21" s="4"/>
      <c r="N21" s="4"/>
      <c r="O21" s="4" t="s">
        <v>186</v>
      </c>
      <c r="P21" s="1" t="s">
        <v>229</v>
      </c>
    </row>
    <row r="22" spans="1:16" x14ac:dyDescent="0.15">
      <c r="A22" s="1" t="s">
        <v>35</v>
      </c>
      <c r="B22" s="1">
        <v>3</v>
      </c>
      <c r="C22" s="1">
        <v>2</v>
      </c>
      <c r="D22" s="1">
        <v>27</v>
      </c>
      <c r="E22" s="1">
        <f t="shared" si="1"/>
        <v>3703.7037037037039</v>
      </c>
      <c r="F22" s="2">
        <f t="shared" si="2"/>
        <v>1.651060216524753E-2</v>
      </c>
      <c r="G22" s="4">
        <f t="shared" si="3"/>
        <v>8.2553010826237659E-4</v>
      </c>
      <c r="H22" s="4">
        <f t="shared" si="3"/>
        <v>1.4859541948722777E-3</v>
      </c>
      <c r="I22" s="4">
        <f>I$2*$F22</f>
        <v>1.2217845602283173E-2</v>
      </c>
      <c r="J22" s="4">
        <f t="shared" si="0"/>
        <v>1.2382951623935648E-2</v>
      </c>
      <c r="K22" s="4">
        <f t="shared" si="5"/>
        <v>1.6510602165247532E-3</v>
      </c>
      <c r="L22" s="4">
        <f t="shared" si="5"/>
        <v>1.2382951623935648E-2</v>
      </c>
      <c r="M22" s="4"/>
      <c r="N22" s="4"/>
      <c r="O22" s="4" t="s">
        <v>187</v>
      </c>
      <c r="P22" s="1" t="s">
        <v>230</v>
      </c>
    </row>
    <row r="23" spans="1:16" x14ac:dyDescent="0.15">
      <c r="A23" s="1" t="s">
        <v>42</v>
      </c>
      <c r="B23" s="1">
        <v>3</v>
      </c>
      <c r="C23" s="1">
        <v>2</v>
      </c>
      <c r="D23" s="1">
        <v>27</v>
      </c>
      <c r="E23" s="1">
        <f t="shared" si="1"/>
        <v>3703.7037037037039</v>
      </c>
      <c r="F23" s="2">
        <f t="shared" si="2"/>
        <v>1.651060216524753E-2</v>
      </c>
      <c r="G23" s="4">
        <f t="shared" si="3"/>
        <v>8.2553010826237659E-4</v>
      </c>
      <c r="H23" s="4">
        <f t="shared" si="3"/>
        <v>1.4859541948722777E-3</v>
      </c>
      <c r="I23" s="4">
        <f t="shared" si="4"/>
        <v>1.2217845602283173E-2</v>
      </c>
      <c r="J23" s="4">
        <f t="shared" si="0"/>
        <v>1.2382951623935648E-2</v>
      </c>
      <c r="K23" s="4">
        <f t="shared" si="5"/>
        <v>1.6510602165247532E-3</v>
      </c>
      <c r="L23" s="4">
        <f t="shared" si="5"/>
        <v>1.2382951623935648E-2</v>
      </c>
      <c r="M23" s="4"/>
      <c r="N23" s="4"/>
      <c r="O23" s="4" t="s">
        <v>188</v>
      </c>
      <c r="P23" s="1" t="s">
        <v>231</v>
      </c>
    </row>
    <row r="24" spans="1:16" x14ac:dyDescent="0.15">
      <c r="A24" s="1" t="s">
        <v>43</v>
      </c>
      <c r="B24" s="1">
        <v>3</v>
      </c>
      <c r="C24" s="1">
        <v>2</v>
      </c>
      <c r="D24" s="1">
        <v>27</v>
      </c>
      <c r="E24" s="1">
        <f t="shared" si="1"/>
        <v>3703.7037037037039</v>
      </c>
      <c r="F24" s="2">
        <f t="shared" si="2"/>
        <v>1.651060216524753E-2</v>
      </c>
      <c r="G24" s="4">
        <f t="shared" si="3"/>
        <v>8.2553010826237659E-4</v>
      </c>
      <c r="H24" s="4">
        <f t="shared" si="3"/>
        <v>1.4859541948722777E-3</v>
      </c>
      <c r="I24" s="4">
        <f t="shared" ref="I24:I45" si="19">I$2*$F24</f>
        <v>1.2217845602283173E-2</v>
      </c>
      <c r="J24" s="4">
        <f t="shared" si="0"/>
        <v>1.2382951623935648E-2</v>
      </c>
      <c r="K24" s="4">
        <f t="shared" si="5"/>
        <v>1.6510602165247532E-3</v>
      </c>
      <c r="L24" s="4">
        <f t="shared" si="5"/>
        <v>1.2382951623935648E-2</v>
      </c>
      <c r="M24" s="4"/>
      <c r="N24" s="4"/>
      <c r="O24" s="4" t="s">
        <v>189</v>
      </c>
      <c r="P24" s="1" t="s">
        <v>232</v>
      </c>
    </row>
    <row r="25" spans="1:16" x14ac:dyDescent="0.15">
      <c r="A25" s="1" t="s">
        <v>45</v>
      </c>
      <c r="B25" s="1">
        <v>3</v>
      </c>
      <c r="C25" s="1">
        <v>3</v>
      </c>
      <c r="D25" s="1">
        <v>27</v>
      </c>
      <c r="E25" s="1">
        <f t="shared" si="1"/>
        <v>3703.7037037037039</v>
      </c>
      <c r="F25" s="2">
        <f t="shared" si="2"/>
        <v>1.651060216524753E-2</v>
      </c>
      <c r="G25" s="4">
        <f t="shared" si="3"/>
        <v>8.2553010826237659E-4</v>
      </c>
      <c r="H25" s="4">
        <f t="shared" si="3"/>
        <v>1.4859541948722777E-3</v>
      </c>
      <c r="I25" s="4">
        <f t="shared" si="19"/>
        <v>1.2217845602283173E-2</v>
      </c>
      <c r="J25" s="4">
        <f t="shared" si="0"/>
        <v>1.2382951623935648E-2</v>
      </c>
      <c r="K25" s="4">
        <f t="shared" si="5"/>
        <v>1.6510602165247532E-3</v>
      </c>
      <c r="L25" s="4">
        <f t="shared" si="5"/>
        <v>1.2382951623935648E-2</v>
      </c>
      <c r="M25" s="4"/>
      <c r="N25" s="4"/>
      <c r="O25" s="4" t="s">
        <v>190</v>
      </c>
      <c r="P25" s="1" t="s">
        <v>233</v>
      </c>
    </row>
    <row r="26" spans="1:16" x14ac:dyDescent="0.15">
      <c r="A26" s="1" t="s">
        <v>46</v>
      </c>
      <c r="B26" s="1">
        <v>3</v>
      </c>
      <c r="C26" s="1">
        <v>2</v>
      </c>
      <c r="D26" s="1">
        <v>27</v>
      </c>
      <c r="E26" s="1">
        <f t="shared" si="1"/>
        <v>3703.7037037037039</v>
      </c>
      <c r="F26" s="2">
        <f t="shared" si="2"/>
        <v>1.651060216524753E-2</v>
      </c>
      <c r="G26" s="4">
        <f t="shared" si="3"/>
        <v>8.2553010826237659E-4</v>
      </c>
      <c r="H26" s="4">
        <f t="shared" si="3"/>
        <v>1.4859541948722777E-3</v>
      </c>
      <c r="I26" s="4">
        <f t="shared" si="19"/>
        <v>1.2217845602283173E-2</v>
      </c>
      <c r="J26" s="4">
        <f t="shared" si="0"/>
        <v>1.2382951623935648E-2</v>
      </c>
      <c r="K26" s="4">
        <f t="shared" si="5"/>
        <v>1.6510602165247532E-3</v>
      </c>
      <c r="L26" s="4">
        <f t="shared" si="5"/>
        <v>1.2382951623935648E-2</v>
      </c>
      <c r="M26" s="4"/>
      <c r="N26" s="4"/>
      <c r="O26" s="4" t="s">
        <v>191</v>
      </c>
      <c r="P26" s="1" t="s">
        <v>234</v>
      </c>
    </row>
    <row r="27" spans="1:16" x14ac:dyDescent="0.15">
      <c r="A27" s="1" t="s">
        <v>337</v>
      </c>
      <c r="B27" s="1">
        <v>3</v>
      </c>
      <c r="C27" s="1">
        <v>3</v>
      </c>
      <c r="D27" s="1">
        <v>27</v>
      </c>
      <c r="E27" s="1">
        <f t="shared" si="1"/>
        <v>3703.7037037037039</v>
      </c>
      <c r="F27" s="2">
        <f t="shared" si="2"/>
        <v>1.651060216524753E-2</v>
      </c>
      <c r="G27" s="4">
        <f t="shared" si="3"/>
        <v>8.2553010826237659E-4</v>
      </c>
      <c r="H27" s="4">
        <f t="shared" si="3"/>
        <v>1.4859541948722777E-3</v>
      </c>
      <c r="I27" s="4">
        <f t="shared" si="19"/>
        <v>1.2217845602283173E-2</v>
      </c>
      <c r="J27" s="4">
        <f t="shared" si="0"/>
        <v>1.2382951623935648E-2</v>
      </c>
      <c r="K27" s="4">
        <f t="shared" si="5"/>
        <v>1.6510602165247532E-3</v>
      </c>
      <c r="L27" s="4">
        <f t="shared" si="5"/>
        <v>1.2382951623935648E-2</v>
      </c>
      <c r="M27" s="4"/>
      <c r="N27" s="4"/>
      <c r="O27" s="4" t="s">
        <v>192</v>
      </c>
      <c r="P27" s="1" t="s">
        <v>235</v>
      </c>
    </row>
    <row r="28" spans="1:16" x14ac:dyDescent="0.15">
      <c r="A28" s="1" t="s">
        <v>49</v>
      </c>
      <c r="B28" s="1">
        <v>4</v>
      </c>
      <c r="C28" s="1">
        <v>1</v>
      </c>
      <c r="D28" s="1">
        <v>9</v>
      </c>
      <c r="E28" s="1">
        <f t="shared" si="1"/>
        <v>11111.111111111111</v>
      </c>
      <c r="F28" s="2">
        <f t="shared" si="2"/>
        <v>4.953180649574259E-2</v>
      </c>
      <c r="G28" s="4">
        <f t="shared" si="3"/>
        <v>2.4765903247871298E-3</v>
      </c>
      <c r="H28" s="4">
        <f t="shared" si="3"/>
        <v>4.4578625846168332E-3</v>
      </c>
      <c r="I28" s="4">
        <f t="shared" si="19"/>
        <v>3.6653536806849518E-2</v>
      </c>
      <c r="J28" s="4">
        <f t="shared" si="0"/>
        <v>3.7148854871806941E-2</v>
      </c>
      <c r="K28" s="4">
        <f t="shared" si="5"/>
        <v>4.9531806495742596E-3</v>
      </c>
      <c r="L28" s="4">
        <f t="shared" si="5"/>
        <v>3.7148854871806941E-2</v>
      </c>
      <c r="M28" s="4"/>
      <c r="N28" s="4"/>
      <c r="O28" s="4" t="s">
        <v>193</v>
      </c>
      <c r="P28" s="1" t="s">
        <v>236</v>
      </c>
    </row>
    <row r="29" spans="1:16" x14ac:dyDescent="0.15">
      <c r="A29" s="1" t="s">
        <v>50</v>
      </c>
      <c r="B29" s="1">
        <v>4</v>
      </c>
      <c r="C29" s="1">
        <v>2</v>
      </c>
      <c r="D29" s="1">
        <v>27</v>
      </c>
      <c r="E29" s="1">
        <f t="shared" si="1"/>
        <v>3703.7037037037039</v>
      </c>
      <c r="F29" s="2">
        <f t="shared" si="2"/>
        <v>1.651060216524753E-2</v>
      </c>
      <c r="G29" s="4">
        <f t="shared" si="3"/>
        <v>8.2553010826237659E-4</v>
      </c>
      <c r="H29" s="4">
        <f t="shared" si="3"/>
        <v>1.4859541948722777E-3</v>
      </c>
      <c r="I29" s="4">
        <f t="shared" si="19"/>
        <v>1.2217845602283173E-2</v>
      </c>
      <c r="J29" s="4">
        <f t="shared" si="0"/>
        <v>1.2382951623935648E-2</v>
      </c>
      <c r="K29" s="4">
        <f t="shared" si="5"/>
        <v>1.6510602165247532E-3</v>
      </c>
      <c r="L29" s="4">
        <f t="shared" si="5"/>
        <v>1.2382951623935648E-2</v>
      </c>
      <c r="M29" s="4"/>
      <c r="N29" s="4"/>
      <c r="O29" s="4" t="s">
        <v>194</v>
      </c>
      <c r="P29" s="1" t="s">
        <v>237</v>
      </c>
    </row>
    <row r="30" spans="1:16" x14ac:dyDescent="0.15">
      <c r="A30" s="1" t="s">
        <v>51</v>
      </c>
      <c r="B30" s="1">
        <v>4</v>
      </c>
      <c r="C30" s="1">
        <v>2</v>
      </c>
      <c r="D30" s="1">
        <v>27</v>
      </c>
      <c r="E30" s="1">
        <f t="shared" si="1"/>
        <v>3703.7037037037039</v>
      </c>
      <c r="F30" s="2">
        <f t="shared" si="2"/>
        <v>1.651060216524753E-2</v>
      </c>
      <c r="G30" s="4">
        <f t="shared" si="3"/>
        <v>8.2553010826237659E-4</v>
      </c>
      <c r="H30" s="4">
        <f t="shared" si="3"/>
        <v>1.4859541948722777E-3</v>
      </c>
      <c r="I30" s="4">
        <f t="shared" si="19"/>
        <v>1.2217845602283173E-2</v>
      </c>
      <c r="J30" s="4">
        <f t="shared" si="0"/>
        <v>1.2382951623935648E-2</v>
      </c>
      <c r="K30" s="4">
        <f t="shared" si="5"/>
        <v>1.6510602165247532E-3</v>
      </c>
      <c r="L30" s="4">
        <f t="shared" si="5"/>
        <v>1.2382951623935648E-2</v>
      </c>
      <c r="M30" s="4"/>
      <c r="N30" s="4"/>
      <c r="O30" s="4" t="s">
        <v>195</v>
      </c>
      <c r="P30" s="1" t="s">
        <v>238</v>
      </c>
    </row>
    <row r="31" spans="1:16" x14ac:dyDescent="0.15">
      <c r="A31" s="1" t="s">
        <v>66</v>
      </c>
      <c r="B31" s="1">
        <v>4</v>
      </c>
      <c r="C31" s="1">
        <v>2</v>
      </c>
      <c r="D31" s="1">
        <v>27</v>
      </c>
      <c r="E31" s="1">
        <f t="shared" si="1"/>
        <v>3703.7037037037039</v>
      </c>
      <c r="F31" s="2">
        <f t="shared" si="2"/>
        <v>1.651060216524753E-2</v>
      </c>
      <c r="G31" s="4">
        <f t="shared" si="3"/>
        <v>8.2553010826237659E-4</v>
      </c>
      <c r="H31" s="4">
        <f t="shared" si="3"/>
        <v>1.4859541948722777E-3</v>
      </c>
      <c r="I31" s="4">
        <f t="shared" si="19"/>
        <v>1.2217845602283173E-2</v>
      </c>
      <c r="J31" s="4">
        <f t="shared" si="0"/>
        <v>1.2382951623935648E-2</v>
      </c>
      <c r="K31" s="4">
        <f t="shared" si="5"/>
        <v>1.6510602165247532E-3</v>
      </c>
      <c r="L31" s="4">
        <f t="shared" si="5"/>
        <v>1.2382951623935648E-2</v>
      </c>
      <c r="M31" s="4"/>
      <c r="N31" s="4"/>
      <c r="O31" s="4" t="s">
        <v>196</v>
      </c>
      <c r="P31" s="1" t="s">
        <v>239</v>
      </c>
    </row>
    <row r="32" spans="1:16" x14ac:dyDescent="0.15">
      <c r="A32" s="1" t="s">
        <v>54</v>
      </c>
      <c r="B32" s="1">
        <v>4</v>
      </c>
      <c r="C32" s="1">
        <v>2</v>
      </c>
      <c r="D32" s="1">
        <v>27</v>
      </c>
      <c r="E32" s="1">
        <f t="shared" si="1"/>
        <v>3703.7037037037039</v>
      </c>
      <c r="F32" s="2">
        <f t="shared" si="2"/>
        <v>1.651060216524753E-2</v>
      </c>
      <c r="G32" s="4">
        <f t="shared" si="3"/>
        <v>8.2553010826237659E-4</v>
      </c>
      <c r="H32" s="4">
        <f t="shared" si="3"/>
        <v>1.4859541948722777E-3</v>
      </c>
      <c r="I32" s="4">
        <f t="shared" si="19"/>
        <v>1.2217845602283173E-2</v>
      </c>
      <c r="J32" s="4">
        <f t="shared" si="0"/>
        <v>1.2382951623935648E-2</v>
      </c>
      <c r="K32" s="4">
        <f t="shared" si="5"/>
        <v>1.6510602165247532E-3</v>
      </c>
      <c r="L32" s="4">
        <f t="shared" si="5"/>
        <v>1.2382951623935648E-2</v>
      </c>
      <c r="M32" s="4"/>
      <c r="N32" s="4"/>
      <c r="O32" s="4" t="s">
        <v>197</v>
      </c>
      <c r="P32" s="1" t="s">
        <v>240</v>
      </c>
    </row>
    <row r="33" spans="1:16" x14ac:dyDescent="0.15">
      <c r="A33" s="1" t="s">
        <v>61</v>
      </c>
      <c r="B33" s="1">
        <v>4</v>
      </c>
      <c r="C33" s="1">
        <v>2</v>
      </c>
      <c r="D33" s="1">
        <v>27</v>
      </c>
      <c r="E33" s="1">
        <f>100000/D33</f>
        <v>3703.7037037037039</v>
      </c>
      <c r="F33" s="2">
        <f>E33/E$2</f>
        <v>1.651060216524753E-2</v>
      </c>
      <c r="G33" s="4">
        <f>G$2*$F33</f>
        <v>8.2553010826237659E-4</v>
      </c>
      <c r="H33" s="4">
        <f t="shared" si="3"/>
        <v>1.4859541948722777E-3</v>
      </c>
      <c r="I33" s="4">
        <f>I$2*$F33</f>
        <v>1.2217845602283173E-2</v>
      </c>
      <c r="J33" s="4">
        <f t="shared" si="0"/>
        <v>1.2382951623935648E-2</v>
      </c>
      <c r="K33" s="4">
        <f t="shared" si="5"/>
        <v>1.6510602165247532E-3</v>
      </c>
      <c r="L33" s="4">
        <f t="shared" si="5"/>
        <v>1.2382951623935648E-2</v>
      </c>
      <c r="M33" s="4"/>
      <c r="N33" s="4"/>
      <c r="O33" s="4" t="s">
        <v>198</v>
      </c>
      <c r="P33" s="1" t="s">
        <v>241</v>
      </c>
    </row>
    <row r="34" spans="1:16" x14ac:dyDescent="0.15">
      <c r="A34" s="1" t="s">
        <v>55</v>
      </c>
      <c r="B34" s="1">
        <v>4</v>
      </c>
      <c r="C34" s="1">
        <v>3</v>
      </c>
      <c r="D34" s="1">
        <v>75</v>
      </c>
      <c r="E34" s="1">
        <f t="shared" si="1"/>
        <v>1333.3333333333333</v>
      </c>
      <c r="F34" s="2">
        <f t="shared" si="2"/>
        <v>5.9438167794891097E-3</v>
      </c>
      <c r="G34" s="4">
        <f t="shared" si="3"/>
        <v>2.9719083897445552E-4</v>
      </c>
      <c r="H34" s="4">
        <f t="shared" si="3"/>
        <v>5.349435101540199E-4</v>
      </c>
      <c r="I34" s="4">
        <f t="shared" si="19"/>
        <v>4.3984244168219413E-3</v>
      </c>
      <c r="J34" s="4">
        <f t="shared" si="0"/>
        <v>4.4578625846168323E-3</v>
      </c>
      <c r="K34" s="4">
        <f t="shared" si="5"/>
        <v>5.9438167794891104E-4</v>
      </c>
      <c r="L34" s="4">
        <f t="shared" si="5"/>
        <v>4.4578625846168323E-3</v>
      </c>
      <c r="M34" s="4"/>
      <c r="N34" s="4"/>
      <c r="O34" s="4" t="s">
        <v>199</v>
      </c>
      <c r="P34" s="1" t="s">
        <v>242</v>
      </c>
    </row>
    <row r="35" spans="1:16" x14ac:dyDescent="0.15">
      <c r="A35" s="1" t="s">
        <v>57</v>
      </c>
      <c r="B35" s="1">
        <v>5</v>
      </c>
      <c r="C35" s="1">
        <v>1</v>
      </c>
      <c r="D35" s="1">
        <v>9</v>
      </c>
      <c r="E35" s="1">
        <f t="shared" si="1"/>
        <v>11111.111111111111</v>
      </c>
      <c r="F35" s="2">
        <f t="shared" si="2"/>
        <v>4.953180649574259E-2</v>
      </c>
      <c r="G35" s="4">
        <f t="shared" si="3"/>
        <v>2.4765903247871298E-3</v>
      </c>
      <c r="H35" s="4">
        <f t="shared" si="3"/>
        <v>4.4578625846168332E-3</v>
      </c>
      <c r="I35" s="4">
        <f t="shared" si="19"/>
        <v>3.6653536806849518E-2</v>
      </c>
      <c r="J35" s="4">
        <f t="shared" si="0"/>
        <v>3.7148854871806941E-2</v>
      </c>
      <c r="K35" s="4">
        <f t="shared" si="5"/>
        <v>4.9531806495742596E-3</v>
      </c>
      <c r="L35" s="4">
        <f t="shared" si="5"/>
        <v>3.7148854871806941E-2</v>
      </c>
      <c r="M35" s="4"/>
      <c r="N35" s="4"/>
      <c r="O35" s="4" t="s">
        <v>200</v>
      </c>
      <c r="P35" s="1" t="s">
        <v>243</v>
      </c>
    </row>
    <row r="36" spans="1:16" x14ac:dyDescent="0.15">
      <c r="A36" s="1" t="s">
        <v>58</v>
      </c>
      <c r="B36" s="1">
        <v>5</v>
      </c>
      <c r="C36" s="1">
        <v>2</v>
      </c>
      <c r="D36" s="1">
        <v>27</v>
      </c>
      <c r="E36" s="1">
        <f t="shared" si="1"/>
        <v>3703.7037037037039</v>
      </c>
      <c r="F36" s="2">
        <f t="shared" si="2"/>
        <v>1.651060216524753E-2</v>
      </c>
      <c r="G36" s="4">
        <f t="shared" si="3"/>
        <v>8.2553010826237659E-4</v>
      </c>
      <c r="H36" s="4">
        <f t="shared" si="3"/>
        <v>1.4859541948722777E-3</v>
      </c>
      <c r="I36" s="4">
        <f t="shared" si="19"/>
        <v>1.2217845602283173E-2</v>
      </c>
      <c r="J36" s="4">
        <f t="shared" si="0"/>
        <v>1.2382951623935648E-2</v>
      </c>
      <c r="K36" s="4">
        <f t="shared" si="5"/>
        <v>1.6510602165247532E-3</v>
      </c>
      <c r="L36" s="4">
        <f t="shared" si="5"/>
        <v>1.2382951623935648E-2</v>
      </c>
      <c r="M36" s="4"/>
      <c r="N36" s="4"/>
      <c r="O36" s="4" t="s">
        <v>201</v>
      </c>
      <c r="P36" s="1" t="s">
        <v>244</v>
      </c>
    </row>
    <row r="37" spans="1:16" x14ac:dyDescent="0.15">
      <c r="A37" s="1" t="s">
        <v>59</v>
      </c>
      <c r="B37" s="1">
        <v>5</v>
      </c>
      <c r="C37" s="1">
        <v>2</v>
      </c>
      <c r="D37" s="1">
        <v>27</v>
      </c>
      <c r="E37" s="1">
        <f t="shared" si="1"/>
        <v>3703.7037037037039</v>
      </c>
      <c r="F37" s="2">
        <f t="shared" si="2"/>
        <v>1.651060216524753E-2</v>
      </c>
      <c r="G37" s="4">
        <f t="shared" si="3"/>
        <v>8.2553010826237659E-4</v>
      </c>
      <c r="H37" s="4">
        <f t="shared" si="3"/>
        <v>1.4859541948722777E-3</v>
      </c>
      <c r="I37" s="4">
        <f t="shared" si="19"/>
        <v>1.2217845602283173E-2</v>
      </c>
      <c r="J37" s="4">
        <f t="shared" si="0"/>
        <v>1.2382951623935648E-2</v>
      </c>
      <c r="K37" s="4">
        <f t="shared" si="5"/>
        <v>1.6510602165247532E-3</v>
      </c>
      <c r="L37" s="4">
        <f t="shared" si="5"/>
        <v>1.2382951623935648E-2</v>
      </c>
      <c r="M37" s="4"/>
      <c r="N37" s="4"/>
      <c r="O37" s="4" t="s">
        <v>202</v>
      </c>
      <c r="P37" s="1" t="s">
        <v>245</v>
      </c>
    </row>
    <row r="38" spans="1:16" x14ac:dyDescent="0.15">
      <c r="A38" s="1" t="s">
        <v>52</v>
      </c>
      <c r="B38" s="1">
        <v>5</v>
      </c>
      <c r="C38" s="1">
        <v>3</v>
      </c>
      <c r="D38" s="1">
        <v>75</v>
      </c>
      <c r="E38" s="1">
        <f>100000/D38</f>
        <v>1333.3333333333333</v>
      </c>
      <c r="F38" s="2">
        <f>E38/E$2</f>
        <v>5.9438167794891097E-3</v>
      </c>
      <c r="G38" s="4">
        <f>G$2*$F38</f>
        <v>2.9719083897445552E-4</v>
      </c>
      <c r="H38" s="4">
        <f t="shared" si="3"/>
        <v>5.349435101540199E-4</v>
      </c>
      <c r="I38" s="4">
        <f>I$2*$F38</f>
        <v>4.3984244168219413E-3</v>
      </c>
      <c r="J38" s="4">
        <f t="shared" si="0"/>
        <v>4.4578625846168323E-3</v>
      </c>
      <c r="K38" s="4">
        <f t="shared" si="5"/>
        <v>5.9438167794891104E-4</v>
      </c>
      <c r="L38" s="4">
        <f t="shared" si="5"/>
        <v>4.4578625846168323E-3</v>
      </c>
      <c r="M38" s="4"/>
      <c r="N38" s="4"/>
      <c r="O38" s="4" t="s">
        <v>203</v>
      </c>
      <c r="P38" s="1" t="s">
        <v>246</v>
      </c>
    </row>
    <row r="39" spans="1:16" x14ac:dyDescent="0.15">
      <c r="A39" s="1" t="s">
        <v>60</v>
      </c>
      <c r="B39" s="1">
        <v>5</v>
      </c>
      <c r="C39" s="1">
        <v>2</v>
      </c>
      <c r="D39" s="1">
        <v>27</v>
      </c>
      <c r="E39" s="1">
        <f t="shared" si="1"/>
        <v>3703.7037037037039</v>
      </c>
      <c r="F39" s="2">
        <f t="shared" si="2"/>
        <v>1.651060216524753E-2</v>
      </c>
      <c r="G39" s="4">
        <f t="shared" si="3"/>
        <v>8.2553010826237659E-4</v>
      </c>
      <c r="H39" s="4">
        <f t="shared" si="3"/>
        <v>1.4859541948722777E-3</v>
      </c>
      <c r="I39" s="4">
        <f t="shared" si="19"/>
        <v>1.2217845602283173E-2</v>
      </c>
      <c r="J39" s="4">
        <f t="shared" si="0"/>
        <v>1.2382951623935648E-2</v>
      </c>
      <c r="K39" s="4">
        <f t="shared" si="5"/>
        <v>1.6510602165247532E-3</v>
      </c>
      <c r="L39" s="4">
        <f t="shared" si="5"/>
        <v>1.2382951623935648E-2</v>
      </c>
      <c r="M39" s="4"/>
      <c r="N39" s="4"/>
      <c r="O39" s="4" t="s">
        <v>204</v>
      </c>
      <c r="P39" s="1" t="s">
        <v>247</v>
      </c>
    </row>
    <row r="40" spans="1:16" s="1" customFormat="1" x14ac:dyDescent="0.15">
      <c r="A40" s="1" t="s">
        <v>167</v>
      </c>
      <c r="B40" s="1">
        <v>5</v>
      </c>
      <c r="C40" s="1">
        <v>2</v>
      </c>
      <c r="D40" s="1">
        <v>27</v>
      </c>
      <c r="E40" s="1">
        <f t="shared" si="1"/>
        <v>3703.7037037037039</v>
      </c>
      <c r="F40" s="2">
        <f t="shared" si="2"/>
        <v>1.651060216524753E-2</v>
      </c>
      <c r="G40" s="4">
        <f t="shared" si="3"/>
        <v>8.2553010826237659E-4</v>
      </c>
      <c r="H40" s="4">
        <f t="shared" si="3"/>
        <v>1.4859541948722777E-3</v>
      </c>
      <c r="I40" s="4">
        <f t="shared" si="19"/>
        <v>1.2217845602283173E-2</v>
      </c>
      <c r="J40" s="4">
        <f t="shared" si="0"/>
        <v>1.2382951623935648E-2</v>
      </c>
      <c r="K40" s="4">
        <f t="shared" si="5"/>
        <v>1.6510602165247532E-3</v>
      </c>
      <c r="L40" s="4">
        <f t="shared" si="5"/>
        <v>1.2382951623935648E-2</v>
      </c>
      <c r="M40" s="4"/>
      <c r="N40" s="4"/>
      <c r="O40" s="4" t="s">
        <v>205</v>
      </c>
      <c r="P40" s="1" t="s">
        <v>248</v>
      </c>
    </row>
    <row r="41" spans="1:16" x14ac:dyDescent="0.15">
      <c r="A41" s="1" t="s">
        <v>63</v>
      </c>
      <c r="B41" s="1">
        <v>6</v>
      </c>
      <c r="C41" s="1">
        <v>1</v>
      </c>
      <c r="D41" s="1">
        <v>27</v>
      </c>
      <c r="E41" s="1">
        <f t="shared" si="1"/>
        <v>3703.7037037037039</v>
      </c>
      <c r="F41" s="2">
        <f t="shared" si="2"/>
        <v>1.651060216524753E-2</v>
      </c>
      <c r="G41" s="4">
        <f t="shared" si="3"/>
        <v>8.2553010826237659E-4</v>
      </c>
      <c r="H41" s="4">
        <f t="shared" si="3"/>
        <v>1.4859541948722777E-3</v>
      </c>
      <c r="I41" s="4">
        <f t="shared" si="19"/>
        <v>1.2217845602283173E-2</v>
      </c>
      <c r="J41" s="4">
        <f t="shared" si="0"/>
        <v>1.2382951623935648E-2</v>
      </c>
      <c r="K41" s="4">
        <f t="shared" si="5"/>
        <v>1.6510602165247532E-3</v>
      </c>
      <c r="L41" s="4">
        <f t="shared" si="5"/>
        <v>1.2382951623935648E-2</v>
      </c>
      <c r="M41" s="4"/>
      <c r="N41" s="4"/>
      <c r="O41" s="4" t="s">
        <v>206</v>
      </c>
      <c r="P41" s="1" t="s">
        <v>249</v>
      </c>
    </row>
    <row r="42" spans="1:16" x14ac:dyDescent="0.15">
      <c r="A42" s="1" t="s">
        <v>65</v>
      </c>
      <c r="B42" s="1">
        <v>6</v>
      </c>
      <c r="C42" s="1">
        <v>2</v>
      </c>
      <c r="D42" s="1">
        <v>75</v>
      </c>
      <c r="E42" s="1">
        <f t="shared" si="1"/>
        <v>1333.3333333333333</v>
      </c>
      <c r="F42" s="2">
        <f t="shared" si="2"/>
        <v>5.9438167794891097E-3</v>
      </c>
      <c r="G42" s="4">
        <f t="shared" si="3"/>
        <v>2.9719083897445552E-4</v>
      </c>
      <c r="H42" s="4">
        <f t="shared" si="3"/>
        <v>5.349435101540199E-4</v>
      </c>
      <c r="I42" s="4">
        <f t="shared" si="19"/>
        <v>4.3984244168219413E-3</v>
      </c>
      <c r="J42" s="4">
        <f t="shared" si="0"/>
        <v>4.4578625846168323E-3</v>
      </c>
      <c r="K42" s="4">
        <f t="shared" si="5"/>
        <v>5.9438167794891104E-4</v>
      </c>
      <c r="L42" s="4">
        <f t="shared" si="5"/>
        <v>4.4578625846168323E-3</v>
      </c>
      <c r="M42" s="4"/>
      <c r="N42" s="4"/>
      <c r="O42" s="4" t="s">
        <v>207</v>
      </c>
      <c r="P42" s="1" t="s">
        <v>250</v>
      </c>
    </row>
    <row r="43" spans="1:16" x14ac:dyDescent="0.15">
      <c r="A43" s="1" t="s">
        <v>53</v>
      </c>
      <c r="B43" s="1">
        <v>6</v>
      </c>
      <c r="C43" s="1">
        <v>3</v>
      </c>
      <c r="D43" s="1">
        <v>75</v>
      </c>
      <c r="E43" s="1">
        <f>100000/D43</f>
        <v>1333.3333333333333</v>
      </c>
      <c r="F43" s="2">
        <f>E43/E$2</f>
        <v>5.9438167794891097E-3</v>
      </c>
      <c r="G43" s="4">
        <f>G$2*$F43</f>
        <v>2.9719083897445552E-4</v>
      </c>
      <c r="H43" s="4">
        <f t="shared" si="3"/>
        <v>5.349435101540199E-4</v>
      </c>
      <c r="I43" s="4">
        <f>I$2*$F43</f>
        <v>4.3984244168219413E-3</v>
      </c>
      <c r="J43" s="4">
        <f t="shared" si="0"/>
        <v>4.4578625846168323E-3</v>
      </c>
      <c r="K43" s="4">
        <f t="shared" si="5"/>
        <v>5.9438167794891104E-4</v>
      </c>
      <c r="L43" s="4">
        <f t="shared" si="5"/>
        <v>4.4578625846168323E-3</v>
      </c>
      <c r="M43" s="4"/>
      <c r="N43" s="4"/>
      <c r="O43" s="4" t="s">
        <v>208</v>
      </c>
      <c r="P43" s="1" t="s">
        <v>251</v>
      </c>
    </row>
    <row r="44" spans="1:16" x14ac:dyDescent="0.15">
      <c r="A44" s="1" t="s">
        <v>64</v>
      </c>
      <c r="B44" s="1">
        <v>6</v>
      </c>
      <c r="C44" s="1">
        <v>3</v>
      </c>
      <c r="D44" s="1">
        <v>75</v>
      </c>
      <c r="E44" s="1">
        <f t="shared" si="1"/>
        <v>1333.3333333333333</v>
      </c>
      <c r="F44" s="2">
        <f t="shared" si="2"/>
        <v>5.9438167794891097E-3</v>
      </c>
      <c r="G44" s="4">
        <f t="shared" si="3"/>
        <v>2.9719083897445552E-4</v>
      </c>
      <c r="H44" s="4">
        <f t="shared" si="3"/>
        <v>5.349435101540199E-4</v>
      </c>
      <c r="I44" s="4">
        <f t="shared" si="19"/>
        <v>4.3984244168219413E-3</v>
      </c>
      <c r="J44" s="4">
        <f t="shared" si="0"/>
        <v>4.4578625846168323E-3</v>
      </c>
      <c r="K44" s="4">
        <f t="shared" si="5"/>
        <v>5.9438167794891104E-4</v>
      </c>
      <c r="L44" s="4">
        <f t="shared" si="5"/>
        <v>4.4578625846168323E-3</v>
      </c>
      <c r="M44" s="4"/>
      <c r="N44" s="4"/>
      <c r="O44" s="4" t="s">
        <v>209</v>
      </c>
      <c r="P44" s="1" t="s">
        <v>252</v>
      </c>
    </row>
    <row r="45" spans="1:16" x14ac:dyDescent="0.15">
      <c r="A45" s="1" t="s">
        <v>47</v>
      </c>
      <c r="B45" s="1">
        <v>6</v>
      </c>
      <c r="C45" s="1">
        <v>3</v>
      </c>
      <c r="D45" s="1">
        <v>75</v>
      </c>
      <c r="E45" s="1">
        <f t="shared" si="1"/>
        <v>1333.3333333333333</v>
      </c>
      <c r="F45" s="2">
        <f t="shared" si="2"/>
        <v>5.9438167794891097E-3</v>
      </c>
      <c r="G45" s="4">
        <f t="shared" si="3"/>
        <v>2.9719083897445552E-4</v>
      </c>
      <c r="H45" s="4">
        <f t="shared" si="3"/>
        <v>5.349435101540199E-4</v>
      </c>
      <c r="I45" s="4">
        <f t="shared" si="19"/>
        <v>4.3984244168219413E-3</v>
      </c>
      <c r="J45" s="4">
        <f t="shared" si="0"/>
        <v>4.4578625846168323E-3</v>
      </c>
      <c r="K45" s="4">
        <f t="shared" si="5"/>
        <v>5.9438167794891104E-4</v>
      </c>
      <c r="L45" s="4">
        <f t="shared" si="5"/>
        <v>4.4578625846168323E-3</v>
      </c>
      <c r="M45" s="4"/>
      <c r="N45" s="4"/>
      <c r="O45" s="4" t="s">
        <v>210</v>
      </c>
      <c r="P45" s="1" t="s">
        <v>253</v>
      </c>
    </row>
    <row r="46" spans="1:16" x14ac:dyDescent="0.15">
      <c r="A46" s="1" t="s">
        <v>62</v>
      </c>
      <c r="B46" s="1">
        <v>6</v>
      </c>
      <c r="C46" s="1">
        <v>3</v>
      </c>
      <c r="D46" s="1">
        <v>27</v>
      </c>
      <c r="E46" s="1">
        <f>100000/D46</f>
        <v>3703.7037037037039</v>
      </c>
      <c r="F46" s="2">
        <f>E46/E$2</f>
        <v>1.651060216524753E-2</v>
      </c>
      <c r="G46" s="4">
        <f>G$2*$F46</f>
        <v>8.2553010826237659E-4</v>
      </c>
      <c r="H46" s="4">
        <f t="shared" ref="H46:H47" si="20">H$2*$F46</f>
        <v>1.4859541948722777E-3</v>
      </c>
      <c r="I46" s="4">
        <f>I$2*$F46</f>
        <v>1.2217845602283173E-2</v>
      </c>
      <c r="J46" s="4">
        <f t="shared" si="0"/>
        <v>1.2382951623935648E-2</v>
      </c>
      <c r="K46" s="4">
        <f t="shared" si="5"/>
        <v>1.6510602165247532E-3</v>
      </c>
      <c r="L46" s="4">
        <f t="shared" si="5"/>
        <v>1.2382951623935648E-2</v>
      </c>
      <c r="M46" s="4"/>
      <c r="N46" s="4"/>
      <c r="O46" s="4" t="s">
        <v>211</v>
      </c>
      <c r="P46" s="1" t="s">
        <v>254</v>
      </c>
    </row>
    <row r="47" spans="1:16" x14ac:dyDescent="0.15">
      <c r="A47" t="s">
        <v>367</v>
      </c>
      <c r="B47" s="1">
        <v>7</v>
      </c>
      <c r="C47" s="1">
        <v>4</v>
      </c>
      <c r="D47" s="1">
        <v>350</v>
      </c>
      <c r="E47" s="1">
        <f>100000/D47</f>
        <v>285.71428571428572</v>
      </c>
      <c r="F47" s="2">
        <f>E47/E$2</f>
        <v>1.273675024176238E-3</v>
      </c>
      <c r="G47" s="4">
        <f>G$2*$F47</f>
        <v>6.3683751208811905E-5</v>
      </c>
      <c r="H47" s="4">
        <f t="shared" si="20"/>
        <v>1.1463075217586141E-4</v>
      </c>
      <c r="I47" s="4">
        <f>I$2*$F47</f>
        <v>9.4251951789041605E-4</v>
      </c>
      <c r="J47" s="4">
        <f t="shared" si="0"/>
        <v>9.5525626813217849E-4</v>
      </c>
      <c r="K47" s="4">
        <f t="shared" si="5"/>
        <v>1.2736750241762381E-4</v>
      </c>
      <c r="L47" s="4">
        <f t="shared" si="5"/>
        <v>9.5525626813217849E-4</v>
      </c>
      <c r="M47" s="4"/>
      <c r="N47" s="4"/>
      <c r="O47" s="1" t="s">
        <v>368</v>
      </c>
      <c r="P47" t="s">
        <v>369</v>
      </c>
    </row>
  </sheetData>
  <mergeCells count="4">
    <mergeCell ref="S2:U2"/>
    <mergeCell ref="S9:U9"/>
    <mergeCell ref="V9:X9"/>
    <mergeCell ref="Y9:AA9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workbookViewId="0">
      <selection activeCell="C34" sqref="C34"/>
    </sheetView>
  </sheetViews>
  <sheetFormatPr defaultRowHeight="13.5" x14ac:dyDescent="0.15"/>
  <cols>
    <col min="1" max="1" width="13.25" style="1" customWidth="1"/>
    <col min="2" max="2" width="9" style="1"/>
    <col min="10" max="10" width="10.5" customWidth="1"/>
    <col min="14" max="14" width="13.375" customWidth="1"/>
    <col min="16" max="16" width="9" style="1"/>
    <col min="25" max="25" width="10.125" customWidth="1"/>
  </cols>
  <sheetData>
    <row r="1" spans="1:25" s="1" customFormat="1" x14ac:dyDescent="0.15">
      <c r="E1" s="3"/>
      <c r="F1" s="3"/>
      <c r="G1" s="3"/>
    </row>
    <row r="2" spans="1:25" x14ac:dyDescent="0.15">
      <c r="A2" s="1" t="s">
        <v>136</v>
      </c>
      <c r="B2" s="1" t="s">
        <v>68</v>
      </c>
      <c r="C2" t="s">
        <v>135</v>
      </c>
      <c r="D2" t="s">
        <v>124</v>
      </c>
      <c r="E2" t="s">
        <v>137</v>
      </c>
      <c r="F2" t="s">
        <v>6</v>
      </c>
      <c r="G2" t="s">
        <v>113</v>
      </c>
      <c r="H2" t="s">
        <v>138</v>
      </c>
      <c r="I2" t="s">
        <v>105</v>
      </c>
      <c r="J2" t="s">
        <v>371</v>
      </c>
      <c r="K2" t="s">
        <v>139</v>
      </c>
      <c r="L2" t="s">
        <v>152</v>
      </c>
      <c r="O2" t="s">
        <v>372</v>
      </c>
      <c r="P2" s="1" t="s">
        <v>373</v>
      </c>
      <c r="Q2" s="1" t="s">
        <v>121</v>
      </c>
      <c r="R2" s="1" t="s">
        <v>6</v>
      </c>
      <c r="S2" s="1" t="s">
        <v>113</v>
      </c>
      <c r="T2" s="1" t="s">
        <v>121</v>
      </c>
      <c r="U2" s="1" t="s">
        <v>6</v>
      </c>
      <c r="V2" s="1" t="s">
        <v>113</v>
      </c>
      <c r="W2" s="1" t="s">
        <v>138</v>
      </c>
      <c r="X2" s="1" t="s">
        <v>105</v>
      </c>
      <c r="Y2" s="1" t="s">
        <v>371</v>
      </c>
    </row>
    <row r="3" spans="1:25" x14ac:dyDescent="0.15">
      <c r="A3" s="1" t="s">
        <v>213</v>
      </c>
      <c r="B3" s="1">
        <v>1</v>
      </c>
      <c r="C3" s="1">
        <v>15002</v>
      </c>
      <c r="D3">
        <v>9</v>
      </c>
      <c r="E3">
        <f>INDEX(T$3:T$7,$B3)</f>
        <v>12</v>
      </c>
      <c r="F3" s="1">
        <f t="shared" ref="F3:G3" si="0">INDEX(U$3:U$7,$B3)</f>
        <v>75</v>
      </c>
      <c r="G3" s="1">
        <f t="shared" si="0"/>
        <v>0</v>
      </c>
      <c r="H3" s="1">
        <f t="shared" ref="H3" si="1">INDEX(W$3:W$7,$B3)</f>
        <v>12</v>
      </c>
      <c r="I3" s="1">
        <f t="shared" ref="I3" si="2">INDEX(X$3:X$7,$B3)</f>
        <v>75</v>
      </c>
      <c r="J3" s="1">
        <f t="shared" ref="J3" si="3">INDEX(Y$3:Y$7,$B3)</f>
        <v>3</v>
      </c>
      <c r="K3">
        <v>1</v>
      </c>
      <c r="L3">
        <f>D3*40</f>
        <v>360</v>
      </c>
      <c r="O3">
        <v>1</v>
      </c>
      <c r="P3" s="1">
        <v>15</v>
      </c>
      <c r="Q3" s="3">
        <v>0.8</v>
      </c>
      <c r="R3" s="3">
        <v>0.2</v>
      </c>
      <c r="S3" s="3">
        <v>0</v>
      </c>
      <c r="T3">
        <f>$P3*Q3/活力价格</f>
        <v>12</v>
      </c>
      <c r="U3" s="1">
        <f>$P3*R3*钻石兑金币</f>
        <v>75</v>
      </c>
      <c r="V3" s="1">
        <f>$P3*S3/蓝晶石价格</f>
        <v>0</v>
      </c>
      <c r="W3">
        <v>12</v>
      </c>
      <c r="X3">
        <v>75</v>
      </c>
      <c r="Y3">
        <v>3</v>
      </c>
    </row>
    <row r="4" spans="1:25" x14ac:dyDescent="0.15">
      <c r="A4" s="1" t="s">
        <v>214</v>
      </c>
      <c r="B4" s="1">
        <v>1</v>
      </c>
      <c r="C4" s="1">
        <v>15044</v>
      </c>
      <c r="D4" s="1">
        <v>9</v>
      </c>
      <c r="E4" s="1">
        <f t="shared" ref="E4:E35" si="4">INDEX(T$3:T$7,$B4)</f>
        <v>12</v>
      </c>
      <c r="F4" s="1">
        <f t="shared" ref="F4:F35" si="5">INDEX(U$3:U$7,$B4)</f>
        <v>75</v>
      </c>
      <c r="G4" s="1">
        <f t="shared" ref="G4:G35" si="6">INDEX(V$3:V$7,$B4)</f>
        <v>0</v>
      </c>
      <c r="H4" s="1">
        <f t="shared" ref="H4:H35" si="7">INDEX(W$3:W$7,$B4)</f>
        <v>12</v>
      </c>
      <c r="I4" s="1">
        <f t="shared" ref="I4:I35" si="8">INDEX(X$3:X$7,$B4)</f>
        <v>75</v>
      </c>
      <c r="J4" s="1">
        <f t="shared" ref="J4:J35" si="9">INDEX(Y$3:Y$7,$B4)</f>
        <v>3</v>
      </c>
      <c r="K4" s="1">
        <v>2</v>
      </c>
      <c r="L4" s="1">
        <f t="shared" ref="L4:L35" si="10">D4*40</f>
        <v>360</v>
      </c>
      <c r="N4" s="1"/>
      <c r="O4">
        <v>2</v>
      </c>
      <c r="P4" s="1">
        <v>50</v>
      </c>
      <c r="Q4" s="3">
        <v>0.7</v>
      </c>
      <c r="R4" s="3">
        <v>0.3</v>
      </c>
      <c r="S4" s="3">
        <v>0</v>
      </c>
      <c r="T4" s="1">
        <f>$P4*Q4/活力价格</f>
        <v>35</v>
      </c>
      <c r="U4" s="1">
        <f>$P4*R4*钻石兑金币</f>
        <v>375</v>
      </c>
      <c r="V4" s="1">
        <f>$P4*S4/蓝晶石价格</f>
        <v>0</v>
      </c>
      <c r="W4">
        <v>35</v>
      </c>
      <c r="X4">
        <v>375</v>
      </c>
      <c r="Y4">
        <v>18</v>
      </c>
    </row>
    <row r="5" spans="1:25" x14ac:dyDescent="0.15">
      <c r="A5" s="1" t="s">
        <v>217</v>
      </c>
      <c r="B5" s="1">
        <v>1</v>
      </c>
      <c r="C5" s="1">
        <v>15094</v>
      </c>
      <c r="D5" s="1">
        <v>9</v>
      </c>
      <c r="E5" s="1">
        <f t="shared" si="4"/>
        <v>12</v>
      </c>
      <c r="F5" s="1">
        <f t="shared" si="5"/>
        <v>75</v>
      </c>
      <c r="G5" s="1">
        <f t="shared" si="6"/>
        <v>0</v>
      </c>
      <c r="H5" s="1">
        <f t="shared" si="7"/>
        <v>12</v>
      </c>
      <c r="I5" s="1">
        <f t="shared" si="8"/>
        <v>75</v>
      </c>
      <c r="J5" s="1">
        <f t="shared" si="9"/>
        <v>3</v>
      </c>
      <c r="K5" s="1">
        <v>2</v>
      </c>
      <c r="L5" s="1">
        <f t="shared" si="10"/>
        <v>360</v>
      </c>
      <c r="N5" s="1"/>
      <c r="O5">
        <v>3</v>
      </c>
      <c r="P5" s="1">
        <v>150</v>
      </c>
      <c r="Q5" s="3">
        <v>0.6</v>
      </c>
      <c r="R5" s="3">
        <v>0.4</v>
      </c>
      <c r="S5" s="3">
        <v>0</v>
      </c>
      <c r="T5" s="1">
        <f>$P5*Q5/活力价格</f>
        <v>90</v>
      </c>
      <c r="U5" s="1">
        <f>$P5*R5*钻石兑金币</f>
        <v>1500</v>
      </c>
      <c r="V5" s="1">
        <f>$P5*S5/蓝晶石价格</f>
        <v>0</v>
      </c>
      <c r="W5">
        <v>90</v>
      </c>
      <c r="X5">
        <v>1500</v>
      </c>
      <c r="Y5">
        <v>75</v>
      </c>
    </row>
    <row r="6" spans="1:25" x14ac:dyDescent="0.15">
      <c r="A6" s="1" t="s">
        <v>220</v>
      </c>
      <c r="B6" s="1">
        <v>1</v>
      </c>
      <c r="C6" s="1">
        <v>15033</v>
      </c>
      <c r="D6" s="1">
        <v>9</v>
      </c>
      <c r="E6" s="1">
        <f t="shared" si="4"/>
        <v>12</v>
      </c>
      <c r="F6" s="1">
        <f t="shared" si="5"/>
        <v>75</v>
      </c>
      <c r="G6" s="1">
        <f t="shared" si="6"/>
        <v>0</v>
      </c>
      <c r="H6" s="1">
        <f t="shared" si="7"/>
        <v>12</v>
      </c>
      <c r="I6" s="1">
        <f t="shared" si="8"/>
        <v>75</v>
      </c>
      <c r="J6" s="1">
        <f t="shared" si="9"/>
        <v>3</v>
      </c>
      <c r="K6" s="1">
        <v>3</v>
      </c>
      <c r="L6" s="1">
        <f t="shared" si="10"/>
        <v>360</v>
      </c>
      <c r="N6" s="1"/>
      <c r="O6" s="1">
        <v>4</v>
      </c>
      <c r="P6" s="1">
        <v>300</v>
      </c>
      <c r="Q6" s="3">
        <v>0.5</v>
      </c>
      <c r="R6" s="3">
        <v>0.5</v>
      </c>
      <c r="S6" s="3">
        <v>0</v>
      </c>
      <c r="T6" s="1">
        <f>$P6*Q6/活力价格</f>
        <v>150</v>
      </c>
      <c r="U6" s="1">
        <f>$P6*R6*钻石兑金币</f>
        <v>3750</v>
      </c>
      <c r="V6" s="1">
        <f>$P6*S6/蓝晶石价格</f>
        <v>0</v>
      </c>
      <c r="W6">
        <v>150</v>
      </c>
      <c r="X6">
        <v>3750</v>
      </c>
      <c r="Y6">
        <v>225</v>
      </c>
    </row>
    <row r="7" spans="1:25" x14ac:dyDescent="0.15">
      <c r="A7" s="1" t="s">
        <v>216</v>
      </c>
      <c r="B7" s="1">
        <v>1</v>
      </c>
      <c r="C7" s="1">
        <v>15004</v>
      </c>
      <c r="D7" s="1">
        <v>9</v>
      </c>
      <c r="E7" s="1">
        <f t="shared" si="4"/>
        <v>12</v>
      </c>
      <c r="F7" s="1">
        <f t="shared" si="5"/>
        <v>75</v>
      </c>
      <c r="G7" s="1">
        <f t="shared" si="6"/>
        <v>0</v>
      </c>
      <c r="H7" s="1">
        <f t="shared" si="7"/>
        <v>12</v>
      </c>
      <c r="I7" s="1">
        <f t="shared" si="8"/>
        <v>75</v>
      </c>
      <c r="J7" s="1">
        <f t="shared" si="9"/>
        <v>3</v>
      </c>
      <c r="K7">
        <v>3</v>
      </c>
      <c r="L7" s="1">
        <f t="shared" si="10"/>
        <v>360</v>
      </c>
      <c r="N7" s="1"/>
      <c r="O7" s="1">
        <v>5</v>
      </c>
      <c r="P7" s="1">
        <v>1000</v>
      </c>
      <c r="Q7" s="3">
        <v>0.3</v>
      </c>
      <c r="R7" s="3">
        <v>0.7</v>
      </c>
      <c r="S7" s="3">
        <v>0</v>
      </c>
      <c r="T7" s="1">
        <f>$P7*Q7/活力价格</f>
        <v>300</v>
      </c>
      <c r="U7" s="1">
        <f>$P7*R7*钻石兑金币</f>
        <v>17500</v>
      </c>
      <c r="V7" s="1">
        <f>$P7*S7/蓝晶石价格</f>
        <v>0</v>
      </c>
      <c r="W7">
        <v>300</v>
      </c>
      <c r="X7">
        <v>17500</v>
      </c>
      <c r="Y7">
        <v>750</v>
      </c>
    </row>
    <row r="8" spans="1:25" x14ac:dyDescent="0.15">
      <c r="A8" s="1" t="s">
        <v>409</v>
      </c>
      <c r="B8" s="1">
        <v>1</v>
      </c>
      <c r="C8" s="1">
        <v>15035</v>
      </c>
      <c r="D8" s="1">
        <v>9</v>
      </c>
      <c r="E8" s="1">
        <f t="shared" si="4"/>
        <v>12</v>
      </c>
      <c r="F8" s="1">
        <f t="shared" si="5"/>
        <v>75</v>
      </c>
      <c r="G8" s="1">
        <f t="shared" si="6"/>
        <v>0</v>
      </c>
      <c r="H8" s="1">
        <f t="shared" si="7"/>
        <v>12</v>
      </c>
      <c r="I8" s="1">
        <f t="shared" si="8"/>
        <v>75</v>
      </c>
      <c r="J8" s="1">
        <f t="shared" si="9"/>
        <v>3</v>
      </c>
      <c r="K8">
        <v>4</v>
      </c>
      <c r="L8" s="1">
        <f t="shared" si="10"/>
        <v>360</v>
      </c>
      <c r="N8" s="1"/>
    </row>
    <row r="9" spans="1:25" x14ac:dyDescent="0.15">
      <c r="A9" s="1" t="s">
        <v>410</v>
      </c>
      <c r="B9" s="1">
        <v>1</v>
      </c>
      <c r="C9" s="1">
        <v>15012</v>
      </c>
      <c r="D9" s="1">
        <v>9</v>
      </c>
      <c r="E9" s="1">
        <f t="shared" si="4"/>
        <v>12</v>
      </c>
      <c r="F9" s="1">
        <f t="shared" si="5"/>
        <v>75</v>
      </c>
      <c r="G9" s="1">
        <f t="shared" si="6"/>
        <v>0</v>
      </c>
      <c r="H9" s="1">
        <f t="shared" si="7"/>
        <v>12</v>
      </c>
      <c r="I9" s="1">
        <f t="shared" si="8"/>
        <v>75</v>
      </c>
      <c r="J9" s="1">
        <f t="shared" si="9"/>
        <v>3</v>
      </c>
      <c r="K9">
        <v>4</v>
      </c>
      <c r="L9" s="1">
        <f t="shared" si="10"/>
        <v>360</v>
      </c>
      <c r="N9" s="1"/>
    </row>
    <row r="10" spans="1:25" x14ac:dyDescent="0.15">
      <c r="A10" s="1" t="s">
        <v>221</v>
      </c>
      <c r="B10" s="1">
        <v>1</v>
      </c>
      <c r="C10" s="1">
        <v>15017</v>
      </c>
      <c r="D10" s="1">
        <v>9</v>
      </c>
      <c r="E10" s="1">
        <f t="shared" si="4"/>
        <v>12</v>
      </c>
      <c r="F10" s="1">
        <f t="shared" si="5"/>
        <v>75</v>
      </c>
      <c r="G10" s="1">
        <f t="shared" si="6"/>
        <v>0</v>
      </c>
      <c r="H10" s="1">
        <f t="shared" si="7"/>
        <v>12</v>
      </c>
      <c r="I10" s="1">
        <f t="shared" si="8"/>
        <v>75</v>
      </c>
      <c r="J10" s="1">
        <f t="shared" si="9"/>
        <v>3</v>
      </c>
      <c r="K10" s="1">
        <v>5</v>
      </c>
      <c r="L10" s="1">
        <f t="shared" si="10"/>
        <v>360</v>
      </c>
      <c r="N10" s="1"/>
    </row>
    <row r="11" spans="1:25" x14ac:dyDescent="0.15">
      <c r="A11" s="1" t="s">
        <v>222</v>
      </c>
      <c r="B11" s="1">
        <v>2</v>
      </c>
      <c r="C11" s="1">
        <v>15000</v>
      </c>
      <c r="D11" s="1">
        <v>27</v>
      </c>
      <c r="E11" s="1">
        <f t="shared" si="4"/>
        <v>35</v>
      </c>
      <c r="F11" s="1">
        <f t="shared" si="5"/>
        <v>375</v>
      </c>
      <c r="G11" s="1">
        <f t="shared" si="6"/>
        <v>0</v>
      </c>
      <c r="H11" s="1">
        <f t="shared" si="7"/>
        <v>35</v>
      </c>
      <c r="I11" s="1">
        <f t="shared" si="8"/>
        <v>375</v>
      </c>
      <c r="J11" s="1">
        <f t="shared" si="9"/>
        <v>18</v>
      </c>
      <c r="K11">
        <v>6</v>
      </c>
      <c r="L11" s="1">
        <f t="shared" si="10"/>
        <v>1080</v>
      </c>
      <c r="N11" s="1"/>
    </row>
    <row r="12" spans="1:25" x14ac:dyDescent="0.15">
      <c r="A12" s="1" t="s">
        <v>215</v>
      </c>
      <c r="B12" s="1">
        <v>2</v>
      </c>
      <c r="C12" s="1">
        <v>15052</v>
      </c>
      <c r="D12" s="1">
        <v>27</v>
      </c>
      <c r="E12" s="1">
        <f t="shared" si="4"/>
        <v>35</v>
      </c>
      <c r="F12" s="1">
        <f t="shared" si="5"/>
        <v>375</v>
      </c>
      <c r="G12" s="1">
        <f t="shared" si="6"/>
        <v>0</v>
      </c>
      <c r="H12" s="1">
        <f t="shared" si="7"/>
        <v>35</v>
      </c>
      <c r="I12" s="1">
        <f t="shared" si="8"/>
        <v>375</v>
      </c>
      <c r="J12" s="1">
        <f t="shared" si="9"/>
        <v>18</v>
      </c>
      <c r="K12">
        <v>6</v>
      </c>
      <c r="L12" s="1">
        <f t="shared" si="10"/>
        <v>1080</v>
      </c>
      <c r="N12" s="1"/>
    </row>
    <row r="13" spans="1:25" x14ac:dyDescent="0.15">
      <c r="A13" s="1" t="s">
        <v>229</v>
      </c>
      <c r="B13" s="1">
        <v>1</v>
      </c>
      <c r="C13" s="1">
        <v>15018</v>
      </c>
      <c r="D13">
        <v>9</v>
      </c>
      <c r="E13" s="1">
        <f t="shared" si="4"/>
        <v>12</v>
      </c>
      <c r="F13" s="1">
        <f t="shared" si="5"/>
        <v>75</v>
      </c>
      <c r="G13" s="1">
        <f t="shared" si="6"/>
        <v>0</v>
      </c>
      <c r="H13" s="1">
        <f t="shared" si="7"/>
        <v>12</v>
      </c>
      <c r="I13" s="1">
        <f t="shared" si="8"/>
        <v>75</v>
      </c>
      <c r="J13" s="1">
        <f t="shared" si="9"/>
        <v>3</v>
      </c>
      <c r="K13">
        <v>7</v>
      </c>
      <c r="L13" s="1">
        <f t="shared" si="10"/>
        <v>360</v>
      </c>
      <c r="N13" s="1"/>
    </row>
    <row r="14" spans="1:25" x14ac:dyDescent="0.15">
      <c r="A14" s="1" t="s">
        <v>228</v>
      </c>
      <c r="B14" s="1">
        <v>1</v>
      </c>
      <c r="C14" s="1">
        <v>15095</v>
      </c>
      <c r="D14">
        <v>9</v>
      </c>
      <c r="E14" s="1">
        <f t="shared" si="4"/>
        <v>12</v>
      </c>
      <c r="F14" s="1">
        <f t="shared" si="5"/>
        <v>75</v>
      </c>
      <c r="G14" s="1">
        <f t="shared" si="6"/>
        <v>0</v>
      </c>
      <c r="H14" s="1">
        <f t="shared" si="7"/>
        <v>12</v>
      </c>
      <c r="I14" s="1">
        <f t="shared" si="8"/>
        <v>75</v>
      </c>
      <c r="J14" s="1">
        <f t="shared" si="9"/>
        <v>3</v>
      </c>
      <c r="K14" s="1">
        <v>7</v>
      </c>
      <c r="L14" s="1">
        <f t="shared" si="10"/>
        <v>360</v>
      </c>
      <c r="N14" s="1"/>
    </row>
    <row r="15" spans="1:25" x14ac:dyDescent="0.15">
      <c r="A15" s="1" t="s">
        <v>411</v>
      </c>
      <c r="B15" s="1">
        <v>2</v>
      </c>
      <c r="C15" s="1">
        <v>15046</v>
      </c>
      <c r="D15">
        <v>27</v>
      </c>
      <c r="E15" s="1">
        <f t="shared" si="4"/>
        <v>35</v>
      </c>
      <c r="F15" s="1">
        <f t="shared" si="5"/>
        <v>375</v>
      </c>
      <c r="G15" s="1">
        <f t="shared" si="6"/>
        <v>0</v>
      </c>
      <c r="H15" s="1">
        <f t="shared" si="7"/>
        <v>35</v>
      </c>
      <c r="I15" s="1">
        <f t="shared" si="8"/>
        <v>375</v>
      </c>
      <c r="J15" s="1">
        <f t="shared" si="9"/>
        <v>18</v>
      </c>
      <c r="K15" s="1">
        <v>8</v>
      </c>
      <c r="L15" s="1">
        <f t="shared" si="10"/>
        <v>1080</v>
      </c>
      <c r="N15" s="1"/>
    </row>
    <row r="16" spans="1:25" x14ac:dyDescent="0.15">
      <c r="A16" s="1" t="s">
        <v>236</v>
      </c>
      <c r="B16" s="1">
        <v>1</v>
      </c>
      <c r="C16" s="1">
        <v>15034</v>
      </c>
      <c r="D16" s="1">
        <v>9</v>
      </c>
      <c r="E16" s="1">
        <f t="shared" si="4"/>
        <v>12</v>
      </c>
      <c r="F16" s="1">
        <f t="shared" si="5"/>
        <v>75</v>
      </c>
      <c r="G16" s="1">
        <f t="shared" si="6"/>
        <v>0</v>
      </c>
      <c r="H16" s="1">
        <f t="shared" si="7"/>
        <v>12</v>
      </c>
      <c r="I16" s="1">
        <f t="shared" si="8"/>
        <v>75</v>
      </c>
      <c r="J16" s="1">
        <f t="shared" si="9"/>
        <v>3</v>
      </c>
      <c r="K16" s="1">
        <v>9</v>
      </c>
      <c r="L16" s="1">
        <f t="shared" si="10"/>
        <v>360</v>
      </c>
      <c r="N16" s="1"/>
    </row>
    <row r="17" spans="1:14" x14ac:dyDescent="0.15">
      <c r="A17" s="1" t="s">
        <v>243</v>
      </c>
      <c r="B17" s="1">
        <v>1</v>
      </c>
      <c r="C17" s="1">
        <v>15016</v>
      </c>
      <c r="D17" s="1">
        <v>9</v>
      </c>
      <c r="E17" s="1">
        <f t="shared" si="4"/>
        <v>12</v>
      </c>
      <c r="F17" s="1">
        <f t="shared" si="5"/>
        <v>75</v>
      </c>
      <c r="G17" s="1">
        <f t="shared" si="6"/>
        <v>0</v>
      </c>
      <c r="H17" s="1">
        <f t="shared" si="7"/>
        <v>12</v>
      </c>
      <c r="I17" s="1">
        <f t="shared" si="8"/>
        <v>75</v>
      </c>
      <c r="J17" s="1">
        <f t="shared" si="9"/>
        <v>3</v>
      </c>
      <c r="K17" s="1">
        <v>9</v>
      </c>
      <c r="L17" s="1">
        <f t="shared" si="10"/>
        <v>360</v>
      </c>
      <c r="N17" s="1"/>
    </row>
    <row r="18" spans="1:14" x14ac:dyDescent="0.15">
      <c r="A18" s="1" t="s">
        <v>218</v>
      </c>
      <c r="B18" s="1">
        <v>3</v>
      </c>
      <c r="C18" s="1">
        <v>15041</v>
      </c>
      <c r="D18" s="1">
        <v>75</v>
      </c>
      <c r="E18" s="1">
        <f t="shared" si="4"/>
        <v>90</v>
      </c>
      <c r="F18" s="1">
        <f t="shared" si="5"/>
        <v>1500</v>
      </c>
      <c r="G18" s="1">
        <f t="shared" si="6"/>
        <v>0</v>
      </c>
      <c r="H18" s="1">
        <f t="shared" si="7"/>
        <v>90</v>
      </c>
      <c r="I18" s="1">
        <f t="shared" si="8"/>
        <v>1500</v>
      </c>
      <c r="J18" s="1">
        <f t="shared" si="9"/>
        <v>75</v>
      </c>
      <c r="K18" s="1">
        <v>10</v>
      </c>
      <c r="L18" s="1">
        <f t="shared" si="10"/>
        <v>3000</v>
      </c>
      <c r="N18" s="1"/>
    </row>
    <row r="19" spans="1:14" x14ac:dyDescent="0.15">
      <c r="A19" s="1" t="s">
        <v>219</v>
      </c>
      <c r="B19" s="1">
        <v>3</v>
      </c>
      <c r="C19" s="1">
        <v>15045</v>
      </c>
      <c r="D19" s="1">
        <v>75</v>
      </c>
      <c r="E19" s="1">
        <f t="shared" si="4"/>
        <v>90</v>
      </c>
      <c r="F19" s="1">
        <f t="shared" si="5"/>
        <v>1500</v>
      </c>
      <c r="G19" s="1">
        <f t="shared" si="6"/>
        <v>0</v>
      </c>
      <c r="H19" s="1">
        <f t="shared" si="7"/>
        <v>90</v>
      </c>
      <c r="I19" s="1">
        <f t="shared" si="8"/>
        <v>1500</v>
      </c>
      <c r="J19" s="1">
        <f t="shared" si="9"/>
        <v>75</v>
      </c>
      <c r="K19" s="1">
        <v>10</v>
      </c>
      <c r="L19" s="1">
        <f t="shared" si="10"/>
        <v>3000</v>
      </c>
      <c r="N19" s="1"/>
    </row>
    <row r="20" spans="1:14" x14ac:dyDescent="0.15">
      <c r="A20" s="1" t="s">
        <v>232</v>
      </c>
      <c r="B20" s="1">
        <v>2</v>
      </c>
      <c r="C20" s="1">
        <v>15003</v>
      </c>
      <c r="D20" s="1">
        <v>27</v>
      </c>
      <c r="E20" s="1">
        <f t="shared" si="4"/>
        <v>35</v>
      </c>
      <c r="F20" s="1">
        <f t="shared" si="5"/>
        <v>375</v>
      </c>
      <c r="G20" s="1">
        <f t="shared" si="6"/>
        <v>0</v>
      </c>
      <c r="H20" s="1">
        <f t="shared" si="7"/>
        <v>35</v>
      </c>
      <c r="I20" s="1">
        <f t="shared" si="8"/>
        <v>375</v>
      </c>
      <c r="J20" s="1">
        <f t="shared" si="9"/>
        <v>18</v>
      </c>
      <c r="K20" s="1">
        <v>11</v>
      </c>
      <c r="L20" s="1">
        <f t="shared" si="10"/>
        <v>1080</v>
      </c>
      <c r="N20" s="1"/>
    </row>
    <row r="21" spans="1:14" x14ac:dyDescent="0.15">
      <c r="A21" s="1" t="s">
        <v>249</v>
      </c>
      <c r="B21" s="1">
        <v>2</v>
      </c>
      <c r="C21" s="1">
        <v>15007</v>
      </c>
      <c r="D21">
        <v>27</v>
      </c>
      <c r="E21" s="1">
        <f t="shared" si="4"/>
        <v>35</v>
      </c>
      <c r="F21" s="1">
        <f t="shared" si="5"/>
        <v>375</v>
      </c>
      <c r="G21" s="1">
        <f t="shared" si="6"/>
        <v>0</v>
      </c>
      <c r="H21" s="1">
        <f t="shared" si="7"/>
        <v>35</v>
      </c>
      <c r="I21" s="1">
        <f t="shared" si="8"/>
        <v>375</v>
      </c>
      <c r="J21" s="1">
        <f t="shared" si="9"/>
        <v>18</v>
      </c>
      <c r="K21" s="1">
        <v>11</v>
      </c>
      <c r="L21" s="1">
        <f t="shared" si="10"/>
        <v>1080</v>
      </c>
      <c r="N21" s="1"/>
    </row>
    <row r="22" spans="1:14" x14ac:dyDescent="0.15">
      <c r="A22" s="1" t="s">
        <v>227</v>
      </c>
      <c r="B22" s="1">
        <v>1</v>
      </c>
      <c r="C22" s="1">
        <v>15100</v>
      </c>
      <c r="D22">
        <v>9</v>
      </c>
      <c r="E22" s="1">
        <f t="shared" si="4"/>
        <v>12</v>
      </c>
      <c r="F22" s="1">
        <f t="shared" si="5"/>
        <v>75</v>
      </c>
      <c r="G22" s="1">
        <f t="shared" si="6"/>
        <v>0</v>
      </c>
      <c r="H22" s="1">
        <f t="shared" si="7"/>
        <v>12</v>
      </c>
      <c r="I22" s="1">
        <f t="shared" si="8"/>
        <v>75</v>
      </c>
      <c r="J22" s="1">
        <f t="shared" si="9"/>
        <v>3</v>
      </c>
      <c r="K22" s="1">
        <v>12</v>
      </c>
      <c r="L22" s="1">
        <f t="shared" si="10"/>
        <v>360</v>
      </c>
      <c r="N22" s="1"/>
    </row>
    <row r="23" spans="1:14" x14ac:dyDescent="0.15">
      <c r="A23" s="1" t="s">
        <v>231</v>
      </c>
      <c r="B23" s="1">
        <v>2</v>
      </c>
      <c r="C23" s="1">
        <v>15053</v>
      </c>
      <c r="D23">
        <v>75</v>
      </c>
      <c r="E23" s="1">
        <f t="shared" si="4"/>
        <v>35</v>
      </c>
      <c r="F23" s="1">
        <f t="shared" si="5"/>
        <v>375</v>
      </c>
      <c r="G23" s="1">
        <f t="shared" si="6"/>
        <v>0</v>
      </c>
      <c r="H23" s="1">
        <f t="shared" si="7"/>
        <v>35</v>
      </c>
      <c r="I23" s="1">
        <f t="shared" si="8"/>
        <v>375</v>
      </c>
      <c r="J23" s="1">
        <f t="shared" si="9"/>
        <v>18</v>
      </c>
      <c r="K23" s="1">
        <v>12</v>
      </c>
      <c r="L23" s="1">
        <f t="shared" si="10"/>
        <v>3000</v>
      </c>
      <c r="N23" s="1"/>
    </row>
    <row r="24" spans="1:14" x14ac:dyDescent="0.15">
      <c r="A24" s="1" t="s">
        <v>230</v>
      </c>
      <c r="B24" s="1">
        <v>2</v>
      </c>
      <c r="C24">
        <v>15005</v>
      </c>
      <c r="D24" s="1">
        <v>27</v>
      </c>
      <c r="E24" s="1">
        <f t="shared" si="4"/>
        <v>35</v>
      </c>
      <c r="F24" s="1">
        <f t="shared" si="5"/>
        <v>375</v>
      </c>
      <c r="G24" s="1">
        <f t="shared" si="6"/>
        <v>0</v>
      </c>
      <c r="H24" s="1">
        <f t="shared" si="7"/>
        <v>35</v>
      </c>
      <c r="I24" s="1">
        <f t="shared" si="8"/>
        <v>375</v>
      </c>
      <c r="J24" s="1">
        <f t="shared" si="9"/>
        <v>18</v>
      </c>
      <c r="K24" s="1">
        <v>13</v>
      </c>
      <c r="L24" s="1">
        <f t="shared" si="10"/>
        <v>1080</v>
      </c>
      <c r="N24" s="1"/>
    </row>
    <row r="25" spans="1:14" x14ac:dyDescent="0.15">
      <c r="A25" s="1" t="s">
        <v>237</v>
      </c>
      <c r="B25" s="1">
        <v>2</v>
      </c>
      <c r="C25">
        <v>15006</v>
      </c>
      <c r="D25" s="1">
        <v>27</v>
      </c>
      <c r="E25" s="1">
        <f t="shared" si="4"/>
        <v>35</v>
      </c>
      <c r="F25" s="1">
        <f t="shared" si="5"/>
        <v>375</v>
      </c>
      <c r="G25" s="1">
        <f t="shared" si="6"/>
        <v>0</v>
      </c>
      <c r="H25" s="1">
        <f t="shared" si="7"/>
        <v>35</v>
      </c>
      <c r="I25" s="1">
        <f t="shared" si="8"/>
        <v>375</v>
      </c>
      <c r="J25" s="1">
        <f t="shared" si="9"/>
        <v>18</v>
      </c>
      <c r="K25" s="1">
        <v>13</v>
      </c>
      <c r="L25" s="1">
        <f t="shared" si="10"/>
        <v>1080</v>
      </c>
      <c r="N25" s="1"/>
    </row>
    <row r="26" spans="1:14" x14ac:dyDescent="0.15">
      <c r="A26" s="1" t="s">
        <v>244</v>
      </c>
      <c r="B26" s="1">
        <v>2</v>
      </c>
      <c r="C26">
        <v>15054</v>
      </c>
      <c r="D26">
        <v>27</v>
      </c>
      <c r="E26" s="1">
        <f t="shared" si="4"/>
        <v>35</v>
      </c>
      <c r="F26" s="1">
        <f t="shared" si="5"/>
        <v>375</v>
      </c>
      <c r="G26" s="1">
        <f t="shared" si="6"/>
        <v>0</v>
      </c>
      <c r="H26" s="1">
        <f t="shared" si="7"/>
        <v>35</v>
      </c>
      <c r="I26" s="1">
        <f t="shared" si="8"/>
        <v>375</v>
      </c>
      <c r="J26" s="1">
        <f t="shared" si="9"/>
        <v>18</v>
      </c>
      <c r="K26" s="1">
        <v>14</v>
      </c>
      <c r="L26" s="1">
        <f t="shared" si="10"/>
        <v>1080</v>
      </c>
      <c r="N26" s="1"/>
    </row>
    <row r="27" spans="1:14" x14ac:dyDescent="0.15">
      <c r="A27" s="1" t="s">
        <v>233</v>
      </c>
      <c r="B27" s="1">
        <v>2</v>
      </c>
      <c r="C27">
        <v>15036</v>
      </c>
      <c r="D27">
        <v>27</v>
      </c>
      <c r="E27" s="1">
        <f t="shared" si="4"/>
        <v>35</v>
      </c>
      <c r="F27" s="1">
        <f t="shared" si="5"/>
        <v>375</v>
      </c>
      <c r="G27" s="1">
        <f t="shared" si="6"/>
        <v>0</v>
      </c>
      <c r="H27" s="1">
        <f t="shared" si="7"/>
        <v>35</v>
      </c>
      <c r="I27" s="1">
        <f t="shared" si="8"/>
        <v>375</v>
      </c>
      <c r="J27" s="1">
        <f t="shared" si="9"/>
        <v>18</v>
      </c>
      <c r="K27" s="1">
        <v>14</v>
      </c>
      <c r="L27" s="1">
        <f t="shared" si="10"/>
        <v>1080</v>
      </c>
      <c r="N27" s="1"/>
    </row>
    <row r="28" spans="1:14" x14ac:dyDescent="0.15">
      <c r="A28" s="1" t="s">
        <v>250</v>
      </c>
      <c r="B28" s="1">
        <v>3</v>
      </c>
      <c r="C28" s="1">
        <v>15001</v>
      </c>
      <c r="D28" s="1">
        <v>75</v>
      </c>
      <c r="E28" s="1">
        <f t="shared" si="4"/>
        <v>90</v>
      </c>
      <c r="F28" s="1">
        <f t="shared" si="5"/>
        <v>1500</v>
      </c>
      <c r="G28" s="1">
        <f t="shared" si="6"/>
        <v>0</v>
      </c>
      <c r="H28" s="1">
        <f t="shared" si="7"/>
        <v>90</v>
      </c>
      <c r="I28" s="1">
        <f t="shared" si="8"/>
        <v>1500</v>
      </c>
      <c r="J28" s="1">
        <f t="shared" si="9"/>
        <v>75</v>
      </c>
      <c r="K28" s="1">
        <v>15</v>
      </c>
      <c r="L28" s="1">
        <f t="shared" si="10"/>
        <v>3000</v>
      </c>
      <c r="N28" s="1"/>
    </row>
    <row r="29" spans="1:14" x14ac:dyDescent="0.15">
      <c r="A29" s="1" t="s">
        <v>223</v>
      </c>
      <c r="B29" s="1">
        <v>3</v>
      </c>
      <c r="C29" s="1">
        <v>15038</v>
      </c>
      <c r="D29" s="1">
        <v>75</v>
      </c>
      <c r="E29" s="1">
        <f t="shared" si="4"/>
        <v>90</v>
      </c>
      <c r="F29" s="1">
        <f t="shared" si="5"/>
        <v>1500</v>
      </c>
      <c r="G29" s="1">
        <f t="shared" si="6"/>
        <v>0</v>
      </c>
      <c r="H29" s="1">
        <f t="shared" si="7"/>
        <v>90</v>
      </c>
      <c r="I29" s="1">
        <f t="shared" si="8"/>
        <v>1500</v>
      </c>
      <c r="J29" s="1">
        <f t="shared" si="9"/>
        <v>75</v>
      </c>
      <c r="K29" s="1">
        <v>16</v>
      </c>
      <c r="L29" s="1">
        <f t="shared" si="10"/>
        <v>3000</v>
      </c>
      <c r="N29" s="1"/>
    </row>
    <row r="30" spans="1:14" x14ac:dyDescent="0.15">
      <c r="A30" s="1" t="s">
        <v>238</v>
      </c>
      <c r="B30" s="1">
        <v>2</v>
      </c>
      <c r="C30" s="1">
        <v>15019</v>
      </c>
      <c r="D30">
        <v>27</v>
      </c>
      <c r="E30" s="1">
        <f t="shared" si="4"/>
        <v>35</v>
      </c>
      <c r="F30" s="1">
        <f t="shared" si="5"/>
        <v>375</v>
      </c>
      <c r="G30" s="1">
        <f t="shared" si="6"/>
        <v>0</v>
      </c>
      <c r="H30" s="1">
        <f t="shared" si="7"/>
        <v>35</v>
      </c>
      <c r="I30" s="1">
        <f t="shared" si="8"/>
        <v>375</v>
      </c>
      <c r="J30" s="1">
        <f t="shared" si="9"/>
        <v>18</v>
      </c>
      <c r="K30" s="1">
        <v>17</v>
      </c>
      <c r="L30" s="1">
        <f t="shared" si="10"/>
        <v>1080</v>
      </c>
      <c r="N30" s="1"/>
    </row>
    <row r="31" spans="1:14" s="1" customFormat="1" x14ac:dyDescent="0.15">
      <c r="A31" s="1" t="s">
        <v>245</v>
      </c>
      <c r="B31" s="1">
        <v>2</v>
      </c>
      <c r="C31" s="1">
        <v>15015</v>
      </c>
      <c r="D31" s="1">
        <v>27</v>
      </c>
      <c r="E31" s="1">
        <f t="shared" si="4"/>
        <v>35</v>
      </c>
      <c r="F31" s="1">
        <f t="shared" si="5"/>
        <v>375</v>
      </c>
      <c r="G31" s="1">
        <f t="shared" si="6"/>
        <v>0</v>
      </c>
      <c r="H31" s="1">
        <f t="shared" si="7"/>
        <v>35</v>
      </c>
      <c r="I31" s="1">
        <f t="shared" si="8"/>
        <v>375</v>
      </c>
      <c r="J31" s="1">
        <f t="shared" si="9"/>
        <v>18</v>
      </c>
      <c r="K31" s="1">
        <v>18</v>
      </c>
      <c r="L31" s="1">
        <f t="shared" si="10"/>
        <v>1080</v>
      </c>
    </row>
    <row r="32" spans="1:14" x14ac:dyDescent="0.15">
      <c r="A32" s="1" t="s">
        <v>239</v>
      </c>
      <c r="B32" s="1">
        <v>2</v>
      </c>
      <c r="C32">
        <v>15040</v>
      </c>
      <c r="D32" s="1">
        <v>27</v>
      </c>
      <c r="E32" s="1">
        <f t="shared" si="4"/>
        <v>35</v>
      </c>
      <c r="F32" s="1">
        <f t="shared" si="5"/>
        <v>375</v>
      </c>
      <c r="G32" s="1">
        <f t="shared" si="6"/>
        <v>0</v>
      </c>
      <c r="H32" s="1">
        <f t="shared" si="7"/>
        <v>35</v>
      </c>
      <c r="I32" s="1">
        <f t="shared" si="8"/>
        <v>375</v>
      </c>
      <c r="J32" s="1">
        <f t="shared" si="9"/>
        <v>18</v>
      </c>
      <c r="K32">
        <v>19</v>
      </c>
      <c r="L32" s="1">
        <f t="shared" si="10"/>
        <v>1080</v>
      </c>
      <c r="N32" s="1"/>
    </row>
    <row r="33" spans="1:14" x14ac:dyDescent="0.15">
      <c r="A33" s="1" t="s">
        <v>246</v>
      </c>
      <c r="B33" s="1">
        <v>3</v>
      </c>
      <c r="C33">
        <v>15093</v>
      </c>
      <c r="D33" s="1">
        <v>75</v>
      </c>
      <c r="E33" s="1">
        <f t="shared" si="4"/>
        <v>90</v>
      </c>
      <c r="F33" s="1">
        <f t="shared" si="5"/>
        <v>1500</v>
      </c>
      <c r="G33" s="1">
        <f t="shared" si="6"/>
        <v>0</v>
      </c>
      <c r="H33" s="1">
        <f t="shared" si="7"/>
        <v>90</v>
      </c>
      <c r="I33" s="1">
        <f t="shared" si="8"/>
        <v>1500</v>
      </c>
      <c r="J33" s="1">
        <f t="shared" si="9"/>
        <v>75</v>
      </c>
      <c r="K33">
        <v>20</v>
      </c>
      <c r="L33" s="1">
        <f t="shared" si="10"/>
        <v>3000</v>
      </c>
      <c r="N33" s="1"/>
    </row>
    <row r="34" spans="1:14" x14ac:dyDescent="0.15">
      <c r="A34" s="1" t="s">
        <v>252</v>
      </c>
      <c r="B34" s="1">
        <v>3</v>
      </c>
      <c r="D34" s="1">
        <v>75</v>
      </c>
      <c r="E34">
        <f t="shared" si="4"/>
        <v>90</v>
      </c>
      <c r="F34">
        <f t="shared" si="5"/>
        <v>1500</v>
      </c>
      <c r="G34">
        <f t="shared" si="6"/>
        <v>0</v>
      </c>
      <c r="H34">
        <f t="shared" si="7"/>
        <v>90</v>
      </c>
      <c r="I34">
        <f t="shared" si="8"/>
        <v>1500</v>
      </c>
      <c r="J34">
        <f t="shared" si="9"/>
        <v>75</v>
      </c>
      <c r="K34">
        <v>25</v>
      </c>
      <c r="L34" s="1">
        <f t="shared" si="10"/>
        <v>3000</v>
      </c>
    </row>
    <row r="35" spans="1:14" x14ac:dyDescent="0.15">
      <c r="A35" s="1" t="s">
        <v>251</v>
      </c>
      <c r="B35" s="1">
        <v>4</v>
      </c>
      <c r="D35" s="1">
        <v>75</v>
      </c>
      <c r="E35">
        <f t="shared" si="4"/>
        <v>150</v>
      </c>
      <c r="F35">
        <f t="shared" si="5"/>
        <v>3750</v>
      </c>
      <c r="G35">
        <f t="shared" si="6"/>
        <v>0</v>
      </c>
      <c r="H35">
        <f t="shared" si="7"/>
        <v>150</v>
      </c>
      <c r="I35">
        <f t="shared" si="8"/>
        <v>3750</v>
      </c>
      <c r="J35">
        <f t="shared" si="9"/>
        <v>225</v>
      </c>
      <c r="K35">
        <v>30</v>
      </c>
      <c r="L35" s="1">
        <f t="shared" si="10"/>
        <v>3000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activeCell="M24" sqref="M24"/>
    </sheetView>
  </sheetViews>
  <sheetFormatPr defaultRowHeight="13.5" x14ac:dyDescent="0.15"/>
  <cols>
    <col min="1" max="1" width="18" customWidth="1"/>
    <col min="11" max="11" width="11.75" customWidth="1"/>
    <col min="15" max="15" width="7.75" style="1" customWidth="1"/>
    <col min="18" max="18" width="7.75" customWidth="1"/>
  </cols>
  <sheetData>
    <row r="1" spans="1:18" x14ac:dyDescent="0.15">
      <c r="A1" s="5" t="s">
        <v>263</v>
      </c>
      <c r="B1" s="7">
        <v>500</v>
      </c>
      <c r="C1" s="5" t="s">
        <v>312</v>
      </c>
      <c r="D1" s="7">
        <v>30</v>
      </c>
      <c r="E1" s="5" t="s">
        <v>314</v>
      </c>
      <c r="F1" s="7">
        <v>600</v>
      </c>
      <c r="G1" s="5" t="s">
        <v>315</v>
      </c>
      <c r="H1" s="7">
        <v>3</v>
      </c>
    </row>
    <row r="2" spans="1:18" ht="20.25" x14ac:dyDescent="0.15">
      <c r="A2" t="s">
        <v>264</v>
      </c>
      <c r="K2" s="26" t="s">
        <v>299</v>
      </c>
      <c r="L2" s="26"/>
      <c r="M2" s="26"/>
      <c r="N2" s="26"/>
      <c r="O2" s="26"/>
    </row>
    <row r="3" spans="1:18" x14ac:dyDescent="0.15">
      <c r="A3">
        <v>1</v>
      </c>
      <c r="B3">
        <v>25</v>
      </c>
      <c r="C3" s="1" t="s">
        <v>267</v>
      </c>
      <c r="D3" s="1">
        <v>15</v>
      </c>
      <c r="E3">
        <f>B3/0.4/D3*2</f>
        <v>8.3333333333333339</v>
      </c>
      <c r="K3" s="10" t="s">
        <v>306</v>
      </c>
      <c r="L3" s="10" t="s">
        <v>307</v>
      </c>
      <c r="M3" s="10" t="s">
        <v>309</v>
      </c>
      <c r="N3" s="10" t="s">
        <v>316</v>
      </c>
      <c r="O3" s="10" t="s">
        <v>317</v>
      </c>
      <c r="Q3" s="10" t="s">
        <v>310</v>
      </c>
      <c r="R3" s="10" t="s">
        <v>311</v>
      </c>
    </row>
    <row r="4" spans="1:18" x14ac:dyDescent="0.15">
      <c r="A4">
        <v>2</v>
      </c>
      <c r="B4" s="1">
        <v>75</v>
      </c>
      <c r="C4" t="s">
        <v>267</v>
      </c>
      <c r="D4" s="1">
        <v>25</v>
      </c>
      <c r="E4" s="1">
        <f t="shared" ref="E4:E6" si="0">B4/0.4/D4*2</f>
        <v>15</v>
      </c>
      <c r="K4" s="7" t="s">
        <v>300</v>
      </c>
      <c r="L4" s="8">
        <v>0.45</v>
      </c>
      <c r="M4" s="7">
        <v>10</v>
      </c>
      <c r="N4" s="8">
        <f>L4/M4*$Q$4</f>
        <v>1.125E-2</v>
      </c>
      <c r="O4" s="7">
        <f>ROUND(N4*3*10000,0)</f>
        <v>338</v>
      </c>
      <c r="Q4" s="15">
        <v>0.25</v>
      </c>
      <c r="R4" s="15">
        <v>0.75</v>
      </c>
    </row>
    <row r="5" spans="1:18" x14ac:dyDescent="0.15">
      <c r="A5" s="1">
        <v>3</v>
      </c>
      <c r="B5" s="1">
        <v>150</v>
      </c>
      <c r="C5" t="s">
        <v>266</v>
      </c>
      <c r="D5">
        <v>25</v>
      </c>
      <c r="E5" s="1">
        <f t="shared" si="0"/>
        <v>30</v>
      </c>
      <c r="K5" s="7" t="s">
        <v>301</v>
      </c>
      <c r="L5" s="8">
        <v>0.35</v>
      </c>
      <c r="M5" s="7">
        <v>10</v>
      </c>
      <c r="N5" s="8">
        <f t="shared" ref="N5:N7" si="1">L5/M5*$Q$4</f>
        <v>8.7499999999999991E-3</v>
      </c>
      <c r="O5" s="7">
        <f t="shared" ref="O5:O7" si="2">ROUND(N5*3*10000,0)</f>
        <v>263</v>
      </c>
      <c r="Q5" s="5" t="s">
        <v>313</v>
      </c>
      <c r="R5" s="7">
        <f>B1/R4*D1/F1/H1</f>
        <v>11.111111111111112</v>
      </c>
    </row>
    <row r="6" spans="1:18" x14ac:dyDescent="0.15">
      <c r="A6" s="1">
        <v>4</v>
      </c>
      <c r="B6" s="1">
        <v>250</v>
      </c>
      <c r="C6" t="s">
        <v>265</v>
      </c>
      <c r="D6">
        <v>35</v>
      </c>
      <c r="E6" s="1">
        <f t="shared" si="0"/>
        <v>35.714285714285715</v>
      </c>
      <c r="K6" s="7" t="s">
        <v>302</v>
      </c>
      <c r="L6" s="8">
        <v>0.15</v>
      </c>
      <c r="M6" s="7">
        <v>7</v>
      </c>
      <c r="N6" s="8">
        <f t="shared" si="1"/>
        <v>5.3571428571428572E-3</v>
      </c>
      <c r="O6" s="7">
        <f t="shared" si="2"/>
        <v>161</v>
      </c>
    </row>
    <row r="7" spans="1:18" x14ac:dyDescent="0.15">
      <c r="K7" s="7" t="s">
        <v>303</v>
      </c>
      <c r="L7" s="8">
        <v>0.05</v>
      </c>
      <c r="M7" s="7">
        <v>3</v>
      </c>
      <c r="N7" s="8">
        <f t="shared" si="1"/>
        <v>4.1666666666666666E-3</v>
      </c>
      <c r="O7" s="7">
        <f t="shared" si="2"/>
        <v>125</v>
      </c>
    </row>
    <row r="8" spans="1:18" s="1" customFormat="1" x14ac:dyDescent="0.15"/>
    <row r="9" spans="1:18" s="1" customFormat="1" ht="20.25" x14ac:dyDescent="0.15">
      <c r="A9" s="25" t="s">
        <v>308</v>
      </c>
      <c r="B9" s="25"/>
      <c r="C9" s="25"/>
      <c r="D9" s="25"/>
      <c r="E9" s="25"/>
      <c r="F9" s="25"/>
      <c r="G9" s="25"/>
      <c r="H9" s="25"/>
      <c r="I9" s="25"/>
    </row>
    <row r="10" spans="1:18" x14ac:dyDescent="0.15">
      <c r="B10" s="10" t="s">
        <v>68</v>
      </c>
      <c r="C10" s="10" t="s">
        <v>294</v>
      </c>
      <c r="D10" s="10" t="s">
        <v>295</v>
      </c>
      <c r="E10" s="10" t="s">
        <v>296</v>
      </c>
      <c r="F10" s="10" t="s">
        <v>297</v>
      </c>
      <c r="G10" s="10" t="s">
        <v>298</v>
      </c>
      <c r="H10" s="10" t="s">
        <v>291</v>
      </c>
      <c r="I10" s="10" t="s">
        <v>292</v>
      </c>
      <c r="K10" s="10" t="s">
        <v>356</v>
      </c>
      <c r="L10" s="10" t="s">
        <v>370</v>
      </c>
    </row>
    <row r="11" spans="1:18" x14ac:dyDescent="0.15">
      <c r="A11" s="7" t="s">
        <v>268</v>
      </c>
      <c r="B11" s="7">
        <v>1</v>
      </c>
      <c r="C11" s="7"/>
      <c r="D11" s="7"/>
      <c r="E11" s="7"/>
      <c r="F11" s="7">
        <v>2</v>
      </c>
      <c r="G11" s="7">
        <v>1</v>
      </c>
      <c r="H11" s="7">
        <v>4</v>
      </c>
      <c r="I11" s="7">
        <v>5</v>
      </c>
    </row>
    <row r="12" spans="1:18" x14ac:dyDescent="0.15">
      <c r="A12" s="7" t="s">
        <v>269</v>
      </c>
      <c r="B12" s="7">
        <v>1</v>
      </c>
      <c r="C12" s="7">
        <v>1</v>
      </c>
      <c r="D12" s="7"/>
      <c r="E12" s="7">
        <v>2</v>
      </c>
      <c r="F12" s="7"/>
      <c r="G12" s="7"/>
      <c r="H12" s="7">
        <v>1</v>
      </c>
      <c r="I12" s="7">
        <v>3</v>
      </c>
    </row>
    <row r="13" spans="1:18" x14ac:dyDescent="0.15">
      <c r="A13" s="7" t="s">
        <v>270</v>
      </c>
      <c r="B13" s="7">
        <v>1</v>
      </c>
      <c r="C13" s="7">
        <v>1</v>
      </c>
      <c r="D13" s="7"/>
      <c r="E13" s="7"/>
      <c r="F13" s="7"/>
      <c r="G13" s="7">
        <v>2</v>
      </c>
      <c r="H13" s="7">
        <v>1</v>
      </c>
      <c r="I13" s="7">
        <v>5</v>
      </c>
    </row>
    <row r="14" spans="1:18" x14ac:dyDescent="0.15">
      <c r="A14" s="7" t="s">
        <v>271</v>
      </c>
      <c r="B14" s="7">
        <v>1</v>
      </c>
      <c r="C14" s="7"/>
      <c r="D14" s="7">
        <v>2</v>
      </c>
      <c r="E14" s="7">
        <v>1</v>
      </c>
      <c r="F14" s="7"/>
      <c r="G14" s="7"/>
      <c r="H14" s="7">
        <v>2</v>
      </c>
      <c r="I14" s="7">
        <v>3</v>
      </c>
    </row>
    <row r="15" spans="1:18" x14ac:dyDescent="0.15">
      <c r="A15" s="7" t="s">
        <v>272</v>
      </c>
      <c r="B15" s="7">
        <v>1</v>
      </c>
      <c r="C15" s="7"/>
      <c r="D15" s="7"/>
      <c r="E15" s="7"/>
      <c r="F15" s="7">
        <v>1</v>
      </c>
      <c r="G15" s="7">
        <v>2</v>
      </c>
      <c r="H15" s="7">
        <v>4</v>
      </c>
      <c r="I15" s="7">
        <v>5</v>
      </c>
    </row>
    <row r="16" spans="1:18" x14ac:dyDescent="0.15">
      <c r="A16" s="7" t="s">
        <v>273</v>
      </c>
      <c r="B16" s="7">
        <v>1</v>
      </c>
      <c r="C16" s="7"/>
      <c r="D16" s="7"/>
      <c r="E16" s="7">
        <v>2</v>
      </c>
      <c r="F16" s="7">
        <v>1</v>
      </c>
      <c r="G16" s="7"/>
      <c r="H16" s="7">
        <v>3</v>
      </c>
      <c r="I16" s="7">
        <v>4</v>
      </c>
    </row>
    <row r="17" spans="1:9" x14ac:dyDescent="0.15">
      <c r="A17" s="7" t="s">
        <v>274</v>
      </c>
      <c r="B17" s="7">
        <v>1</v>
      </c>
      <c r="C17" s="7">
        <v>1</v>
      </c>
      <c r="D17" s="7">
        <v>2</v>
      </c>
      <c r="E17" s="7"/>
      <c r="F17" s="7"/>
      <c r="G17" s="7"/>
      <c r="H17" s="7">
        <v>1</v>
      </c>
      <c r="I17" s="7">
        <v>2</v>
      </c>
    </row>
    <row r="18" spans="1:9" x14ac:dyDescent="0.15">
      <c r="A18" s="7" t="s">
        <v>275</v>
      </c>
      <c r="B18" s="7">
        <v>3</v>
      </c>
      <c r="C18" s="7"/>
      <c r="D18" s="7">
        <v>1.5</v>
      </c>
      <c r="E18" s="7"/>
      <c r="F18" s="7"/>
      <c r="G18" s="7">
        <v>1.5</v>
      </c>
      <c r="H18" s="7">
        <v>2</v>
      </c>
      <c r="I18" s="7">
        <v>5</v>
      </c>
    </row>
    <row r="19" spans="1:9" x14ac:dyDescent="0.15">
      <c r="A19" s="7" t="s">
        <v>276</v>
      </c>
      <c r="B19" s="7">
        <v>3</v>
      </c>
      <c r="C19" s="7"/>
      <c r="D19" s="7">
        <v>2</v>
      </c>
      <c r="E19" s="7">
        <v>1</v>
      </c>
      <c r="F19" s="7"/>
      <c r="G19" s="7"/>
      <c r="H19" s="7">
        <v>2</v>
      </c>
      <c r="I19" s="7">
        <v>3</v>
      </c>
    </row>
    <row r="20" spans="1:9" x14ac:dyDescent="0.15">
      <c r="A20" s="7" t="s">
        <v>277</v>
      </c>
      <c r="B20" s="7">
        <v>3</v>
      </c>
      <c r="C20" s="7"/>
      <c r="D20" s="7"/>
      <c r="E20" s="7">
        <v>1.5</v>
      </c>
      <c r="F20" s="7">
        <v>1.5</v>
      </c>
      <c r="G20" s="7"/>
      <c r="H20" s="7">
        <v>3</v>
      </c>
      <c r="I20" s="7">
        <v>4</v>
      </c>
    </row>
    <row r="21" spans="1:9" x14ac:dyDescent="0.15">
      <c r="A21" s="7" t="s">
        <v>278</v>
      </c>
      <c r="B21" s="7">
        <v>3</v>
      </c>
      <c r="C21" s="7">
        <v>1.5</v>
      </c>
      <c r="D21" s="7"/>
      <c r="E21" s="7"/>
      <c r="F21" s="7"/>
      <c r="G21" s="7">
        <v>1.5</v>
      </c>
      <c r="H21" s="7">
        <v>1</v>
      </c>
      <c r="I21" s="7">
        <v>5</v>
      </c>
    </row>
    <row r="22" spans="1:9" x14ac:dyDescent="0.15">
      <c r="A22" s="7" t="s">
        <v>279</v>
      </c>
      <c r="B22" s="7">
        <v>3</v>
      </c>
      <c r="C22" s="7">
        <v>2</v>
      </c>
      <c r="D22" s="7"/>
      <c r="E22" s="7">
        <v>1</v>
      </c>
      <c r="F22" s="7"/>
      <c r="G22" s="7"/>
      <c r="H22" s="7">
        <v>1</v>
      </c>
      <c r="I22" s="7">
        <v>3</v>
      </c>
    </row>
    <row r="23" spans="1:9" x14ac:dyDescent="0.15">
      <c r="A23" s="7" t="s">
        <v>280</v>
      </c>
      <c r="B23" s="7">
        <v>3</v>
      </c>
      <c r="C23" s="7"/>
      <c r="D23" s="7"/>
      <c r="E23" s="7"/>
      <c r="F23" s="7">
        <v>2</v>
      </c>
      <c r="G23" s="7">
        <v>1</v>
      </c>
      <c r="H23" s="7">
        <v>4</v>
      </c>
      <c r="I23" s="7">
        <v>5</v>
      </c>
    </row>
    <row r="24" spans="1:9" x14ac:dyDescent="0.15">
      <c r="A24" s="7" t="s">
        <v>281</v>
      </c>
      <c r="B24" s="7">
        <v>4</v>
      </c>
      <c r="C24" s="7"/>
      <c r="D24" s="7">
        <v>1</v>
      </c>
      <c r="E24" s="7"/>
      <c r="F24" s="7">
        <v>2</v>
      </c>
      <c r="G24" s="7"/>
      <c r="H24" s="7">
        <v>2</v>
      </c>
      <c r="I24" s="7">
        <v>4</v>
      </c>
    </row>
    <row r="25" spans="1:9" x14ac:dyDescent="0.15">
      <c r="A25" s="7" t="s">
        <v>282</v>
      </c>
      <c r="B25" s="7">
        <v>4</v>
      </c>
      <c r="C25" s="7"/>
      <c r="D25" s="7"/>
      <c r="E25" s="7">
        <v>1</v>
      </c>
      <c r="F25" s="7">
        <v>2</v>
      </c>
      <c r="G25" s="7"/>
      <c r="H25" s="7">
        <v>3</v>
      </c>
      <c r="I25" s="7">
        <v>4</v>
      </c>
    </row>
    <row r="26" spans="1:9" x14ac:dyDescent="0.15">
      <c r="A26" s="7" t="s">
        <v>283</v>
      </c>
      <c r="B26" s="7">
        <v>4</v>
      </c>
      <c r="C26" s="7"/>
      <c r="D26" s="7">
        <v>1</v>
      </c>
      <c r="E26" s="7"/>
      <c r="F26" s="7"/>
      <c r="G26" s="7">
        <v>2</v>
      </c>
      <c r="H26" s="7">
        <v>2</v>
      </c>
      <c r="I26" s="7">
        <v>5</v>
      </c>
    </row>
    <row r="27" spans="1:9" x14ac:dyDescent="0.15">
      <c r="A27" s="7" t="s">
        <v>284</v>
      </c>
      <c r="B27" s="7">
        <v>4</v>
      </c>
      <c r="C27" s="7">
        <v>2</v>
      </c>
      <c r="D27" s="7">
        <v>1</v>
      </c>
      <c r="E27" s="7"/>
      <c r="F27" s="7"/>
      <c r="G27" s="7"/>
      <c r="H27" s="7">
        <v>1</v>
      </c>
      <c r="I27" s="7">
        <v>2</v>
      </c>
    </row>
    <row r="28" spans="1:9" x14ac:dyDescent="0.15">
      <c r="A28" s="7" t="s">
        <v>285</v>
      </c>
      <c r="B28" s="7">
        <v>4</v>
      </c>
      <c r="C28" s="7"/>
      <c r="D28" s="7">
        <v>1</v>
      </c>
      <c r="E28" s="7"/>
      <c r="F28" s="7"/>
      <c r="G28" s="7">
        <v>2</v>
      </c>
      <c r="H28" s="7">
        <v>1</v>
      </c>
      <c r="I28" s="7">
        <v>5</v>
      </c>
    </row>
    <row r="29" spans="1:9" x14ac:dyDescent="0.15">
      <c r="A29" s="7" t="s">
        <v>286</v>
      </c>
      <c r="B29" s="7">
        <v>4</v>
      </c>
      <c r="C29" s="7"/>
      <c r="D29" s="7">
        <v>1</v>
      </c>
      <c r="E29" s="7">
        <v>2</v>
      </c>
      <c r="F29" s="7"/>
      <c r="G29" s="7"/>
      <c r="H29" s="7">
        <v>2</v>
      </c>
      <c r="I29" s="7">
        <v>3</v>
      </c>
    </row>
    <row r="30" spans="1:9" x14ac:dyDescent="0.15">
      <c r="A30" s="7" t="s">
        <v>287</v>
      </c>
      <c r="B30" s="7">
        <v>5</v>
      </c>
      <c r="C30" s="7">
        <v>2</v>
      </c>
      <c r="D30" s="7"/>
      <c r="E30" s="7"/>
      <c r="F30" s="7">
        <v>1</v>
      </c>
      <c r="G30" s="7"/>
      <c r="H30" s="7">
        <v>1</v>
      </c>
      <c r="I30" s="7">
        <v>4</v>
      </c>
    </row>
    <row r="31" spans="1:9" x14ac:dyDescent="0.15">
      <c r="A31" s="7" t="s">
        <v>288</v>
      </c>
      <c r="B31" s="7">
        <v>5</v>
      </c>
      <c r="C31" s="7">
        <v>2</v>
      </c>
      <c r="D31" s="7"/>
      <c r="E31" s="7"/>
      <c r="F31" s="7">
        <v>1</v>
      </c>
      <c r="G31" s="7"/>
      <c r="H31" s="7">
        <v>1</v>
      </c>
      <c r="I31" s="7">
        <v>4</v>
      </c>
    </row>
    <row r="32" spans="1:9" x14ac:dyDescent="0.15">
      <c r="A32" s="7" t="s">
        <v>289</v>
      </c>
      <c r="B32" s="7">
        <v>5</v>
      </c>
      <c r="C32" s="7"/>
      <c r="D32" s="7">
        <v>1</v>
      </c>
      <c r="E32" s="7">
        <v>2</v>
      </c>
      <c r="F32" s="7"/>
      <c r="G32" s="7"/>
      <c r="H32" s="7">
        <v>2</v>
      </c>
      <c r="I32" s="7">
        <v>3</v>
      </c>
    </row>
    <row r="35" spans="1:8" x14ac:dyDescent="0.15">
      <c r="A35" s="7" t="s">
        <v>290</v>
      </c>
      <c r="B35" s="7">
        <v>1</v>
      </c>
      <c r="C35" s="7" t="s">
        <v>290</v>
      </c>
      <c r="D35" s="7">
        <v>1</v>
      </c>
      <c r="E35" s="7">
        <v>-1</v>
      </c>
      <c r="F35" s="7">
        <v>0</v>
      </c>
      <c r="G35" s="7">
        <v>-1</v>
      </c>
      <c r="H35" s="7">
        <v>0</v>
      </c>
    </row>
    <row r="36" spans="1:8" x14ac:dyDescent="0.15">
      <c r="A36" s="7" t="s">
        <v>290</v>
      </c>
      <c r="B36" s="7">
        <v>2</v>
      </c>
      <c r="C36" s="7" t="s">
        <v>290</v>
      </c>
      <c r="D36" s="7">
        <v>2</v>
      </c>
      <c r="E36" s="7" t="str">
        <f>INDEX($C$10:$G$10,INDEX($H$11:$I$32,MATCH(A36,$A$11:$A$32,0),1))</f>
        <v>火元素</v>
      </c>
      <c r="F36" s="7">
        <f>INDEX($B$3:$B$6,B36-1)*INDEX($C$11:$G$32,MATCH(A36,$A$11:$A$32,0),INDEX($H$11:$I$32,MATCH(A36,$A$11:$A$32,0),1))</f>
        <v>50</v>
      </c>
      <c r="G36" s="7" t="str">
        <f>INDEX($C$10:$G$10,INDEX($H$11:$I$32,MATCH(C36,$A$11:$A$32,0),2))</f>
        <v>雷元素</v>
      </c>
      <c r="H36" s="7">
        <f>INDEX($B$3:$B$6,D36-1)*INDEX($C$11:$G$32,MATCH(C36,$A$11:$A$32,0),INDEX($H$11:$I$32,MATCH(C36,$A$11:$A$32,0),2))</f>
        <v>25</v>
      </c>
    </row>
    <row r="37" spans="1:8" x14ac:dyDescent="0.15">
      <c r="A37" s="7" t="s">
        <v>290</v>
      </c>
      <c r="B37" s="7">
        <v>3</v>
      </c>
      <c r="C37" s="7" t="s">
        <v>290</v>
      </c>
      <c r="D37" s="7">
        <v>3</v>
      </c>
      <c r="E37" s="7" t="str">
        <f t="shared" ref="E37:E64" si="3">INDEX($C$10:$G$10,INDEX($H$11:$I$32,MATCH(A37,$A$11:$A$32,0),1))</f>
        <v>火元素</v>
      </c>
      <c r="F37" s="7">
        <f t="shared" ref="F37:F39" si="4">INDEX($B$3:$B$6,B37-1)*INDEX($C$11:$G$32,MATCH(A37,$A$11:$A$32,0),INDEX($H$11:$I$32,MATCH(A37,$A$11:$A$32,0),1))</f>
        <v>150</v>
      </c>
      <c r="G37" s="7" t="str">
        <f t="shared" ref="G37:G64" si="5">INDEX($C$10:$G$10,INDEX($H$11:$I$32,MATCH(C37,$A$11:$A$32,0),2))</f>
        <v>雷元素</v>
      </c>
      <c r="H37" s="7">
        <f t="shared" ref="H37:H39" si="6">INDEX($B$3:$B$6,D37-1)*INDEX($C$11:$G$32,MATCH(C37,$A$11:$A$32,0),INDEX($H$11:$I$32,MATCH(C37,$A$11:$A$32,0),2))</f>
        <v>75</v>
      </c>
    </row>
    <row r="38" spans="1:8" x14ac:dyDescent="0.15">
      <c r="A38" s="7" t="s">
        <v>290</v>
      </c>
      <c r="B38" s="7">
        <v>4</v>
      </c>
      <c r="C38" s="7" t="s">
        <v>290</v>
      </c>
      <c r="D38" s="7">
        <v>4</v>
      </c>
      <c r="E38" s="7" t="str">
        <f t="shared" si="3"/>
        <v>火元素</v>
      </c>
      <c r="F38" s="7">
        <f t="shared" si="4"/>
        <v>300</v>
      </c>
      <c r="G38" s="7" t="str">
        <f t="shared" si="5"/>
        <v>雷元素</v>
      </c>
      <c r="H38" s="7">
        <f t="shared" si="6"/>
        <v>150</v>
      </c>
    </row>
    <row r="39" spans="1:8" x14ac:dyDescent="0.15">
      <c r="A39" s="7" t="s">
        <v>290</v>
      </c>
      <c r="B39" s="7">
        <v>5</v>
      </c>
      <c r="C39" s="7" t="s">
        <v>290</v>
      </c>
      <c r="D39" s="7">
        <v>5</v>
      </c>
      <c r="E39" s="7" t="str">
        <f t="shared" si="3"/>
        <v>火元素</v>
      </c>
      <c r="F39" s="7">
        <f t="shared" si="4"/>
        <v>500</v>
      </c>
      <c r="G39" s="7" t="str">
        <f t="shared" si="5"/>
        <v>雷元素</v>
      </c>
      <c r="H39" s="7">
        <f t="shared" si="6"/>
        <v>250</v>
      </c>
    </row>
    <row r="40" spans="1:8" x14ac:dyDescent="0.15">
      <c r="A40" s="7" t="s">
        <v>270</v>
      </c>
      <c r="B40" s="7">
        <v>1</v>
      </c>
      <c r="C40" s="7" t="s">
        <v>293</v>
      </c>
      <c r="D40" s="7">
        <v>1</v>
      </c>
      <c r="E40" s="7">
        <v>-1</v>
      </c>
      <c r="F40" s="7">
        <v>0</v>
      </c>
      <c r="G40" s="7">
        <v>-1</v>
      </c>
      <c r="H40" s="7">
        <v>0</v>
      </c>
    </row>
    <row r="41" spans="1:8" x14ac:dyDescent="0.15">
      <c r="A41" s="7" t="s">
        <v>270</v>
      </c>
      <c r="B41" s="7">
        <v>2</v>
      </c>
      <c r="C41" s="7" t="s">
        <v>293</v>
      </c>
      <c r="D41" s="7">
        <v>2</v>
      </c>
      <c r="E41" s="7" t="str">
        <f t="shared" si="3"/>
        <v>火元素</v>
      </c>
      <c r="F41" s="7">
        <f>INDEX($B$3:$B$6,B41-1)*INDEX($C$11:$G$32,MATCH(A41,$A$11:$A$32,0),INDEX($H$11:$I$32,MATCH(A41,$A$11:$A$32,0),1))</f>
        <v>25</v>
      </c>
      <c r="G41" s="7" t="str">
        <f t="shared" si="5"/>
        <v>水元素</v>
      </c>
      <c r="H41" s="7">
        <f>INDEX($B$3:$B$6,D41-1)*INDEX($C$11:$G$32,MATCH(C41,$A$11:$A$32,0),INDEX($H$11:$I$32,MATCH(C41,$A$11:$A$32,0),2))</f>
        <v>50</v>
      </c>
    </row>
    <row r="42" spans="1:8" x14ac:dyDescent="0.15">
      <c r="A42" s="7" t="s">
        <v>270</v>
      </c>
      <c r="B42" s="7">
        <v>3</v>
      </c>
      <c r="C42" s="7" t="s">
        <v>293</v>
      </c>
      <c r="D42" s="7">
        <v>3</v>
      </c>
      <c r="E42" s="7" t="str">
        <f t="shared" si="3"/>
        <v>火元素</v>
      </c>
      <c r="F42" s="7">
        <f t="shared" ref="F42:F44" si="7">INDEX($B$3:$B$6,B42-1)*INDEX($C$11:$G$32,MATCH(A42,$A$11:$A$32,0),INDEX($H$11:$I$32,MATCH(A42,$A$11:$A$32,0),1))</f>
        <v>75</v>
      </c>
      <c r="G42" s="7" t="str">
        <f t="shared" si="5"/>
        <v>水元素</v>
      </c>
      <c r="H42" s="7">
        <f t="shared" ref="H42:H44" si="8">INDEX($B$3:$B$6,D42-1)*INDEX($C$11:$G$32,MATCH(C42,$A$11:$A$32,0),INDEX($H$11:$I$32,MATCH(C42,$A$11:$A$32,0),2))</f>
        <v>150</v>
      </c>
    </row>
    <row r="43" spans="1:8" x14ac:dyDescent="0.15">
      <c r="A43" s="7" t="s">
        <v>270</v>
      </c>
      <c r="B43" s="7">
        <v>4</v>
      </c>
      <c r="C43" s="7" t="s">
        <v>293</v>
      </c>
      <c r="D43" s="7">
        <v>4</v>
      </c>
      <c r="E43" s="7" t="str">
        <f t="shared" si="3"/>
        <v>火元素</v>
      </c>
      <c r="F43" s="7">
        <f t="shared" si="7"/>
        <v>150</v>
      </c>
      <c r="G43" s="7" t="str">
        <f t="shared" si="5"/>
        <v>水元素</v>
      </c>
      <c r="H43" s="7">
        <f t="shared" si="8"/>
        <v>300</v>
      </c>
    </row>
    <row r="44" spans="1:8" x14ac:dyDescent="0.15">
      <c r="A44" s="7" t="s">
        <v>270</v>
      </c>
      <c r="B44" s="7">
        <v>5</v>
      </c>
      <c r="C44" s="7" t="s">
        <v>293</v>
      </c>
      <c r="D44" s="7">
        <v>5</v>
      </c>
      <c r="E44" s="7" t="str">
        <f t="shared" si="3"/>
        <v>火元素</v>
      </c>
      <c r="F44" s="7">
        <f t="shared" si="7"/>
        <v>250</v>
      </c>
      <c r="G44" s="7" t="str">
        <f t="shared" si="5"/>
        <v>水元素</v>
      </c>
      <c r="H44" s="7">
        <f t="shared" si="8"/>
        <v>500</v>
      </c>
    </row>
    <row r="45" spans="1:8" x14ac:dyDescent="0.15">
      <c r="A45" s="7" t="s">
        <v>268</v>
      </c>
      <c r="B45" s="7">
        <v>1</v>
      </c>
      <c r="C45" s="7" t="s">
        <v>268</v>
      </c>
      <c r="D45" s="7">
        <v>1</v>
      </c>
      <c r="E45" s="7">
        <v>-1</v>
      </c>
      <c r="F45" s="7">
        <v>0</v>
      </c>
      <c r="G45" s="7">
        <v>-1</v>
      </c>
      <c r="H45" s="7">
        <v>0</v>
      </c>
    </row>
    <row r="46" spans="1:8" x14ac:dyDescent="0.15">
      <c r="A46" s="7" t="s">
        <v>268</v>
      </c>
      <c r="B46" s="7">
        <v>2</v>
      </c>
      <c r="C46" s="7" t="s">
        <v>268</v>
      </c>
      <c r="D46" s="7">
        <v>2</v>
      </c>
      <c r="E46" s="7" t="str">
        <f t="shared" si="3"/>
        <v>土元素</v>
      </c>
      <c r="F46" s="7">
        <f>INDEX($B$3:$B$6,B46-1)*INDEX($C$11:$G$32,MATCH(A46,$A$11:$A$32,0),INDEX($H$11:$I$32,MATCH(A46,$A$11:$A$32,0),1))</f>
        <v>50</v>
      </c>
      <c r="G46" s="7" t="str">
        <f t="shared" si="5"/>
        <v>水元素</v>
      </c>
      <c r="H46" s="7">
        <f>INDEX($B$3:$B$6,D46-1)*INDEX($C$11:$G$32,MATCH(C46,$A$11:$A$32,0),INDEX($H$11:$I$32,MATCH(C46,$A$11:$A$32,0),2))</f>
        <v>25</v>
      </c>
    </row>
    <row r="47" spans="1:8" x14ac:dyDescent="0.15">
      <c r="A47" s="7" t="s">
        <v>268</v>
      </c>
      <c r="B47" s="7">
        <v>3</v>
      </c>
      <c r="C47" s="7" t="s">
        <v>268</v>
      </c>
      <c r="D47" s="7">
        <v>3</v>
      </c>
      <c r="E47" s="7" t="str">
        <f t="shared" si="3"/>
        <v>土元素</v>
      </c>
      <c r="F47" s="7">
        <f t="shared" ref="F47:F49" si="9">INDEX($B$3:$B$6,B47-1)*INDEX($C$11:$G$32,MATCH(A47,$A$11:$A$32,0),INDEX($H$11:$I$32,MATCH(A47,$A$11:$A$32,0),1))</f>
        <v>150</v>
      </c>
      <c r="G47" s="7" t="str">
        <f t="shared" si="5"/>
        <v>水元素</v>
      </c>
      <c r="H47" s="7">
        <f t="shared" ref="H47:H49" si="10">INDEX($B$3:$B$6,D47-1)*INDEX($C$11:$G$32,MATCH(C47,$A$11:$A$32,0),INDEX($H$11:$I$32,MATCH(C47,$A$11:$A$32,0),2))</f>
        <v>75</v>
      </c>
    </row>
    <row r="48" spans="1:8" x14ac:dyDescent="0.15">
      <c r="A48" s="7" t="s">
        <v>268</v>
      </c>
      <c r="B48" s="7">
        <v>4</v>
      </c>
      <c r="C48" s="7" t="s">
        <v>268</v>
      </c>
      <c r="D48" s="7">
        <v>4</v>
      </c>
      <c r="E48" s="7" t="str">
        <f t="shared" si="3"/>
        <v>土元素</v>
      </c>
      <c r="F48" s="7">
        <f t="shared" si="9"/>
        <v>300</v>
      </c>
      <c r="G48" s="7" t="str">
        <f t="shared" si="5"/>
        <v>水元素</v>
      </c>
      <c r="H48" s="7">
        <f t="shared" si="10"/>
        <v>150</v>
      </c>
    </row>
    <row r="49" spans="1:8" x14ac:dyDescent="0.15">
      <c r="A49" s="7" t="s">
        <v>268</v>
      </c>
      <c r="B49" s="7">
        <v>5</v>
      </c>
      <c r="C49" s="7" t="s">
        <v>268</v>
      </c>
      <c r="D49" s="7">
        <v>5</v>
      </c>
      <c r="E49" s="7" t="str">
        <f t="shared" si="3"/>
        <v>土元素</v>
      </c>
      <c r="F49" s="7">
        <f t="shared" si="9"/>
        <v>500</v>
      </c>
      <c r="G49" s="7" t="str">
        <f t="shared" si="5"/>
        <v>水元素</v>
      </c>
      <c r="H49" s="7">
        <f t="shared" si="10"/>
        <v>250</v>
      </c>
    </row>
    <row r="50" spans="1:8" x14ac:dyDescent="0.15">
      <c r="A50" s="7" t="s">
        <v>273</v>
      </c>
      <c r="B50" s="7">
        <v>1</v>
      </c>
      <c r="C50" s="7" t="s">
        <v>273</v>
      </c>
      <c r="D50" s="7">
        <v>1</v>
      </c>
      <c r="E50" s="7">
        <v>-1</v>
      </c>
      <c r="F50" s="7">
        <v>0</v>
      </c>
      <c r="G50" s="7">
        <v>-1</v>
      </c>
      <c r="H50" s="7">
        <v>0</v>
      </c>
    </row>
    <row r="51" spans="1:8" x14ac:dyDescent="0.15">
      <c r="A51" s="7" t="s">
        <v>273</v>
      </c>
      <c r="B51" s="7">
        <v>2</v>
      </c>
      <c r="C51" s="7" t="s">
        <v>273</v>
      </c>
      <c r="D51" s="7">
        <v>2</v>
      </c>
      <c r="E51" s="7" t="str">
        <f t="shared" si="3"/>
        <v>雷元素</v>
      </c>
      <c r="F51" s="7">
        <f>INDEX($B$3:$B$6,B51-1)*INDEX($C$11:$G$32,MATCH(A51,$A$11:$A$32,0),INDEX($H$11:$I$32,MATCH(A51,$A$11:$A$32,0),1))</f>
        <v>50</v>
      </c>
      <c r="G51" s="7" t="str">
        <f t="shared" si="5"/>
        <v>土元素</v>
      </c>
      <c r="H51" s="7">
        <f>INDEX($B$3:$B$6,D51-1)*INDEX($C$11:$G$32,MATCH(C51,$A$11:$A$32,0),INDEX($H$11:$I$32,MATCH(C51,$A$11:$A$32,0),2))</f>
        <v>25</v>
      </c>
    </row>
    <row r="52" spans="1:8" x14ac:dyDescent="0.15">
      <c r="A52" s="7" t="s">
        <v>273</v>
      </c>
      <c r="B52" s="7">
        <v>3</v>
      </c>
      <c r="C52" s="7" t="s">
        <v>273</v>
      </c>
      <c r="D52" s="7">
        <v>3</v>
      </c>
      <c r="E52" s="7" t="str">
        <f t="shared" si="3"/>
        <v>雷元素</v>
      </c>
      <c r="F52" s="7">
        <f t="shared" ref="F52:F54" si="11">INDEX($B$3:$B$6,B52-1)*INDEX($C$11:$G$32,MATCH(A52,$A$11:$A$32,0),INDEX($H$11:$I$32,MATCH(A52,$A$11:$A$32,0),1))</f>
        <v>150</v>
      </c>
      <c r="G52" s="7" t="str">
        <f t="shared" si="5"/>
        <v>土元素</v>
      </c>
      <c r="H52" s="7">
        <f t="shared" ref="H52:H54" si="12">INDEX($B$3:$B$6,D52-1)*INDEX($C$11:$G$32,MATCH(C52,$A$11:$A$32,0),INDEX($H$11:$I$32,MATCH(C52,$A$11:$A$32,0),2))</f>
        <v>75</v>
      </c>
    </row>
    <row r="53" spans="1:8" x14ac:dyDescent="0.15">
      <c r="A53" s="7" t="s">
        <v>273</v>
      </c>
      <c r="B53" s="7">
        <v>4</v>
      </c>
      <c r="C53" s="7" t="s">
        <v>273</v>
      </c>
      <c r="D53" s="7">
        <v>4</v>
      </c>
      <c r="E53" s="7" t="str">
        <f t="shared" si="3"/>
        <v>雷元素</v>
      </c>
      <c r="F53" s="7">
        <f t="shared" si="11"/>
        <v>300</v>
      </c>
      <c r="G53" s="7" t="str">
        <f t="shared" si="5"/>
        <v>土元素</v>
      </c>
      <c r="H53" s="7">
        <f t="shared" si="12"/>
        <v>150</v>
      </c>
    </row>
    <row r="54" spans="1:8" x14ac:dyDescent="0.15">
      <c r="A54" s="7" t="s">
        <v>273</v>
      </c>
      <c r="B54" s="7">
        <v>5</v>
      </c>
      <c r="C54" s="7" t="s">
        <v>273</v>
      </c>
      <c r="D54" s="7">
        <v>5</v>
      </c>
      <c r="E54" s="7" t="str">
        <f t="shared" si="3"/>
        <v>雷元素</v>
      </c>
      <c r="F54" s="7">
        <f t="shared" si="11"/>
        <v>500</v>
      </c>
      <c r="G54" s="7" t="str">
        <f t="shared" si="5"/>
        <v>土元素</v>
      </c>
      <c r="H54" s="7">
        <f t="shared" si="12"/>
        <v>250</v>
      </c>
    </row>
    <row r="55" spans="1:8" x14ac:dyDescent="0.15">
      <c r="A55" s="7" t="s">
        <v>272</v>
      </c>
      <c r="B55" s="7">
        <v>1</v>
      </c>
      <c r="C55" s="7" t="s">
        <v>272</v>
      </c>
      <c r="D55" s="7">
        <v>1</v>
      </c>
      <c r="E55" s="7">
        <v>-1</v>
      </c>
      <c r="F55" s="7">
        <v>0</v>
      </c>
      <c r="G55" s="7">
        <v>-1</v>
      </c>
      <c r="H55" s="7">
        <v>0</v>
      </c>
    </row>
    <row r="56" spans="1:8" x14ac:dyDescent="0.15">
      <c r="A56" s="7" t="s">
        <v>272</v>
      </c>
      <c r="B56" s="7">
        <v>2</v>
      </c>
      <c r="C56" s="7" t="s">
        <v>272</v>
      </c>
      <c r="D56" s="7">
        <v>2</v>
      </c>
      <c r="E56" s="7" t="str">
        <f t="shared" si="3"/>
        <v>土元素</v>
      </c>
      <c r="F56" s="7">
        <f>INDEX($B$3:$B$6,B56-1)*INDEX($C$11:$G$32,MATCH(A56,$A$11:$A$32,0),INDEX($H$11:$I$32,MATCH(A56,$A$11:$A$32,0),1))</f>
        <v>25</v>
      </c>
      <c r="G56" s="7" t="str">
        <f t="shared" si="5"/>
        <v>水元素</v>
      </c>
      <c r="H56" s="7">
        <f>INDEX($B$3:$B$6,D56-1)*INDEX($C$11:$G$32,MATCH(C56,$A$11:$A$32,0),INDEX($H$11:$I$32,MATCH(C56,$A$11:$A$32,0),2))</f>
        <v>50</v>
      </c>
    </row>
    <row r="57" spans="1:8" x14ac:dyDescent="0.15">
      <c r="A57" s="7" t="s">
        <v>272</v>
      </c>
      <c r="B57" s="7">
        <v>3</v>
      </c>
      <c r="C57" s="7" t="s">
        <v>272</v>
      </c>
      <c r="D57" s="7">
        <v>3</v>
      </c>
      <c r="E57" s="7" t="str">
        <f t="shared" si="3"/>
        <v>土元素</v>
      </c>
      <c r="F57" s="7">
        <f t="shared" ref="F57:F59" si="13">INDEX($B$3:$B$6,B57-1)*INDEX($C$11:$G$32,MATCH(A57,$A$11:$A$32,0),INDEX($H$11:$I$32,MATCH(A57,$A$11:$A$32,0),1))</f>
        <v>75</v>
      </c>
      <c r="G57" s="7" t="str">
        <f t="shared" si="5"/>
        <v>水元素</v>
      </c>
      <c r="H57" s="7">
        <f t="shared" ref="H57:H59" si="14">INDEX($B$3:$B$6,D57-1)*INDEX($C$11:$G$32,MATCH(C57,$A$11:$A$32,0),INDEX($H$11:$I$32,MATCH(C57,$A$11:$A$32,0),2))</f>
        <v>150</v>
      </c>
    </row>
    <row r="58" spans="1:8" x14ac:dyDescent="0.15">
      <c r="A58" s="7" t="s">
        <v>272</v>
      </c>
      <c r="B58" s="7">
        <v>4</v>
      </c>
      <c r="C58" s="7" t="s">
        <v>272</v>
      </c>
      <c r="D58" s="7">
        <v>4</v>
      </c>
      <c r="E58" s="7" t="str">
        <f t="shared" si="3"/>
        <v>土元素</v>
      </c>
      <c r="F58" s="7">
        <f t="shared" si="13"/>
        <v>150</v>
      </c>
      <c r="G58" s="7" t="str">
        <f t="shared" si="5"/>
        <v>水元素</v>
      </c>
      <c r="H58" s="7">
        <f t="shared" si="14"/>
        <v>300</v>
      </c>
    </row>
    <row r="59" spans="1:8" x14ac:dyDescent="0.15">
      <c r="A59" s="7" t="s">
        <v>272</v>
      </c>
      <c r="B59" s="7">
        <v>5</v>
      </c>
      <c r="C59" s="7" t="s">
        <v>272</v>
      </c>
      <c r="D59" s="7">
        <v>5</v>
      </c>
      <c r="E59" s="7" t="str">
        <f t="shared" si="3"/>
        <v>土元素</v>
      </c>
      <c r="F59" s="7">
        <f t="shared" si="13"/>
        <v>250</v>
      </c>
      <c r="G59" s="7" t="str">
        <f t="shared" si="5"/>
        <v>水元素</v>
      </c>
      <c r="H59" s="7">
        <f t="shared" si="14"/>
        <v>500</v>
      </c>
    </row>
    <row r="60" spans="1:8" x14ac:dyDescent="0.15">
      <c r="A60" s="7" t="s">
        <v>283</v>
      </c>
      <c r="B60" s="7">
        <v>1</v>
      </c>
      <c r="C60" s="7" t="s">
        <v>283</v>
      </c>
      <c r="D60" s="7">
        <v>1</v>
      </c>
      <c r="E60" s="7">
        <v>-1</v>
      </c>
      <c r="F60" s="7">
        <v>0</v>
      </c>
      <c r="G60" s="7">
        <v>-1</v>
      </c>
      <c r="H60" s="7">
        <v>0</v>
      </c>
    </row>
    <row r="61" spans="1:8" x14ac:dyDescent="0.15">
      <c r="A61" s="7" t="s">
        <v>283</v>
      </c>
      <c r="B61" s="7">
        <v>2</v>
      </c>
      <c r="C61" s="7" t="s">
        <v>283</v>
      </c>
      <c r="D61" s="7">
        <v>2</v>
      </c>
      <c r="E61" s="7" t="str">
        <f t="shared" si="3"/>
        <v>风元素</v>
      </c>
      <c r="F61" s="7">
        <f>INDEX($B$3:$B$6,B61-1)*INDEX($C$11:$G$32,MATCH(A61,$A$11:$A$32,0),INDEX($H$11:$I$32,MATCH(A61,$A$11:$A$32,0),1))</f>
        <v>25</v>
      </c>
      <c r="G61" s="7" t="str">
        <f t="shared" si="5"/>
        <v>水元素</v>
      </c>
      <c r="H61" s="7">
        <f>INDEX($B$3:$B$6,D61-1)*INDEX($C$11:$G$32,MATCH(C61,$A$11:$A$32,0),INDEX($H$11:$I$32,MATCH(C61,$A$11:$A$32,0),2))</f>
        <v>50</v>
      </c>
    </row>
    <row r="62" spans="1:8" x14ac:dyDescent="0.15">
      <c r="A62" s="7" t="s">
        <v>283</v>
      </c>
      <c r="B62" s="7">
        <v>3</v>
      </c>
      <c r="C62" s="7" t="s">
        <v>283</v>
      </c>
      <c r="D62" s="7">
        <v>3</v>
      </c>
      <c r="E62" s="7" t="str">
        <f t="shared" si="3"/>
        <v>风元素</v>
      </c>
      <c r="F62" s="7">
        <f t="shared" ref="F62:F64" si="15">INDEX($B$3:$B$6,B62-1)*INDEX($C$11:$G$32,MATCH(A62,$A$11:$A$32,0),INDEX($H$11:$I$32,MATCH(A62,$A$11:$A$32,0),1))</f>
        <v>75</v>
      </c>
      <c r="G62" s="7" t="str">
        <f t="shared" si="5"/>
        <v>水元素</v>
      </c>
      <c r="H62" s="7">
        <f t="shared" ref="H62:H64" si="16">INDEX($B$3:$B$6,D62-1)*INDEX($C$11:$G$32,MATCH(C62,$A$11:$A$32,0),INDEX($H$11:$I$32,MATCH(C62,$A$11:$A$32,0),2))</f>
        <v>150</v>
      </c>
    </row>
    <row r="63" spans="1:8" x14ac:dyDescent="0.15">
      <c r="A63" s="7" t="s">
        <v>283</v>
      </c>
      <c r="B63" s="7">
        <v>4</v>
      </c>
      <c r="C63" s="7" t="s">
        <v>283</v>
      </c>
      <c r="D63" s="7">
        <v>4</v>
      </c>
      <c r="E63" s="7" t="str">
        <f t="shared" si="3"/>
        <v>风元素</v>
      </c>
      <c r="F63" s="7">
        <f t="shared" si="15"/>
        <v>150</v>
      </c>
      <c r="G63" s="7" t="str">
        <f t="shared" si="5"/>
        <v>水元素</v>
      </c>
      <c r="H63" s="7">
        <f t="shared" si="16"/>
        <v>300</v>
      </c>
    </row>
    <row r="64" spans="1:8" x14ac:dyDescent="0.15">
      <c r="A64" s="7" t="s">
        <v>283</v>
      </c>
      <c r="B64" s="7">
        <v>5</v>
      </c>
      <c r="C64" s="7" t="s">
        <v>283</v>
      </c>
      <c r="D64" s="7">
        <v>5</v>
      </c>
      <c r="E64" s="7" t="str">
        <f t="shared" si="3"/>
        <v>风元素</v>
      </c>
      <c r="F64" s="7">
        <f t="shared" si="15"/>
        <v>250</v>
      </c>
      <c r="G64" s="7" t="str">
        <f t="shared" si="5"/>
        <v>水元素</v>
      </c>
      <c r="H64" s="7">
        <f t="shared" si="16"/>
        <v>500</v>
      </c>
    </row>
  </sheetData>
  <mergeCells count="2">
    <mergeCell ref="A9:I9"/>
    <mergeCell ref="K2:O2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workbookViewId="0">
      <selection activeCell="G42" sqref="G42"/>
    </sheetView>
  </sheetViews>
  <sheetFormatPr defaultRowHeight="13.5" x14ac:dyDescent="0.15"/>
  <cols>
    <col min="6" max="6" width="11.125" customWidth="1"/>
    <col min="7" max="7" width="9.25" style="1" customWidth="1"/>
  </cols>
  <sheetData>
    <row r="1" spans="1:15" x14ac:dyDescent="0.15">
      <c r="F1" t="s">
        <v>350</v>
      </c>
    </row>
    <row r="2" spans="1:15" s="1" customFormat="1" x14ac:dyDescent="0.15">
      <c r="A2" s="1" t="s">
        <v>341</v>
      </c>
      <c r="B2" s="1" t="s">
        <v>342</v>
      </c>
      <c r="C2" s="1" t="s">
        <v>343</v>
      </c>
      <c r="G2" s="1" t="s">
        <v>259</v>
      </c>
      <c r="H2" s="1">
        <v>5</v>
      </c>
      <c r="I2" s="1">
        <v>10</v>
      </c>
      <c r="J2" s="1">
        <v>15</v>
      </c>
      <c r="K2" s="1">
        <v>20</v>
      </c>
      <c r="L2" s="1">
        <v>25</v>
      </c>
      <c r="M2" s="1">
        <v>30</v>
      </c>
      <c r="O2" s="3">
        <v>0.3</v>
      </c>
    </row>
    <row r="3" spans="1:15" x14ac:dyDescent="0.15">
      <c r="A3" s="16" t="s">
        <v>27</v>
      </c>
      <c r="B3" s="17" t="s">
        <v>338</v>
      </c>
      <c r="C3" t="s">
        <v>344</v>
      </c>
      <c r="F3" s="1" t="s">
        <v>6</v>
      </c>
      <c r="G3" s="3">
        <v>0.4</v>
      </c>
      <c r="H3">
        <v>375</v>
      </c>
      <c r="I3">
        <v>750</v>
      </c>
      <c r="J3">
        <v>1125</v>
      </c>
      <c r="K3">
        <v>1500</v>
      </c>
      <c r="L3">
        <v>1875</v>
      </c>
      <c r="M3" s="1">
        <v>2250</v>
      </c>
    </row>
    <row r="4" spans="1:15" x14ac:dyDescent="0.15">
      <c r="A4" s="16" t="s">
        <v>28</v>
      </c>
      <c r="B4" s="17" t="s">
        <v>339</v>
      </c>
      <c r="C4" t="s">
        <v>345</v>
      </c>
      <c r="F4" t="s">
        <v>347</v>
      </c>
      <c r="G4" s="3">
        <v>0.3</v>
      </c>
      <c r="H4">
        <v>1</v>
      </c>
      <c r="I4">
        <v>2</v>
      </c>
      <c r="J4">
        <v>3</v>
      </c>
      <c r="K4">
        <v>4</v>
      </c>
      <c r="L4">
        <v>5</v>
      </c>
      <c r="M4">
        <v>6</v>
      </c>
    </row>
    <row r="5" spans="1:15" x14ac:dyDescent="0.15">
      <c r="A5" s="16" t="s">
        <v>29</v>
      </c>
      <c r="B5" s="17" t="s">
        <v>339</v>
      </c>
      <c r="C5" t="s">
        <v>345</v>
      </c>
      <c r="F5" t="s">
        <v>348</v>
      </c>
      <c r="G5" s="3">
        <v>0.3</v>
      </c>
      <c r="H5">
        <v>1</v>
      </c>
      <c r="I5">
        <v>2</v>
      </c>
      <c r="J5">
        <v>3</v>
      </c>
      <c r="K5">
        <v>4</v>
      </c>
      <c r="L5">
        <v>5</v>
      </c>
      <c r="M5">
        <v>6</v>
      </c>
    </row>
    <row r="6" spans="1:15" x14ac:dyDescent="0.15">
      <c r="A6" s="16" t="s">
        <v>30</v>
      </c>
      <c r="B6" s="17" t="s">
        <v>318</v>
      </c>
      <c r="C6" t="s">
        <v>345</v>
      </c>
      <c r="F6" t="s">
        <v>352</v>
      </c>
    </row>
    <row r="7" spans="1:15" x14ac:dyDescent="0.15">
      <c r="A7" s="18" t="s">
        <v>31</v>
      </c>
      <c r="B7" s="17" t="s">
        <v>338</v>
      </c>
      <c r="C7" t="s">
        <v>344</v>
      </c>
      <c r="F7" t="s">
        <v>349</v>
      </c>
      <c r="K7" s="1"/>
      <c r="L7" s="1"/>
      <c r="M7" s="1"/>
    </row>
    <row r="8" spans="1:15" x14ac:dyDescent="0.15">
      <c r="A8" s="19" t="s">
        <v>32</v>
      </c>
      <c r="B8" s="17" t="s">
        <v>339</v>
      </c>
      <c r="C8" t="s">
        <v>345</v>
      </c>
      <c r="F8" t="s">
        <v>351</v>
      </c>
      <c r="H8" s="1"/>
      <c r="I8" s="1"/>
      <c r="J8" s="1"/>
      <c r="K8" s="1"/>
    </row>
    <row r="9" spans="1:15" x14ac:dyDescent="0.15">
      <c r="A9" s="16" t="s">
        <v>319</v>
      </c>
      <c r="B9" s="17" t="s">
        <v>339</v>
      </c>
      <c r="C9" t="s">
        <v>345</v>
      </c>
    </row>
    <row r="10" spans="1:15" x14ac:dyDescent="0.15">
      <c r="A10" s="18" t="s">
        <v>320</v>
      </c>
      <c r="B10" s="17" t="s">
        <v>338</v>
      </c>
      <c r="C10" t="s">
        <v>345</v>
      </c>
      <c r="F10" s="1" t="s">
        <v>353</v>
      </c>
      <c r="H10" s="1"/>
      <c r="I10" s="1"/>
      <c r="J10" s="1"/>
      <c r="K10" s="1"/>
      <c r="L10" s="1"/>
      <c r="M10" s="1"/>
    </row>
    <row r="11" spans="1:15" x14ac:dyDescent="0.15">
      <c r="A11" s="19" t="s">
        <v>33</v>
      </c>
      <c r="B11" s="17" t="s">
        <v>339</v>
      </c>
      <c r="C11" t="s">
        <v>345</v>
      </c>
      <c r="F11" s="1"/>
      <c r="H11" s="1">
        <v>5</v>
      </c>
      <c r="I11" s="1">
        <v>10</v>
      </c>
      <c r="J11" s="1">
        <v>15</v>
      </c>
      <c r="K11" s="1">
        <v>20</v>
      </c>
      <c r="L11" s="1">
        <v>25</v>
      </c>
      <c r="M11" s="1">
        <v>30</v>
      </c>
      <c r="O11" s="3">
        <v>0.3</v>
      </c>
    </row>
    <row r="12" spans="1:15" x14ac:dyDescent="0.15">
      <c r="A12" s="19" t="s">
        <v>321</v>
      </c>
      <c r="B12" s="17" t="s">
        <v>339</v>
      </c>
      <c r="C12" t="s">
        <v>345</v>
      </c>
      <c r="F12" s="1" t="s">
        <v>6</v>
      </c>
      <c r="H12" s="1"/>
      <c r="I12" s="1"/>
      <c r="J12" s="1"/>
      <c r="K12" s="1"/>
      <c r="L12" s="1"/>
      <c r="M12" s="1"/>
    </row>
    <row r="13" spans="1:15" x14ac:dyDescent="0.15">
      <c r="A13" s="18" t="s">
        <v>322</v>
      </c>
      <c r="B13" s="17" t="s">
        <v>339</v>
      </c>
      <c r="C13" t="s">
        <v>345</v>
      </c>
      <c r="F13" s="1" t="s">
        <v>347</v>
      </c>
      <c r="G13" s="3">
        <v>0.3</v>
      </c>
      <c r="H13" s="1">
        <v>2</v>
      </c>
      <c r="I13" s="1">
        <v>3</v>
      </c>
      <c r="J13" s="1">
        <v>5</v>
      </c>
      <c r="K13" s="1">
        <v>6</v>
      </c>
      <c r="L13" s="1">
        <v>7</v>
      </c>
      <c r="M13" s="1">
        <v>8</v>
      </c>
    </row>
    <row r="14" spans="1:15" x14ac:dyDescent="0.15">
      <c r="A14" s="18" t="s">
        <v>323</v>
      </c>
      <c r="B14" s="17" t="s">
        <v>339</v>
      </c>
      <c r="C14" t="s">
        <v>345</v>
      </c>
      <c r="F14" s="1" t="s">
        <v>348</v>
      </c>
      <c r="G14" s="3">
        <v>0.3</v>
      </c>
      <c r="H14" s="1">
        <v>2</v>
      </c>
      <c r="I14" s="1">
        <v>3</v>
      </c>
      <c r="J14" s="1">
        <v>5</v>
      </c>
      <c r="K14" s="1">
        <v>6</v>
      </c>
      <c r="L14" s="1">
        <v>7</v>
      </c>
      <c r="M14" s="1">
        <v>8</v>
      </c>
    </row>
    <row r="15" spans="1:15" x14ac:dyDescent="0.15">
      <c r="A15" s="18" t="s">
        <v>39</v>
      </c>
      <c r="B15" s="17" t="s">
        <v>338</v>
      </c>
      <c r="C15" t="s">
        <v>344</v>
      </c>
      <c r="F15" s="1" t="s">
        <v>352</v>
      </c>
      <c r="G15" s="3">
        <v>0.4</v>
      </c>
      <c r="H15" s="1"/>
      <c r="I15" s="1"/>
      <c r="J15" s="1">
        <v>1</v>
      </c>
      <c r="K15" s="1">
        <v>2</v>
      </c>
      <c r="L15" s="1">
        <v>3</v>
      </c>
      <c r="M15" s="1">
        <v>4</v>
      </c>
    </row>
    <row r="16" spans="1:15" x14ac:dyDescent="0.15">
      <c r="A16" s="16" t="s">
        <v>324</v>
      </c>
      <c r="B16" s="17" t="s">
        <v>318</v>
      </c>
      <c r="C16" s="1" t="s">
        <v>345</v>
      </c>
      <c r="F16" s="1" t="s">
        <v>349</v>
      </c>
      <c r="H16" s="1"/>
      <c r="I16" s="1"/>
      <c r="J16" s="1"/>
      <c r="K16" s="1"/>
      <c r="L16" s="1"/>
      <c r="M16" s="1"/>
    </row>
    <row r="17" spans="1:15" x14ac:dyDescent="0.15">
      <c r="A17" s="17" t="s">
        <v>325</v>
      </c>
      <c r="B17" s="17" t="s">
        <v>339</v>
      </c>
      <c r="C17" s="1" t="s">
        <v>345</v>
      </c>
      <c r="F17" s="1" t="s">
        <v>351</v>
      </c>
      <c r="H17" s="1"/>
      <c r="I17" s="1"/>
      <c r="J17" s="1"/>
      <c r="K17" s="1"/>
      <c r="L17" s="1"/>
      <c r="M17" s="1"/>
    </row>
    <row r="18" spans="1:15" x14ac:dyDescent="0.15">
      <c r="A18" s="17" t="s">
        <v>42</v>
      </c>
      <c r="B18" s="17" t="s">
        <v>340</v>
      </c>
      <c r="C18" s="1" t="s">
        <v>345</v>
      </c>
    </row>
    <row r="19" spans="1:15" x14ac:dyDescent="0.15">
      <c r="A19" s="17" t="s">
        <v>43</v>
      </c>
      <c r="B19" s="17" t="s">
        <v>338</v>
      </c>
      <c r="C19" s="1" t="s">
        <v>345</v>
      </c>
      <c r="F19" s="1" t="s">
        <v>354</v>
      </c>
      <c r="H19" s="1"/>
      <c r="I19" s="1"/>
      <c r="J19" s="1"/>
      <c r="K19" s="1"/>
      <c r="L19" s="1"/>
      <c r="M19" s="1"/>
      <c r="O19" s="3">
        <v>0.3</v>
      </c>
    </row>
    <row r="20" spans="1:15" x14ac:dyDescent="0.15">
      <c r="A20" s="17" t="s">
        <v>326</v>
      </c>
      <c r="B20" s="17" t="s">
        <v>338</v>
      </c>
      <c r="C20" s="1" t="s">
        <v>346</v>
      </c>
      <c r="F20" s="1"/>
      <c r="H20" s="1">
        <v>5</v>
      </c>
      <c r="I20" s="1">
        <v>10</v>
      </c>
      <c r="J20" s="1">
        <v>15</v>
      </c>
      <c r="K20" s="1">
        <v>20</v>
      </c>
      <c r="L20" s="1">
        <v>25</v>
      </c>
      <c r="M20" s="1">
        <v>30</v>
      </c>
    </row>
    <row r="21" spans="1:15" x14ac:dyDescent="0.15">
      <c r="A21" s="17" t="s">
        <v>45</v>
      </c>
      <c r="B21" s="17" t="s">
        <v>318</v>
      </c>
      <c r="C21" s="1" t="s">
        <v>346</v>
      </c>
      <c r="F21" s="1" t="s">
        <v>6</v>
      </c>
      <c r="H21" s="1"/>
      <c r="I21" s="1"/>
      <c r="J21" s="1"/>
      <c r="K21" s="1"/>
      <c r="L21" s="1"/>
      <c r="M21" s="1"/>
    </row>
    <row r="22" spans="1:15" x14ac:dyDescent="0.15">
      <c r="A22" s="17" t="s">
        <v>46</v>
      </c>
      <c r="B22" s="17" t="s">
        <v>340</v>
      </c>
      <c r="C22" s="1" t="s">
        <v>345</v>
      </c>
      <c r="F22" s="1" t="s">
        <v>347</v>
      </c>
      <c r="G22" s="3">
        <v>0.3</v>
      </c>
      <c r="H22" s="1">
        <v>3</v>
      </c>
      <c r="I22" s="1">
        <v>5</v>
      </c>
      <c r="J22" s="1">
        <v>7</v>
      </c>
      <c r="K22" s="1">
        <v>9</v>
      </c>
      <c r="L22" s="1">
        <v>11</v>
      </c>
      <c r="M22" s="1">
        <v>13</v>
      </c>
    </row>
    <row r="23" spans="1:15" x14ac:dyDescent="0.15">
      <c r="A23" s="17" t="s">
        <v>327</v>
      </c>
      <c r="B23" s="17" t="s">
        <v>338</v>
      </c>
      <c r="C23" s="1" t="s">
        <v>345</v>
      </c>
      <c r="F23" s="1" t="s">
        <v>348</v>
      </c>
      <c r="G23" s="3">
        <v>0.3</v>
      </c>
      <c r="H23" s="1">
        <v>3</v>
      </c>
      <c r="I23" s="1">
        <v>5</v>
      </c>
      <c r="J23" s="1">
        <v>7</v>
      </c>
      <c r="K23" s="1">
        <v>9</v>
      </c>
      <c r="L23" s="1">
        <v>11</v>
      </c>
      <c r="M23" s="1">
        <v>13</v>
      </c>
    </row>
    <row r="24" spans="1:15" ht="17.25" customHeight="1" x14ac:dyDescent="0.15">
      <c r="A24" s="17" t="s">
        <v>328</v>
      </c>
      <c r="B24" s="17" t="s">
        <v>339</v>
      </c>
      <c r="C24" s="1" t="s">
        <v>345</v>
      </c>
      <c r="F24" s="1" t="s">
        <v>352</v>
      </c>
      <c r="G24" s="3">
        <v>0.4</v>
      </c>
      <c r="H24" s="1">
        <v>1</v>
      </c>
      <c r="I24" s="1">
        <v>2</v>
      </c>
      <c r="J24" s="1">
        <v>3</v>
      </c>
      <c r="K24" s="1">
        <v>4</v>
      </c>
      <c r="L24" s="1">
        <v>5</v>
      </c>
      <c r="M24" s="1">
        <v>6</v>
      </c>
    </row>
    <row r="25" spans="1:15" x14ac:dyDescent="0.15">
      <c r="A25" s="17" t="s">
        <v>48</v>
      </c>
      <c r="B25" s="17" t="s">
        <v>340</v>
      </c>
      <c r="C25" s="1" t="s">
        <v>345</v>
      </c>
      <c r="F25" s="1" t="s">
        <v>349</v>
      </c>
      <c r="H25" s="1"/>
      <c r="I25" s="1"/>
      <c r="J25" s="1"/>
      <c r="K25" s="1"/>
      <c r="L25" s="1"/>
      <c r="M25" s="1"/>
    </row>
    <row r="26" spans="1:15" x14ac:dyDescent="0.15">
      <c r="A26" s="17" t="s">
        <v>49</v>
      </c>
      <c r="B26" s="17" t="s">
        <v>340</v>
      </c>
      <c r="C26" s="1" t="s">
        <v>345</v>
      </c>
      <c r="F26" s="1" t="s">
        <v>351</v>
      </c>
      <c r="H26" s="1"/>
      <c r="I26" s="1"/>
      <c r="J26" s="1"/>
      <c r="K26" s="1"/>
      <c r="L26" s="1"/>
      <c r="M26" s="1"/>
    </row>
    <row r="27" spans="1:15" x14ac:dyDescent="0.15">
      <c r="A27" s="17" t="s">
        <v>51</v>
      </c>
      <c r="B27" s="17" t="s">
        <v>340</v>
      </c>
      <c r="C27" s="1" t="s">
        <v>345</v>
      </c>
    </row>
    <row r="28" spans="1:15" x14ac:dyDescent="0.15">
      <c r="A28" s="17" t="s">
        <v>52</v>
      </c>
      <c r="B28" s="17" t="s">
        <v>338</v>
      </c>
      <c r="C28" s="1" t="s">
        <v>345</v>
      </c>
      <c r="F28" s="1" t="s">
        <v>355</v>
      </c>
      <c r="H28" s="1"/>
      <c r="I28" s="1"/>
      <c r="J28" s="1"/>
      <c r="K28" s="1"/>
      <c r="L28" s="1"/>
      <c r="M28" s="1"/>
    </row>
    <row r="29" spans="1:15" x14ac:dyDescent="0.15">
      <c r="A29" s="17" t="s">
        <v>329</v>
      </c>
      <c r="B29" s="17" t="s">
        <v>338</v>
      </c>
      <c r="C29" s="1" t="s">
        <v>345</v>
      </c>
      <c r="F29" s="1"/>
      <c r="H29" s="1"/>
      <c r="I29" s="1">
        <v>10</v>
      </c>
      <c r="J29" s="1"/>
      <c r="K29" s="1">
        <v>20</v>
      </c>
      <c r="L29" s="1"/>
      <c r="M29" s="1">
        <v>30</v>
      </c>
      <c r="O29" s="3">
        <v>0.1</v>
      </c>
    </row>
    <row r="30" spans="1:15" x14ac:dyDescent="0.15">
      <c r="A30" s="17" t="s">
        <v>330</v>
      </c>
      <c r="B30" s="17" t="s">
        <v>339</v>
      </c>
      <c r="C30" s="1" t="s">
        <v>345</v>
      </c>
      <c r="F30" s="1" t="s">
        <v>6</v>
      </c>
      <c r="G30" s="3">
        <v>0.45</v>
      </c>
      <c r="H30" s="1"/>
      <c r="I30" s="1">
        <v>2500</v>
      </c>
      <c r="J30" s="1"/>
      <c r="K30" s="1">
        <v>5000</v>
      </c>
      <c r="L30" s="1"/>
      <c r="M30" s="1">
        <v>8000</v>
      </c>
    </row>
    <row r="31" spans="1:15" x14ac:dyDescent="0.15">
      <c r="A31" s="17" t="s">
        <v>331</v>
      </c>
      <c r="B31" s="17" t="s">
        <v>339</v>
      </c>
      <c r="C31" s="1" t="s">
        <v>345</v>
      </c>
      <c r="F31" s="1" t="s">
        <v>347</v>
      </c>
      <c r="H31" s="1"/>
      <c r="I31" s="1"/>
      <c r="J31" s="1"/>
      <c r="K31" s="1"/>
      <c r="L31" s="1"/>
      <c r="M31" s="1"/>
    </row>
    <row r="32" spans="1:15" x14ac:dyDescent="0.15">
      <c r="A32" s="17" t="s">
        <v>57</v>
      </c>
      <c r="B32" s="17" t="s">
        <v>339</v>
      </c>
      <c r="C32" s="1" t="s">
        <v>344</v>
      </c>
      <c r="F32" s="1" t="s">
        <v>348</v>
      </c>
      <c r="H32" s="1"/>
      <c r="I32" s="1"/>
      <c r="J32" s="1"/>
      <c r="K32" s="1"/>
      <c r="L32" s="1"/>
      <c r="M32" s="1"/>
    </row>
    <row r="33" spans="1:13" x14ac:dyDescent="0.15">
      <c r="A33" s="17" t="s">
        <v>332</v>
      </c>
      <c r="B33" s="17" t="s">
        <v>338</v>
      </c>
      <c r="C33" s="1" t="s">
        <v>345</v>
      </c>
      <c r="F33" s="1" t="s">
        <v>352</v>
      </c>
      <c r="G33" s="3">
        <v>0.4</v>
      </c>
      <c r="H33" s="1"/>
      <c r="I33" s="1">
        <v>5</v>
      </c>
      <c r="J33" s="1"/>
      <c r="K33" s="1">
        <v>10</v>
      </c>
      <c r="L33" s="1"/>
      <c r="M33" s="1">
        <v>15</v>
      </c>
    </row>
    <row r="34" spans="1:13" x14ac:dyDescent="0.15">
      <c r="A34" s="17" t="s">
        <v>59</v>
      </c>
      <c r="B34" s="17" t="s">
        <v>339</v>
      </c>
      <c r="C34" s="1" t="s">
        <v>345</v>
      </c>
      <c r="F34" s="1" t="s">
        <v>349</v>
      </c>
      <c r="G34" s="3">
        <v>0.05</v>
      </c>
      <c r="H34" s="1"/>
      <c r="I34" s="1">
        <v>1</v>
      </c>
      <c r="J34" s="1"/>
      <c r="K34" s="1">
        <v>1</v>
      </c>
      <c r="L34" s="1"/>
      <c r="M34" s="1">
        <v>1</v>
      </c>
    </row>
    <row r="35" spans="1:13" x14ac:dyDescent="0.15">
      <c r="A35" s="17" t="s">
        <v>53</v>
      </c>
      <c r="B35" s="17" t="s">
        <v>338</v>
      </c>
      <c r="C35" s="1" t="s">
        <v>345</v>
      </c>
      <c r="F35" s="1" t="s">
        <v>351</v>
      </c>
      <c r="G35" s="3">
        <v>0.1</v>
      </c>
      <c r="H35" s="1"/>
      <c r="I35" s="1">
        <v>100</v>
      </c>
      <c r="J35" s="1"/>
      <c r="K35" s="1">
        <v>200</v>
      </c>
      <c r="L35" s="1"/>
      <c r="M35" s="1">
        <v>300</v>
      </c>
    </row>
    <row r="36" spans="1:13" x14ac:dyDescent="0.15">
      <c r="A36" s="17" t="s">
        <v>60</v>
      </c>
      <c r="B36" s="17" t="s">
        <v>340</v>
      </c>
      <c r="C36" s="1" t="s">
        <v>345</v>
      </c>
    </row>
    <row r="37" spans="1:13" x14ac:dyDescent="0.15">
      <c r="A37" s="17" t="s">
        <v>61</v>
      </c>
      <c r="B37" s="17" t="s">
        <v>340</v>
      </c>
      <c r="C37" s="1" t="s">
        <v>345</v>
      </c>
    </row>
    <row r="38" spans="1:13" x14ac:dyDescent="0.15">
      <c r="A38" s="17" t="s">
        <v>333</v>
      </c>
      <c r="B38" s="17" t="s">
        <v>339</v>
      </c>
      <c r="C38" s="1" t="s">
        <v>345</v>
      </c>
    </row>
    <row r="39" spans="1:13" x14ac:dyDescent="0.15">
      <c r="A39" s="17" t="s">
        <v>62</v>
      </c>
      <c r="B39" s="17" t="s">
        <v>338</v>
      </c>
      <c r="C39" s="1" t="s">
        <v>345</v>
      </c>
    </row>
    <row r="40" spans="1:13" x14ac:dyDescent="0.15">
      <c r="A40" s="17" t="s">
        <v>63</v>
      </c>
      <c r="B40" s="17" t="s">
        <v>318</v>
      </c>
      <c r="C40" s="1" t="s">
        <v>345</v>
      </c>
    </row>
    <row r="41" spans="1:13" x14ac:dyDescent="0.15">
      <c r="A41" s="17" t="s">
        <v>334</v>
      </c>
      <c r="B41" s="17" t="s">
        <v>318</v>
      </c>
      <c r="C41" s="1" t="s">
        <v>346</v>
      </c>
    </row>
    <row r="42" spans="1:13" x14ac:dyDescent="0.15">
      <c r="A42" s="17" t="s">
        <v>335</v>
      </c>
      <c r="B42" s="17" t="s">
        <v>339</v>
      </c>
      <c r="C42" s="1" t="s">
        <v>346</v>
      </c>
    </row>
    <row r="43" spans="1:13" x14ac:dyDescent="0.15">
      <c r="A43" s="20" t="s">
        <v>140</v>
      </c>
      <c r="B43" s="17" t="s">
        <v>339</v>
      </c>
      <c r="C43" s="1" t="s">
        <v>345</v>
      </c>
    </row>
    <row r="44" spans="1:13" x14ac:dyDescent="0.15">
      <c r="A44" s="17" t="s">
        <v>336</v>
      </c>
      <c r="B44" s="17" t="s">
        <v>339</v>
      </c>
      <c r="C44" s="1" t="s">
        <v>345</v>
      </c>
    </row>
    <row r="45" spans="1:13" x14ac:dyDescent="0.15">
      <c r="A45" s="17" t="s">
        <v>66</v>
      </c>
      <c r="B45" s="17" t="s">
        <v>338</v>
      </c>
      <c r="C45" s="1" t="s">
        <v>345</v>
      </c>
    </row>
    <row r="46" spans="1:13" x14ac:dyDescent="0.15">
      <c r="A46" s="17" t="s">
        <v>337</v>
      </c>
      <c r="B46" s="17" t="s">
        <v>339</v>
      </c>
      <c r="C46" s="1" t="s">
        <v>345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7</vt:i4>
      </vt:variant>
    </vt:vector>
  </HeadingPairs>
  <TitlesOfParts>
    <vt:vector size="15" baseType="lpstr">
      <vt:lpstr>资源价值</vt:lpstr>
      <vt:lpstr>资源产销</vt:lpstr>
      <vt:lpstr>主角经验</vt:lpstr>
      <vt:lpstr>卡牌突破消耗</vt:lpstr>
      <vt:lpstr>竞技场掉落</vt:lpstr>
      <vt:lpstr>碎片价值</vt:lpstr>
      <vt:lpstr>主角技能</vt:lpstr>
      <vt:lpstr>悬赏任务</vt:lpstr>
      <vt:lpstr>宝箱开启次数</vt:lpstr>
      <vt:lpstr>活力价格</vt:lpstr>
      <vt:lpstr>卡牌总数</vt:lpstr>
      <vt:lpstr>蓝晶石价格</vt:lpstr>
      <vt:lpstr>每日开箱</vt:lpstr>
      <vt:lpstr>生命周期</vt:lpstr>
      <vt:lpstr>钻石兑金币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2017-06-20T09:07:03Z</dcterms:modified>
</cp:coreProperties>
</file>