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游戏节奏" sheetId="67" r:id="rId2"/>
    <sheet name="卡牌值" sheetId="71" r:id="rId3"/>
    <sheet name="队伍经验" sheetId="68" r:id="rId4"/>
    <sheet name="神器与芦花古楼" sheetId="65" r:id="rId5"/>
    <sheet name="章节" sheetId="69" r:id="rId6"/>
    <sheet name="挂机派遣" sheetId="76" r:id="rId7"/>
    <sheet name="单人BOSS-专属武器" sheetId="73" r:id="rId8"/>
    <sheet name="卡牌" sheetId="72" r:id="rId9"/>
    <sheet name="抽卡" sheetId="74" r:id="rId10"/>
    <sheet name="金币汇总" sheetId="75" r:id="rId11"/>
    <sheet name="属性表" sheetId="38" state="hidden" r:id="rId12"/>
    <sheet name="军阶数值" sheetId="42" state="hidden" r:id="rId13"/>
    <sheet name="突破数值备份" sheetId="49" state="hidden" r:id="rId14"/>
    <sheet name="关卡思路" sheetId="36" state="hidden" r:id="rId15"/>
  </sheets>
  <externalReferences>
    <externalReference r:id="rId16"/>
  </externalReferences>
  <definedNames>
    <definedName name="卡牌类型名" localSheetId="6">#REF!</definedName>
    <definedName name="卡牌类型名">#REF!</definedName>
    <definedName name="品质名称" localSheetId="6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67" l="1"/>
  <c r="AC11" i="67"/>
  <c r="AC9" i="67"/>
  <c r="AC7" i="67"/>
  <c r="AC5" i="67"/>
  <c r="Z5" i="67" l="1"/>
  <c r="AA5" i="67"/>
  <c r="Z6" i="67"/>
  <c r="AA6" i="67"/>
  <c r="Z7" i="67"/>
  <c r="AA7" i="67"/>
  <c r="Z8" i="67"/>
  <c r="AA8" i="67"/>
  <c r="Z9" i="67"/>
  <c r="AA9" i="67"/>
  <c r="Z10" i="67"/>
  <c r="AA10" i="67"/>
  <c r="Z11" i="67"/>
  <c r="AA11" i="67"/>
  <c r="Z12" i="67"/>
  <c r="AA12" i="67"/>
  <c r="Z13" i="67"/>
  <c r="AA13" i="67"/>
  <c r="Z4" i="67"/>
  <c r="AA4" i="67"/>
  <c r="BB18" i="69" l="1"/>
  <c r="BC18" i="69"/>
  <c r="BD18" i="69"/>
  <c r="BE18" i="69"/>
  <c r="BB19" i="69"/>
  <c r="BC19" i="69"/>
  <c r="BD19" i="69"/>
  <c r="BE19" i="69"/>
  <c r="BB20" i="69"/>
  <c r="BC20" i="69"/>
  <c r="BD20" i="69"/>
  <c r="BE20" i="69"/>
  <c r="BB21" i="69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C17" i="69"/>
  <c r="BD17" i="69"/>
  <c r="BE17" i="69"/>
  <c r="BB17" i="69"/>
  <c r="BA18" i="69"/>
  <c r="BA19" i="69"/>
  <c r="BA20" i="69"/>
  <c r="BA21" i="69"/>
  <c r="BA22" i="69"/>
  <c r="BA23" i="69"/>
  <c r="BA24" i="69"/>
  <c r="BA25" i="69"/>
  <c r="BA26" i="69"/>
  <c r="BA17" i="69"/>
  <c r="AZ18" i="69"/>
  <c r="BG18" i="69" s="1"/>
  <c r="BH18" i="69" s="1"/>
  <c r="AZ19" i="69"/>
  <c r="BG19" i="69" s="1"/>
  <c r="BH19" i="69" s="1"/>
  <c r="AZ20" i="69"/>
  <c r="BG20" i="69" s="1"/>
  <c r="BH20" i="69" s="1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17" i="69"/>
  <c r="BG17" i="69" s="1"/>
  <c r="BH17" i="69" s="1"/>
  <c r="Z18" i="69"/>
  <c r="N15" i="69" s="1"/>
  <c r="AA18" i="69"/>
  <c r="P18" i="69" s="1"/>
  <c r="Z19" i="69"/>
  <c r="AA19" i="69"/>
  <c r="P33" i="69" s="1"/>
  <c r="Z20" i="69"/>
  <c r="N39" i="69" s="1"/>
  <c r="AA20" i="69"/>
  <c r="P45" i="69" s="1"/>
  <c r="Z21" i="69"/>
  <c r="AA21" i="69"/>
  <c r="P57" i="69" s="1"/>
  <c r="Z22" i="69"/>
  <c r="N75" i="69" s="1"/>
  <c r="AA22" i="69"/>
  <c r="P69" i="69" s="1"/>
  <c r="Z23" i="69"/>
  <c r="AA23" i="69"/>
  <c r="P93" i="69" s="1"/>
  <c r="Z24" i="69"/>
  <c r="N99" i="69" s="1"/>
  <c r="AA24" i="69"/>
  <c r="P105" i="69" s="1"/>
  <c r="Z25" i="69"/>
  <c r="AA25" i="69"/>
  <c r="P117" i="69" s="1"/>
  <c r="Z26" i="69"/>
  <c r="AA26" i="69"/>
  <c r="AA17" i="69"/>
  <c r="Z17" i="69"/>
  <c r="N6" i="69" s="1"/>
  <c r="P96" i="69"/>
  <c r="P66" i="69"/>
  <c r="P24" i="69"/>
  <c r="P15" i="69"/>
  <c r="N123" i="69"/>
  <c r="N120" i="69"/>
  <c r="N117" i="69"/>
  <c r="N114" i="69"/>
  <c r="N111" i="69"/>
  <c r="N93" i="69"/>
  <c r="N90" i="69"/>
  <c r="N87" i="69"/>
  <c r="N84" i="69"/>
  <c r="N81" i="69"/>
  <c r="N63" i="69"/>
  <c r="N60" i="69"/>
  <c r="N57" i="69"/>
  <c r="N54" i="69"/>
  <c r="N51" i="69"/>
  <c r="N33" i="69"/>
  <c r="N30" i="69"/>
  <c r="N27" i="69"/>
  <c r="N24" i="69"/>
  <c r="N21" i="69"/>
  <c r="P9" i="69"/>
  <c r="P6" i="69"/>
  <c r="AC17" i="69"/>
  <c r="AD17" i="69"/>
  <c r="AE17" i="69"/>
  <c r="AC18" i="69"/>
  <c r="AD18" i="69"/>
  <c r="AE18" i="69"/>
  <c r="AC19" i="69"/>
  <c r="AD19" i="69"/>
  <c r="AE19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B18" i="69"/>
  <c r="AB19" i="69"/>
  <c r="AB20" i="69"/>
  <c r="AB21" i="69"/>
  <c r="AB22" i="69"/>
  <c r="AB23" i="69"/>
  <c r="AB24" i="69"/>
  <c r="AB25" i="69"/>
  <c r="AB26" i="69"/>
  <c r="AB17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C4" i="76"/>
  <c r="N102" i="69" l="1"/>
  <c r="P39" i="69"/>
  <c r="N48" i="69"/>
  <c r="P48" i="69"/>
  <c r="P78" i="69"/>
  <c r="P12" i="69"/>
  <c r="P36" i="69"/>
  <c r="P54" i="69"/>
  <c r="P87" i="69"/>
  <c r="P42" i="69"/>
  <c r="P72" i="69"/>
  <c r="P108" i="69"/>
  <c r="N72" i="69"/>
  <c r="P27" i="69"/>
  <c r="P60" i="69"/>
  <c r="P75" i="69"/>
  <c r="P90" i="69"/>
  <c r="P111" i="69"/>
  <c r="P30" i="69"/>
  <c r="P63" i="69"/>
  <c r="P120" i="69"/>
  <c r="P51" i="69"/>
  <c r="P84" i="69"/>
  <c r="P102" i="69"/>
  <c r="P123" i="69"/>
  <c r="N105" i="69"/>
  <c r="N12" i="69"/>
  <c r="N42" i="69"/>
  <c r="N66" i="69"/>
  <c r="N108" i="69"/>
  <c r="P99" i="69"/>
  <c r="P114" i="69"/>
  <c r="N36" i="69"/>
  <c r="N78" i="69"/>
  <c r="N18" i="69"/>
  <c r="N45" i="69"/>
  <c r="N69" i="69"/>
  <c r="N96" i="69"/>
  <c r="P21" i="69"/>
  <c r="P81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B18" i="76" s="1"/>
  <c r="D7" i="75" s="1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B17" i="76" s="1"/>
  <c r="D6" i="75" s="1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AD24" i="76"/>
  <c r="BK24" i="76" s="1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AB114" i="76"/>
  <c r="D103" i="75" s="1"/>
  <c r="BD110" i="76"/>
  <c r="AB110" i="76"/>
  <c r="D99" i="75" s="1"/>
  <c r="BD106" i="76"/>
  <c r="AB106" i="76"/>
  <c r="D95" i="75" s="1"/>
  <c r="BD102" i="76"/>
  <c r="AB102" i="76"/>
  <c r="D91" i="75" s="1"/>
  <c r="BD98" i="76"/>
  <c r="AB98" i="76"/>
  <c r="D87" i="75" s="1"/>
  <c r="BD94" i="76"/>
  <c r="AB94" i="76"/>
  <c r="D83" i="75" s="1"/>
  <c r="BD90" i="76"/>
  <c r="AB90" i="76"/>
  <c r="D79" i="75" s="1"/>
  <c r="BD86" i="76"/>
  <c r="AB86" i="76"/>
  <c r="D75" i="75" s="1"/>
  <c r="BD82" i="76"/>
  <c r="AB82" i="76"/>
  <c r="D71" i="75" s="1"/>
  <c r="BD78" i="76"/>
  <c r="AB78" i="76"/>
  <c r="D67" i="75" s="1"/>
  <c r="BD74" i="76"/>
  <c r="AB74" i="76"/>
  <c r="D63" i="75" s="1"/>
  <c r="BD70" i="76"/>
  <c r="AB70" i="76"/>
  <c r="D59" i="75" s="1"/>
  <c r="BD66" i="76"/>
  <c r="AB66" i="76"/>
  <c r="D55" i="75" s="1"/>
  <c r="BD62" i="76"/>
  <c r="AB62" i="76"/>
  <c r="D51" i="75" s="1"/>
  <c r="BD58" i="76"/>
  <c r="AB58" i="76"/>
  <c r="D47" i="75" s="1"/>
  <c r="BD54" i="76"/>
  <c r="AB54" i="76"/>
  <c r="D43" i="75" s="1"/>
  <c r="BD50" i="76"/>
  <c r="AB50" i="76"/>
  <c r="D39" i="75" s="1"/>
  <c r="BD46" i="76"/>
  <c r="AB46" i="76"/>
  <c r="D35" i="75" s="1"/>
  <c r="BD42" i="76"/>
  <c r="AB42" i="76"/>
  <c r="D31" i="75" s="1"/>
  <c r="BD38" i="76"/>
  <c r="AB38" i="76"/>
  <c r="D27" i="75" s="1"/>
  <c r="BD34" i="76"/>
  <c r="AB34" i="76"/>
  <c r="D23" i="75" s="1"/>
  <c r="BD30" i="76"/>
  <c r="AB30" i="76"/>
  <c r="D19" i="75" s="1"/>
  <c r="BD26" i="76"/>
  <c r="AB26" i="76"/>
  <c r="D15" i="75" s="1"/>
  <c r="BD22" i="76"/>
  <c r="AB22" i="76"/>
  <c r="D11" i="75" s="1"/>
  <c r="BD113" i="76"/>
  <c r="AB113" i="76"/>
  <c r="D102" i="75" s="1"/>
  <c r="BD109" i="76"/>
  <c r="AB109" i="76"/>
  <c r="D98" i="75" s="1"/>
  <c r="BD105" i="76"/>
  <c r="AB105" i="76"/>
  <c r="D94" i="75" s="1"/>
  <c r="BD101" i="76"/>
  <c r="AB101" i="76"/>
  <c r="D90" i="75" s="1"/>
  <c r="BD97" i="76"/>
  <c r="AB97" i="76"/>
  <c r="D86" i="75" s="1"/>
  <c r="BD93" i="76"/>
  <c r="AB93" i="76"/>
  <c r="D82" i="75" s="1"/>
  <c r="BD89" i="76"/>
  <c r="AB89" i="76"/>
  <c r="D78" i="75" s="1"/>
  <c r="BD85" i="76"/>
  <c r="AB85" i="76"/>
  <c r="D74" i="75" s="1"/>
  <c r="BD81" i="76"/>
  <c r="AB81" i="76"/>
  <c r="D70" i="75" s="1"/>
  <c r="BD77" i="76"/>
  <c r="AB77" i="76"/>
  <c r="D66" i="75" s="1"/>
  <c r="BD73" i="76"/>
  <c r="AB73" i="76"/>
  <c r="D62" i="75" s="1"/>
  <c r="BD69" i="76"/>
  <c r="AB69" i="76"/>
  <c r="D58" i="75" s="1"/>
  <c r="BD65" i="76"/>
  <c r="AB65" i="76"/>
  <c r="D54" i="75" s="1"/>
  <c r="BD61" i="76"/>
  <c r="AB61" i="76"/>
  <c r="D50" i="75" s="1"/>
  <c r="BD57" i="76"/>
  <c r="AB57" i="76"/>
  <c r="D46" i="75" s="1"/>
  <c r="BD53" i="76"/>
  <c r="AB53" i="76"/>
  <c r="D42" i="75" s="1"/>
  <c r="BD49" i="76"/>
  <c r="AB49" i="76"/>
  <c r="D38" i="75" s="1"/>
  <c r="BD45" i="76"/>
  <c r="AB45" i="76"/>
  <c r="D34" i="75" s="1"/>
  <c r="BD41" i="76"/>
  <c r="AB41" i="76"/>
  <c r="D30" i="75" s="1"/>
  <c r="BD37" i="76"/>
  <c r="AB37" i="76"/>
  <c r="D26" i="75" s="1"/>
  <c r="BD33" i="76"/>
  <c r="AB33" i="76"/>
  <c r="D22" i="75" s="1"/>
  <c r="BD29" i="76"/>
  <c r="AB29" i="76"/>
  <c r="D18" i="75" s="1"/>
  <c r="BD25" i="76"/>
  <c r="AB25" i="76"/>
  <c r="D14" i="75" s="1"/>
  <c r="BD21" i="76"/>
  <c r="AB21" i="76"/>
  <c r="D10" i="75" s="1"/>
  <c r="BD115" i="76"/>
  <c r="AB115" i="76"/>
  <c r="D104" i="75" s="1"/>
  <c r="BD111" i="76"/>
  <c r="AB111" i="76"/>
  <c r="D100" i="75" s="1"/>
  <c r="BD107" i="76"/>
  <c r="AB107" i="76"/>
  <c r="D96" i="75" s="1"/>
  <c r="BD103" i="76"/>
  <c r="AB103" i="76"/>
  <c r="D92" i="75" s="1"/>
  <c r="BD99" i="76"/>
  <c r="AB99" i="76"/>
  <c r="D88" i="75" s="1"/>
  <c r="BD95" i="76"/>
  <c r="AB95" i="76"/>
  <c r="D84" i="75" s="1"/>
  <c r="BD91" i="76"/>
  <c r="AB91" i="76"/>
  <c r="D80" i="75" s="1"/>
  <c r="BD87" i="76"/>
  <c r="AB87" i="76"/>
  <c r="D76" i="75" s="1"/>
  <c r="BD83" i="76"/>
  <c r="AB83" i="76"/>
  <c r="D72" i="75" s="1"/>
  <c r="BD79" i="76"/>
  <c r="AB79" i="76"/>
  <c r="D68" i="75" s="1"/>
  <c r="BD75" i="76"/>
  <c r="AB75" i="76"/>
  <c r="D64" i="75" s="1"/>
  <c r="BD71" i="76"/>
  <c r="AB71" i="76"/>
  <c r="D60" i="75" s="1"/>
  <c r="BD67" i="76"/>
  <c r="AB67" i="76"/>
  <c r="D56" i="75" s="1"/>
  <c r="BD63" i="76"/>
  <c r="AB63" i="76"/>
  <c r="D52" i="75" s="1"/>
  <c r="BD59" i="76"/>
  <c r="AB59" i="76"/>
  <c r="D48" i="75" s="1"/>
  <c r="BD55" i="76"/>
  <c r="AB55" i="76"/>
  <c r="D44" i="75" s="1"/>
  <c r="BD51" i="76"/>
  <c r="AB51" i="76"/>
  <c r="D40" i="75" s="1"/>
  <c r="BD47" i="76"/>
  <c r="AB47" i="76"/>
  <c r="D36" i="75" s="1"/>
  <c r="BD43" i="76"/>
  <c r="AB43" i="76"/>
  <c r="D32" i="75" s="1"/>
  <c r="BD39" i="76"/>
  <c r="AB39" i="76"/>
  <c r="D28" i="75" s="1"/>
  <c r="BD35" i="76"/>
  <c r="AB35" i="76"/>
  <c r="D24" i="75" s="1"/>
  <c r="BD31" i="76"/>
  <c r="AB31" i="76"/>
  <c r="D20" i="75" s="1"/>
  <c r="BD27" i="76"/>
  <c r="AB27" i="76"/>
  <c r="D16" i="75" s="1"/>
  <c r="BD23" i="76"/>
  <c r="AB23" i="76"/>
  <c r="D12" i="75" s="1"/>
  <c r="BD19" i="76"/>
  <c r="AB19" i="76"/>
  <c r="D8" i="75" s="1"/>
  <c r="BD116" i="76"/>
  <c r="AB116" i="76"/>
  <c r="D105" i="75" s="1"/>
  <c r="BD112" i="76"/>
  <c r="AB112" i="76"/>
  <c r="D101" i="75" s="1"/>
  <c r="BD108" i="76"/>
  <c r="AB108" i="76"/>
  <c r="D97" i="75" s="1"/>
  <c r="BD104" i="76"/>
  <c r="AB104" i="76"/>
  <c r="D93" i="75" s="1"/>
  <c r="BD100" i="76"/>
  <c r="AB100" i="76"/>
  <c r="D89" i="75" s="1"/>
  <c r="BD96" i="76"/>
  <c r="AB96" i="76"/>
  <c r="D85" i="75" s="1"/>
  <c r="BD92" i="76"/>
  <c r="AB92" i="76"/>
  <c r="D81" i="75" s="1"/>
  <c r="BD88" i="76"/>
  <c r="AB88" i="76"/>
  <c r="D77" i="75" s="1"/>
  <c r="BD84" i="76"/>
  <c r="AB84" i="76"/>
  <c r="D73" i="75" s="1"/>
  <c r="BD80" i="76"/>
  <c r="AB80" i="76"/>
  <c r="D69" i="75" s="1"/>
  <c r="BD76" i="76"/>
  <c r="AB76" i="76"/>
  <c r="D65" i="75" s="1"/>
  <c r="BD72" i="76"/>
  <c r="AB72" i="76"/>
  <c r="D61" i="75" s="1"/>
  <c r="BD68" i="76"/>
  <c r="AB68" i="76"/>
  <c r="D57" i="75" s="1"/>
  <c r="BD64" i="76"/>
  <c r="AB64" i="76"/>
  <c r="D53" i="75" s="1"/>
  <c r="BD60" i="76"/>
  <c r="AB60" i="76"/>
  <c r="D49" i="75" s="1"/>
  <c r="BD56" i="76"/>
  <c r="AB56" i="76"/>
  <c r="D45" i="75" s="1"/>
  <c r="BD52" i="76"/>
  <c r="AB52" i="76"/>
  <c r="D41" i="75" s="1"/>
  <c r="BD48" i="76"/>
  <c r="AB48" i="76"/>
  <c r="D37" i="75" s="1"/>
  <c r="BD44" i="76"/>
  <c r="AB44" i="76"/>
  <c r="D33" i="75" s="1"/>
  <c r="BD40" i="76"/>
  <c r="AB40" i="76"/>
  <c r="D29" i="75" s="1"/>
  <c r="BD36" i="76"/>
  <c r="AB36" i="76"/>
  <c r="D25" i="75" s="1"/>
  <c r="BD32" i="76"/>
  <c r="AB32" i="76"/>
  <c r="D21" i="75" s="1"/>
  <c r="BD28" i="76"/>
  <c r="AB28" i="76"/>
  <c r="D17" i="75" s="1"/>
  <c r="BD24" i="76"/>
  <c r="AB24" i="76"/>
  <c r="D13" i="75" s="1"/>
  <c r="BD20" i="76"/>
  <c r="AB20" i="76"/>
  <c r="D9" i="75" s="1"/>
  <c r="BK17" i="76"/>
  <c r="BD17" i="76"/>
  <c r="BK18" i="76"/>
  <c r="BD18" i="76"/>
  <c r="B1" i="76"/>
  <c r="D4" i="76" s="1"/>
  <c r="J4" i="76"/>
  <c r="F4" i="76" l="1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I19" i="65" l="1"/>
  <c r="AG19" i="65"/>
  <c r="AN5" i="65" l="1"/>
  <c r="AW5" i="65" s="1"/>
  <c r="AN6" i="65"/>
  <c r="AW6" i="65" s="1"/>
  <c r="AN7" i="65"/>
  <c r="AN8" i="65"/>
  <c r="AN9" i="65"/>
  <c r="AW9" i="65" s="1"/>
  <c r="AN10" i="65"/>
  <c r="AW10" i="65" s="1"/>
  <c r="AN11" i="65"/>
  <c r="AN12" i="65"/>
  <c r="AN13" i="65"/>
  <c r="AW13" i="65" s="1"/>
  <c r="AN14" i="65"/>
  <c r="AW14" i="65" s="1"/>
  <c r="AN15" i="65"/>
  <c r="AN16" i="65"/>
  <c r="AN17" i="65"/>
  <c r="AW17" i="65" s="1"/>
  <c r="AN18" i="65"/>
  <c r="AW18" i="65" s="1"/>
  <c r="AN19" i="65"/>
  <c r="AN20" i="65"/>
  <c r="AN21" i="65"/>
  <c r="AW21" i="65" s="1"/>
  <c r="AN22" i="65"/>
  <c r="AW22" i="65" s="1"/>
  <c r="AN23" i="65"/>
  <c r="AW23" i="65" s="1"/>
  <c r="AN24" i="65"/>
  <c r="AW24" i="65" s="1"/>
  <c r="AN25" i="65"/>
  <c r="AW25" i="65" s="1"/>
  <c r="AN26" i="65"/>
  <c r="AW26" i="65" s="1"/>
  <c r="AN27" i="65"/>
  <c r="AN28" i="65"/>
  <c r="AN29" i="65"/>
  <c r="AW29" i="65" s="1"/>
  <c r="AN30" i="65"/>
  <c r="AW30" i="65" s="1"/>
  <c r="AN31" i="65"/>
  <c r="AN32" i="65"/>
  <c r="AN33" i="65"/>
  <c r="AW33" i="65" s="1"/>
  <c r="AN4" i="65"/>
  <c r="AW4" i="65" s="1"/>
  <c r="AW7" i="65"/>
  <c r="AW8" i="65"/>
  <c r="AW11" i="65"/>
  <c r="AW12" i="65"/>
  <c r="AW15" i="65"/>
  <c r="AW16" i="65"/>
  <c r="AW19" i="65"/>
  <c r="AW20" i="65"/>
  <c r="AW27" i="65"/>
  <c r="AW28" i="65"/>
  <c r="AW31" i="65"/>
  <c r="AW32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E7" i="75" l="1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E55" i="75"/>
  <c r="E56" i="75"/>
  <c r="E57" i="75"/>
  <c r="E58" i="75"/>
  <c r="E59" i="75"/>
  <c r="E60" i="75"/>
  <c r="E61" i="75"/>
  <c r="E62" i="75"/>
  <c r="E63" i="75"/>
  <c r="E64" i="75"/>
  <c r="E65" i="75"/>
  <c r="E66" i="75"/>
  <c r="E67" i="75"/>
  <c r="E68" i="75"/>
  <c r="E69" i="75"/>
  <c r="E70" i="75"/>
  <c r="E71" i="75"/>
  <c r="E72" i="75"/>
  <c r="E73" i="75"/>
  <c r="E74" i="75"/>
  <c r="E75" i="75"/>
  <c r="E76" i="75"/>
  <c r="E77" i="75"/>
  <c r="E78" i="75"/>
  <c r="E79" i="75"/>
  <c r="E80" i="75"/>
  <c r="E81" i="75"/>
  <c r="E82" i="75"/>
  <c r="E83" i="75"/>
  <c r="E84" i="75"/>
  <c r="E85" i="75"/>
  <c r="E86" i="75"/>
  <c r="E87" i="75"/>
  <c r="E88" i="75"/>
  <c r="E89" i="75"/>
  <c r="E90" i="75"/>
  <c r="E91" i="75"/>
  <c r="E92" i="75"/>
  <c r="E93" i="75"/>
  <c r="E94" i="75"/>
  <c r="E95" i="75"/>
  <c r="E96" i="75"/>
  <c r="E97" i="75"/>
  <c r="E98" i="75"/>
  <c r="E99" i="75"/>
  <c r="E100" i="75"/>
  <c r="E101" i="75"/>
  <c r="E102" i="75"/>
  <c r="E103" i="75"/>
  <c r="E104" i="75"/>
  <c r="E105" i="75"/>
  <c r="E6" i="75"/>
  <c r="W4" i="65"/>
  <c r="X103" i="65"/>
  <c r="Y103" i="65"/>
  <c r="X94" i="65"/>
  <c r="Y94" i="65"/>
  <c r="X95" i="65"/>
  <c r="Y95" i="65"/>
  <c r="X96" i="65"/>
  <c r="Y96" i="65"/>
  <c r="X97" i="65"/>
  <c r="Y97" i="65"/>
  <c r="X98" i="65"/>
  <c r="Y98" i="65"/>
  <c r="X99" i="65"/>
  <c r="Y99" i="65"/>
  <c r="X100" i="65"/>
  <c r="Y100" i="65"/>
  <c r="X101" i="65"/>
  <c r="Y101" i="65"/>
  <c r="X102" i="65"/>
  <c r="Y102" i="65"/>
  <c r="W94" i="65"/>
  <c r="W95" i="65"/>
  <c r="W96" i="65"/>
  <c r="W97" i="65"/>
  <c r="W98" i="65"/>
  <c r="W99" i="65"/>
  <c r="W100" i="65"/>
  <c r="W101" i="65"/>
  <c r="W102" i="65"/>
  <c r="W103" i="65"/>
  <c r="B6" i="75"/>
  <c r="I102" i="75" l="1"/>
  <c r="AX26" i="65" s="1"/>
  <c r="I90" i="75"/>
  <c r="I78" i="75"/>
  <c r="I66" i="75"/>
  <c r="AX11" i="65" s="1"/>
  <c r="AY11" i="65" s="1"/>
  <c r="I54" i="75"/>
  <c r="AX9" i="65" s="1"/>
  <c r="AY9" i="65" s="1"/>
  <c r="I42" i="75"/>
  <c r="I30" i="75"/>
  <c r="I18" i="75"/>
  <c r="I101" i="75"/>
  <c r="I89" i="75"/>
  <c r="BC17" i="65" s="1"/>
  <c r="I77" i="75"/>
  <c r="BC13" i="65" s="1"/>
  <c r="BD13" i="65" s="1"/>
  <c r="I65" i="75"/>
  <c r="I53" i="75"/>
  <c r="I41" i="75"/>
  <c r="I29" i="75"/>
  <c r="BC5" i="65" s="1"/>
  <c r="BD5" i="65" s="1"/>
  <c r="I17" i="75"/>
  <c r="I100" i="75"/>
  <c r="AX25" i="65" s="1"/>
  <c r="I88" i="75"/>
  <c r="I76" i="75"/>
  <c r="I64" i="75"/>
  <c r="I52" i="75"/>
  <c r="I40" i="75"/>
  <c r="I28" i="75"/>
  <c r="I16" i="75"/>
  <c r="I99" i="75"/>
  <c r="BC24" i="65" s="1"/>
  <c r="I87" i="75"/>
  <c r="AX16" i="65" s="1"/>
  <c r="I75" i="75"/>
  <c r="I63" i="75"/>
  <c r="I51" i="75"/>
  <c r="I39" i="75"/>
  <c r="AX7" i="65" s="1"/>
  <c r="AY7" i="65" s="1"/>
  <c r="I27" i="75"/>
  <c r="I15" i="75"/>
  <c r="I98" i="75"/>
  <c r="BC23" i="65" s="1"/>
  <c r="I86" i="75"/>
  <c r="I74" i="75"/>
  <c r="I62" i="75"/>
  <c r="I50" i="75"/>
  <c r="I38" i="75"/>
  <c r="I26" i="75"/>
  <c r="I14" i="75"/>
  <c r="I97" i="75"/>
  <c r="AX22" i="65" s="1"/>
  <c r="I85" i="75"/>
  <c r="AX15" i="65" s="1"/>
  <c r="I73" i="75"/>
  <c r="I61" i="75"/>
  <c r="I49" i="75"/>
  <c r="I37" i="75"/>
  <c r="I25" i="75"/>
  <c r="I13" i="75"/>
  <c r="I96" i="75"/>
  <c r="AX21" i="65" s="1"/>
  <c r="I84" i="75"/>
  <c r="I72" i="75"/>
  <c r="BC12" i="65" s="1"/>
  <c r="BD12" i="65" s="1"/>
  <c r="I60" i="75"/>
  <c r="AX10" i="65" s="1"/>
  <c r="AY10" i="65" s="1"/>
  <c r="I48" i="75"/>
  <c r="BC8" i="65" s="1"/>
  <c r="BD8" i="65" s="1"/>
  <c r="I36" i="75"/>
  <c r="I24" i="75"/>
  <c r="BC4" i="65" s="1"/>
  <c r="BD4" i="65" s="1"/>
  <c r="I12" i="75"/>
  <c r="I95" i="75"/>
  <c r="AX20" i="65" s="1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AX6" i="65" s="1"/>
  <c r="AY6" i="65" s="1"/>
  <c r="I22" i="75"/>
  <c r="I10" i="75"/>
  <c r="I105" i="75"/>
  <c r="BC33" i="65" s="1"/>
  <c r="I93" i="75"/>
  <c r="BC19" i="65" s="1"/>
  <c r="I81" i="75"/>
  <c r="BC14" i="65" s="1"/>
  <c r="BD14" i="65" s="1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BC18" i="65" s="1"/>
  <c r="I79" i="75"/>
  <c r="I67" i="75"/>
  <c r="I55" i="75"/>
  <c r="I43" i="75"/>
  <c r="I31" i="75"/>
  <c r="I19" i="75"/>
  <c r="I7" i="75"/>
  <c r="BC26" i="65"/>
  <c r="BC29" i="65"/>
  <c r="AX31" i="65"/>
  <c r="AX24" i="65"/>
  <c r="C6" i="75"/>
  <c r="AX8" i="65" l="1"/>
  <c r="AY8" i="65" s="1"/>
  <c r="BC25" i="65"/>
  <c r="BC22" i="65"/>
  <c r="BC15" i="65"/>
  <c r="BC7" i="65"/>
  <c r="BD7" i="65" s="1"/>
  <c r="BE7" i="65" s="1"/>
  <c r="BC20" i="65"/>
  <c r="BC27" i="65"/>
  <c r="AX33" i="65"/>
  <c r="AX19" i="65"/>
  <c r="AX32" i="65"/>
  <c r="AX18" i="65"/>
  <c r="BC9" i="65"/>
  <c r="BD9" i="65" s="1"/>
  <c r="BE9" i="65" s="1"/>
  <c r="BC32" i="65"/>
  <c r="BC28" i="65"/>
  <c r="AX4" i="65"/>
  <c r="AY4" i="65" s="1"/>
  <c r="BB4" i="65" s="1"/>
  <c r="BC21" i="65"/>
  <c r="AX23" i="65"/>
  <c r="BC10" i="65"/>
  <c r="BD10" i="65" s="1"/>
  <c r="BE10" i="65" s="1"/>
  <c r="AX14" i="65"/>
  <c r="AY14" i="65" s="1"/>
  <c r="BB14" i="65" s="1"/>
  <c r="BC11" i="65"/>
  <c r="BD11" i="65" s="1"/>
  <c r="BF11" i="65" s="1"/>
  <c r="AX12" i="65"/>
  <c r="AY12" i="65" s="1"/>
  <c r="BB12" i="65" s="1"/>
  <c r="AX5" i="65"/>
  <c r="AY5" i="65" s="1"/>
  <c r="BA5" i="65" s="1"/>
  <c r="BC16" i="65"/>
  <c r="BC6" i="65"/>
  <c r="BD6" i="65" s="1"/>
  <c r="BF6" i="65" s="1"/>
  <c r="AX29" i="65"/>
  <c r="AX28" i="65"/>
  <c r="AX27" i="65"/>
  <c r="AX30" i="65"/>
  <c r="BC31" i="65"/>
  <c r="BC30" i="65"/>
  <c r="BE13" i="65"/>
  <c r="BF13" i="65"/>
  <c r="BG13" i="65"/>
  <c r="BE12" i="65"/>
  <c r="BF12" i="65"/>
  <c r="BG12" i="65"/>
  <c r="BG14" i="65"/>
  <c r="BE14" i="65"/>
  <c r="BF14" i="65"/>
  <c r="BE6" i="65"/>
  <c r="BG4" i="65"/>
  <c r="BF4" i="65"/>
  <c r="BE4" i="65"/>
  <c r="BF8" i="65"/>
  <c r="BE8" i="65"/>
  <c r="BG8" i="65"/>
  <c r="AX17" i="65"/>
  <c r="BE5" i="65"/>
  <c r="BF5" i="65"/>
  <c r="BG5" i="65"/>
  <c r="AX13" i="65"/>
  <c r="AY13" i="65" s="1"/>
  <c r="AZ13" i="65" s="1"/>
  <c r="BB6" i="65"/>
  <c r="AZ6" i="65"/>
  <c r="BA6" i="65"/>
  <c r="BB9" i="65"/>
  <c r="AZ9" i="65"/>
  <c r="BA9" i="65"/>
  <c r="BA7" i="65"/>
  <c r="BB7" i="65"/>
  <c r="AZ7" i="65"/>
  <c r="BB8" i="65"/>
  <c r="AZ8" i="65"/>
  <c r="BA8" i="65"/>
  <c r="BA11" i="65"/>
  <c r="BB11" i="65"/>
  <c r="AZ11" i="65"/>
  <c r="BA10" i="65"/>
  <c r="BB10" i="65"/>
  <c r="AZ10" i="65"/>
  <c r="N6" i="75"/>
  <c r="O6" i="75"/>
  <c r="P6" i="75"/>
  <c r="Q6" i="75"/>
  <c r="BG7" i="65" l="1"/>
  <c r="AZ12" i="65"/>
  <c r="BA12" i="65"/>
  <c r="BF7" i="65"/>
  <c r="AY15" i="65"/>
  <c r="AZ15" i="65" s="1"/>
  <c r="BG9" i="65"/>
  <c r="BF9" i="65"/>
  <c r="BA14" i="65"/>
  <c r="BA4" i="65"/>
  <c r="BB13" i="65"/>
  <c r="BD15" i="65"/>
  <c r="BG15" i="65" s="1"/>
  <c r="AZ5" i="65"/>
  <c r="BG10" i="65"/>
  <c r="BB5" i="65"/>
  <c r="BF10" i="65"/>
  <c r="BE11" i="65"/>
  <c r="AZ14" i="65"/>
  <c r="AZ4" i="65"/>
  <c r="BG11" i="65"/>
  <c r="BA13" i="65"/>
  <c r="BG6" i="65"/>
  <c r="BB15" i="65" l="1"/>
  <c r="BE15" i="65"/>
  <c r="BA15" i="65"/>
  <c r="AY16" i="65"/>
  <c r="AY17" i="65" s="1"/>
  <c r="BF15" i="65"/>
  <c r="BD16" i="65"/>
  <c r="BD17" i="65" s="1"/>
  <c r="BB16" i="65" l="1"/>
  <c r="BA16" i="65"/>
  <c r="AZ16" i="65"/>
  <c r="BG16" i="65"/>
  <c r="BF16" i="65"/>
  <c r="BE16" i="65"/>
  <c r="BD18" i="65"/>
  <c r="BE17" i="65"/>
  <c r="BF17" i="65"/>
  <c r="BG17" i="65"/>
  <c r="BB17" i="65"/>
  <c r="AZ17" i="65"/>
  <c r="BA17" i="65"/>
  <c r="AY18" i="65"/>
  <c r="BD19" i="65" l="1"/>
  <c r="BF18" i="65"/>
  <c r="BE18" i="65"/>
  <c r="BG18" i="65"/>
  <c r="BB18" i="65"/>
  <c r="AZ18" i="65"/>
  <c r="BA18" i="65"/>
  <c r="AY19" i="65"/>
  <c r="BD20" i="65" l="1"/>
  <c r="BF19" i="65"/>
  <c r="BG19" i="65"/>
  <c r="BE19" i="65"/>
  <c r="AY20" i="65"/>
  <c r="BA19" i="65"/>
  <c r="BB19" i="65"/>
  <c r="AZ19" i="65"/>
  <c r="BD21" i="65" l="1"/>
  <c r="BG20" i="65"/>
  <c r="BF20" i="65"/>
  <c r="BE20" i="65"/>
  <c r="AY21" i="65"/>
  <c r="BB20" i="65"/>
  <c r="BA20" i="65"/>
  <c r="AZ20" i="65"/>
  <c r="C20" i="74"/>
  <c r="C21" i="74"/>
  <c r="C22" i="74"/>
  <c r="C23" i="74"/>
  <c r="C24" i="74"/>
  <c r="C25" i="74"/>
  <c r="C26" i="74"/>
  <c r="C27" i="74"/>
  <c r="C28" i="74"/>
  <c r="C29" i="74"/>
  <c r="C30" i="74"/>
  <c r="C31" i="74"/>
  <c r="C32" i="74"/>
  <c r="C19" i="74"/>
  <c r="C33" i="74" s="1"/>
  <c r="H38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19" i="74"/>
  <c r="BD22" i="65" l="1"/>
  <c r="BE21" i="65"/>
  <c r="BF21" i="65"/>
  <c r="BG21" i="65"/>
  <c r="AY22" i="65"/>
  <c r="BB21" i="65"/>
  <c r="AZ21" i="65"/>
  <c r="BA21" i="65"/>
  <c r="F8" i="74"/>
  <c r="G8" i="74"/>
  <c r="E8" i="74"/>
  <c r="B8" i="74"/>
  <c r="C8" i="74"/>
  <c r="A8" i="74"/>
  <c r="B3" i="74"/>
  <c r="D3" i="74"/>
  <c r="E3" i="74"/>
  <c r="F3" i="74"/>
  <c r="G3" i="74"/>
  <c r="C3" i="74"/>
  <c r="BD23" i="65" l="1"/>
  <c r="BF22" i="65"/>
  <c r="BG22" i="65"/>
  <c r="BE22" i="65"/>
  <c r="AY23" i="65"/>
  <c r="BA22" i="65"/>
  <c r="BB22" i="65"/>
  <c r="AZ22" i="65"/>
  <c r="X40" i="73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BD24" i="65"/>
  <c r="BG23" i="65"/>
  <c r="BF23" i="65"/>
  <c r="BE23" i="65"/>
  <c r="AY24" i="65"/>
  <c r="BA23" i="65"/>
  <c r="BB23" i="65"/>
  <c r="AZ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D25" i="65" l="1"/>
  <c r="BE24" i="65"/>
  <c r="BG24" i="65"/>
  <c r="BF24" i="65"/>
  <c r="AY25" i="65"/>
  <c r="BA24" i="65"/>
  <c r="AZ24" i="65"/>
  <c r="BB24" i="65"/>
  <c r="BD26" i="65" l="1"/>
  <c r="BE25" i="65"/>
  <c r="BF25" i="65"/>
  <c r="BG25" i="65"/>
  <c r="AY26" i="65"/>
  <c r="BB25" i="65"/>
  <c r="AZ25" i="65"/>
  <c r="BA25" i="65"/>
  <c r="BD27" i="65" l="1"/>
  <c r="BG26" i="65"/>
  <c r="BF26" i="65"/>
  <c r="BE26" i="65"/>
  <c r="AY27" i="65"/>
  <c r="BB26" i="65"/>
  <c r="AZ26" i="65"/>
  <c r="BA26" i="65"/>
  <c r="BD28" i="65" l="1"/>
  <c r="BG27" i="65"/>
  <c r="BE27" i="65"/>
  <c r="BF27" i="65"/>
  <c r="AY28" i="65"/>
  <c r="BA27" i="65"/>
  <c r="BB27" i="65"/>
  <c r="AZ27" i="65"/>
  <c r="BD29" i="65" l="1"/>
  <c r="BG28" i="65"/>
  <c r="BE28" i="65"/>
  <c r="BF28" i="65"/>
  <c r="AY29" i="65"/>
  <c r="BB28" i="65"/>
  <c r="AZ28" i="65"/>
  <c r="BA28" i="65"/>
  <c r="B108" i="71"/>
  <c r="BD30" i="65" l="1"/>
  <c r="BE29" i="65"/>
  <c r="BF29" i="65"/>
  <c r="BG29" i="65"/>
  <c r="AY30" i="65"/>
  <c r="BB29" i="65"/>
  <c r="AZ29" i="65"/>
  <c r="BA29" i="65"/>
  <c r="BD31" i="65" l="1"/>
  <c r="BF30" i="65"/>
  <c r="BG30" i="65"/>
  <c r="BE30" i="65"/>
  <c r="AY31" i="65"/>
  <c r="BB30" i="65"/>
  <c r="AZ30" i="65"/>
  <c r="BA30" i="65"/>
  <c r="BD32" i="65" l="1"/>
  <c r="BE31" i="65"/>
  <c r="BG31" i="65"/>
  <c r="BF31" i="65"/>
  <c r="AY32" i="65"/>
  <c r="BA31" i="65"/>
  <c r="BB31" i="65"/>
  <c r="AZ31" i="65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BD33" i="65" l="1"/>
  <c r="BF32" i="65"/>
  <c r="BE32" i="65"/>
  <c r="BG32" i="65"/>
  <c r="AY33" i="65"/>
  <c r="BA32" i="65"/>
  <c r="BB32" i="65"/>
  <c r="AZ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C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T332" i="71" l="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BE33" i="65"/>
  <c r="BF33" i="65"/>
  <c r="BG33" i="65"/>
  <c r="Y128" i="71"/>
  <c r="Z128" i="71" s="1"/>
  <c r="AB128" i="71" s="1"/>
  <c r="Y131" i="71"/>
  <c r="Z131" i="71" s="1"/>
  <c r="AB131" i="71" s="1"/>
  <c r="Y129" i="71"/>
  <c r="Z129" i="71" s="1"/>
  <c r="AB129" i="71" s="1"/>
  <c r="Y132" i="71"/>
  <c r="Z132" i="71" s="1"/>
  <c r="AB132" i="71" s="1"/>
  <c r="Y130" i="71"/>
  <c r="Z130" i="71" s="1"/>
  <c r="AB130" i="71" s="1"/>
  <c r="Y69" i="71"/>
  <c r="Z69" i="71" s="1"/>
  <c r="AB69" i="71" s="1"/>
  <c r="Y70" i="71"/>
  <c r="Z70" i="71" s="1"/>
  <c r="AB70" i="71" s="1"/>
  <c r="Y68" i="71"/>
  <c r="Z68" i="71" s="1"/>
  <c r="AB68" i="71" s="1"/>
  <c r="Y71" i="71"/>
  <c r="Z71" i="71" s="1"/>
  <c r="AB71" i="71" s="1"/>
  <c r="Y72" i="71"/>
  <c r="Z72" i="71" s="1"/>
  <c r="AB72" i="71" s="1"/>
  <c r="Y175" i="71"/>
  <c r="Z175" i="71" s="1"/>
  <c r="AB175" i="71" s="1"/>
  <c r="Y173" i="71"/>
  <c r="Z173" i="71" s="1"/>
  <c r="AB173" i="71" s="1"/>
  <c r="Y176" i="71"/>
  <c r="Z176" i="71" s="1"/>
  <c r="AB176" i="71" s="1"/>
  <c r="Y177" i="71"/>
  <c r="Z177" i="71" s="1"/>
  <c r="AB177" i="71" s="1"/>
  <c r="Y174" i="71"/>
  <c r="Z174" i="71" s="1"/>
  <c r="AB174" i="71" s="1"/>
  <c r="Y155" i="71"/>
  <c r="Z155" i="71" s="1"/>
  <c r="AB155" i="71" s="1"/>
  <c r="Y153" i="71"/>
  <c r="Z153" i="71" s="1"/>
  <c r="AB153" i="71" s="1"/>
  <c r="Y156" i="71"/>
  <c r="Z156" i="71" s="1"/>
  <c r="AB156" i="71" s="1"/>
  <c r="Y157" i="71"/>
  <c r="Z157" i="71" s="1"/>
  <c r="AB157" i="71" s="1"/>
  <c r="Y154" i="71"/>
  <c r="Z154" i="71" s="1"/>
  <c r="AB154" i="71" s="1"/>
  <c r="Y133" i="71"/>
  <c r="Z133" i="71" s="1"/>
  <c r="AB133" i="71" s="1"/>
  <c r="Y136" i="71"/>
  <c r="Z136" i="71" s="1"/>
  <c r="AB136" i="71" s="1"/>
  <c r="Y134" i="71"/>
  <c r="Z134" i="71" s="1"/>
  <c r="AB134" i="71" s="1"/>
  <c r="Y137" i="71"/>
  <c r="Z137" i="71" s="1"/>
  <c r="AB137" i="71" s="1"/>
  <c r="Y135" i="71"/>
  <c r="Z135" i="71" s="1"/>
  <c r="AB135" i="71" s="1"/>
  <c r="Y117" i="71"/>
  <c r="Z117" i="71" s="1"/>
  <c r="AB117" i="71" s="1"/>
  <c r="Y115" i="71"/>
  <c r="Z115" i="71" s="1"/>
  <c r="AB115" i="71" s="1"/>
  <c r="Y113" i="71"/>
  <c r="Z113" i="71" s="1"/>
  <c r="AB113" i="71" s="1"/>
  <c r="Y116" i="71"/>
  <c r="Z116" i="71" s="1"/>
  <c r="AB116" i="71" s="1"/>
  <c r="Y114" i="71"/>
  <c r="Z114" i="71" s="1"/>
  <c r="AB114" i="71" s="1"/>
  <c r="Y95" i="71"/>
  <c r="Z95" i="71" s="1"/>
  <c r="AB95" i="71" s="1"/>
  <c r="Y96" i="71"/>
  <c r="Z96" i="71" s="1"/>
  <c r="AB96" i="71" s="1"/>
  <c r="Y93" i="71"/>
  <c r="Z93" i="71" s="1"/>
  <c r="AB93" i="71" s="1"/>
  <c r="Y97" i="71"/>
  <c r="Z97" i="71" s="1"/>
  <c r="AB97" i="71" s="1"/>
  <c r="Y94" i="71"/>
  <c r="Z94" i="71" s="1"/>
  <c r="AB94" i="71" s="1"/>
  <c r="Y73" i="71"/>
  <c r="Z73" i="71" s="1"/>
  <c r="AB73" i="71" s="1"/>
  <c r="Y76" i="71"/>
  <c r="Z76" i="71" s="1"/>
  <c r="AB76" i="71" s="1"/>
  <c r="Y74" i="71"/>
  <c r="Z74" i="71" s="1"/>
  <c r="AB74" i="71" s="1"/>
  <c r="Y77" i="71"/>
  <c r="Z77" i="71" s="1"/>
  <c r="AB77" i="71" s="1"/>
  <c r="Y75" i="71"/>
  <c r="Z75" i="71" s="1"/>
  <c r="AB75" i="71" s="1"/>
  <c r="Y53" i="71"/>
  <c r="Z53" i="71" s="1"/>
  <c r="AB53" i="71" s="1"/>
  <c r="Y57" i="71"/>
  <c r="Z57" i="71" s="1"/>
  <c r="AB57" i="71" s="1"/>
  <c r="Y54" i="71"/>
  <c r="Z54" i="71" s="1"/>
  <c r="AB54" i="71" s="1"/>
  <c r="Y55" i="71"/>
  <c r="Z55" i="71" s="1"/>
  <c r="AB55" i="71" s="1"/>
  <c r="Y56" i="71"/>
  <c r="Z56" i="71" s="1"/>
  <c r="AB56" i="71" s="1"/>
  <c r="Y37" i="71"/>
  <c r="Z37" i="71" s="1"/>
  <c r="AB37" i="71" s="1"/>
  <c r="Y35" i="71"/>
  <c r="Z35" i="71" s="1"/>
  <c r="AB35" i="71" s="1"/>
  <c r="Y33" i="71"/>
  <c r="Z33" i="71" s="1"/>
  <c r="AB33" i="71" s="1"/>
  <c r="Y36" i="71"/>
  <c r="Z36" i="71" s="1"/>
  <c r="AB36" i="71" s="1"/>
  <c r="Y34" i="71"/>
  <c r="Z34" i="71" s="1"/>
  <c r="AB34" i="71" s="1"/>
  <c r="Y188" i="71"/>
  <c r="Z188" i="71" s="1"/>
  <c r="AB188" i="71" s="1"/>
  <c r="Y189" i="71"/>
  <c r="Z189" i="71" s="1"/>
  <c r="AB189" i="71" s="1"/>
  <c r="Y190" i="71"/>
  <c r="Z190" i="71" s="1"/>
  <c r="AB190" i="71" s="1"/>
  <c r="Y191" i="71"/>
  <c r="Z191" i="71" s="1"/>
  <c r="AB191" i="71" s="1"/>
  <c r="Y192" i="71"/>
  <c r="Z192" i="71" s="1"/>
  <c r="AB192" i="71" s="1"/>
  <c r="Y21" i="71"/>
  <c r="Z21" i="71" s="1"/>
  <c r="AB21" i="71" s="1"/>
  <c r="Y19" i="71"/>
  <c r="Z19" i="71" s="1"/>
  <c r="AB19" i="71" s="1"/>
  <c r="Y22" i="71"/>
  <c r="Z22" i="71" s="1"/>
  <c r="AB22" i="71" s="1"/>
  <c r="Y20" i="71"/>
  <c r="Z20" i="71" s="1"/>
  <c r="AB20" i="71" s="1"/>
  <c r="Y18" i="71"/>
  <c r="Z18" i="71" s="1"/>
  <c r="AB18" i="71" s="1"/>
  <c r="Y171" i="71"/>
  <c r="Z171" i="71" s="1"/>
  <c r="AB171" i="71" s="1"/>
  <c r="Y169" i="71"/>
  <c r="Z169" i="71" s="1"/>
  <c r="AB169" i="71" s="1"/>
  <c r="Y172" i="71"/>
  <c r="Z172" i="71" s="1"/>
  <c r="AB172" i="71" s="1"/>
  <c r="Y168" i="71"/>
  <c r="Z168" i="71" s="1"/>
  <c r="AB168" i="71" s="1"/>
  <c r="Y170" i="71"/>
  <c r="Z170" i="71" s="1"/>
  <c r="AB170" i="71" s="1"/>
  <c r="Y149" i="71"/>
  <c r="Z149" i="71" s="1"/>
  <c r="AB149" i="71" s="1"/>
  <c r="Y152" i="71"/>
  <c r="Z152" i="71" s="1"/>
  <c r="AB152" i="71" s="1"/>
  <c r="Y150" i="71"/>
  <c r="Z150" i="71" s="1"/>
  <c r="AB150" i="71" s="1"/>
  <c r="Y148" i="71"/>
  <c r="Z148" i="71" s="1"/>
  <c r="AB148" i="71" s="1"/>
  <c r="Y151" i="71"/>
  <c r="Z151" i="71" s="1"/>
  <c r="AB151" i="71" s="1"/>
  <c r="Y48" i="71"/>
  <c r="Z48" i="71" s="1"/>
  <c r="AB48" i="71" s="1"/>
  <c r="Y51" i="71"/>
  <c r="Z51" i="71" s="1"/>
  <c r="AB51" i="71" s="1"/>
  <c r="Y49" i="71"/>
  <c r="Z49" i="71" s="1"/>
  <c r="AB49" i="71" s="1"/>
  <c r="Y52" i="71"/>
  <c r="Z52" i="71" s="1"/>
  <c r="AB52" i="71" s="1"/>
  <c r="Y50" i="71"/>
  <c r="Z50" i="71" s="1"/>
  <c r="AB50" i="71" s="1"/>
  <c r="Y28" i="71"/>
  <c r="Z28" i="71" s="1"/>
  <c r="AB28" i="71" s="1"/>
  <c r="Y31" i="71"/>
  <c r="Z31" i="71" s="1"/>
  <c r="AB31" i="71" s="1"/>
  <c r="Y32" i="71"/>
  <c r="Z32" i="71" s="1"/>
  <c r="AB32" i="71" s="1"/>
  <c r="Y29" i="71"/>
  <c r="Z29" i="71" s="1"/>
  <c r="AB29" i="71" s="1"/>
  <c r="Y30" i="71"/>
  <c r="Z30" i="71" s="1"/>
  <c r="AB30" i="71" s="1"/>
  <c r="Y158" i="71"/>
  <c r="Z158" i="71" s="1"/>
  <c r="AB158" i="71" s="1"/>
  <c r="Y162" i="71"/>
  <c r="Z162" i="71" s="1"/>
  <c r="AB162" i="71" s="1"/>
  <c r="Y159" i="71"/>
  <c r="Z159" i="71" s="1"/>
  <c r="AB159" i="71" s="1"/>
  <c r="Y160" i="71"/>
  <c r="Z160" i="71" s="1"/>
  <c r="AB160" i="71" s="1"/>
  <c r="Y161" i="71"/>
  <c r="Z161" i="71" s="1"/>
  <c r="AB161" i="71" s="1"/>
  <c r="Y139" i="71"/>
  <c r="Z139" i="71" s="1"/>
  <c r="AB139" i="71" s="1"/>
  <c r="Y142" i="71"/>
  <c r="Z142" i="71" s="1"/>
  <c r="AB142" i="71" s="1"/>
  <c r="Y140" i="71"/>
  <c r="Z140" i="71" s="1"/>
  <c r="AB140" i="71" s="1"/>
  <c r="Y138" i="71"/>
  <c r="Z138" i="71" s="1"/>
  <c r="AB138" i="71" s="1"/>
  <c r="Y141" i="71"/>
  <c r="Z141" i="71" s="1"/>
  <c r="AB141" i="71" s="1"/>
  <c r="Y121" i="71"/>
  <c r="Z121" i="71" s="1"/>
  <c r="AB121" i="71" s="1"/>
  <c r="Y118" i="71"/>
  <c r="Z118" i="71" s="1"/>
  <c r="AB118" i="71" s="1"/>
  <c r="Y122" i="71"/>
  <c r="Z122" i="71" s="1"/>
  <c r="AB122" i="71" s="1"/>
  <c r="Y119" i="71"/>
  <c r="Z119" i="71" s="1"/>
  <c r="AB119" i="71" s="1"/>
  <c r="Y120" i="71"/>
  <c r="Z120" i="71" s="1"/>
  <c r="AB120" i="71" s="1"/>
  <c r="Y101" i="71"/>
  <c r="Z101" i="71" s="1"/>
  <c r="AB101" i="71" s="1"/>
  <c r="Y99" i="71"/>
  <c r="Z99" i="71" s="1"/>
  <c r="AB99" i="71" s="1"/>
  <c r="Y102" i="71"/>
  <c r="Z102" i="71" s="1"/>
  <c r="AB102" i="71" s="1"/>
  <c r="Y100" i="71"/>
  <c r="Z100" i="71" s="1"/>
  <c r="AB100" i="71" s="1"/>
  <c r="Y98" i="71"/>
  <c r="Z98" i="71" s="1"/>
  <c r="AB98" i="71" s="1"/>
  <c r="Y79" i="71"/>
  <c r="Z79" i="71" s="1"/>
  <c r="AB79" i="71" s="1"/>
  <c r="Y80" i="71"/>
  <c r="Z80" i="71" s="1"/>
  <c r="AB80" i="71" s="1"/>
  <c r="Y81" i="71"/>
  <c r="Z81" i="71" s="1"/>
  <c r="AB81" i="71" s="1"/>
  <c r="Y78" i="71"/>
  <c r="Z78" i="71" s="1"/>
  <c r="AB78" i="71" s="1"/>
  <c r="Y82" i="71"/>
  <c r="Z82" i="71" s="1"/>
  <c r="AB82" i="71" s="1"/>
  <c r="Y60" i="71"/>
  <c r="Z60" i="71" s="1"/>
  <c r="AB60" i="71" s="1"/>
  <c r="Y58" i="71"/>
  <c r="Z58" i="71" s="1"/>
  <c r="AB58" i="71" s="1"/>
  <c r="Y61" i="71"/>
  <c r="Z61" i="71" s="1"/>
  <c r="AB61" i="71" s="1"/>
  <c r="Y62" i="71"/>
  <c r="Z62" i="71" s="1"/>
  <c r="AB62" i="71" s="1"/>
  <c r="Y59" i="71"/>
  <c r="Z59" i="71" s="1"/>
  <c r="AB59" i="71" s="1"/>
  <c r="Y41" i="71"/>
  <c r="Z41" i="71" s="1"/>
  <c r="AB41" i="71" s="1"/>
  <c r="Y38" i="71"/>
  <c r="Z38" i="71" s="1"/>
  <c r="AB38" i="71" s="1"/>
  <c r="Y42" i="71"/>
  <c r="Z42" i="71" s="1"/>
  <c r="AB42" i="71" s="1"/>
  <c r="Y39" i="71"/>
  <c r="Z39" i="71" s="1"/>
  <c r="AB39" i="71" s="1"/>
  <c r="Y40" i="71"/>
  <c r="Z40" i="71" s="1"/>
  <c r="AB40" i="71" s="1"/>
  <c r="Y193" i="71"/>
  <c r="Z193" i="71" s="1"/>
  <c r="AB193" i="71" s="1"/>
  <c r="Y196" i="71"/>
  <c r="Z196" i="71" s="1"/>
  <c r="AB196" i="71" s="1"/>
  <c r="Y194" i="71"/>
  <c r="Z194" i="71" s="1"/>
  <c r="AB194" i="71" s="1"/>
  <c r="Y197" i="71"/>
  <c r="Z197" i="71" s="1"/>
  <c r="AB197" i="71" s="1"/>
  <c r="Y195" i="71"/>
  <c r="Z195" i="71" s="1"/>
  <c r="AB195" i="71" s="1"/>
  <c r="Y108" i="71"/>
  <c r="Z108" i="71" s="1"/>
  <c r="AB108" i="71" s="1"/>
  <c r="Y111" i="71"/>
  <c r="Z111" i="71" s="1"/>
  <c r="AB111" i="71" s="1"/>
  <c r="Y112" i="71"/>
  <c r="Z112" i="71" s="1"/>
  <c r="AB112" i="71" s="1"/>
  <c r="Y109" i="71"/>
  <c r="Z109" i="71" s="1"/>
  <c r="AB109" i="71" s="1"/>
  <c r="Y110" i="71"/>
  <c r="Z110" i="71" s="1"/>
  <c r="AB110" i="71" s="1"/>
  <c r="Y89" i="71"/>
  <c r="Z89" i="71" s="1"/>
  <c r="AB89" i="71" s="1"/>
  <c r="Y92" i="71"/>
  <c r="Z92" i="71" s="1"/>
  <c r="AB92" i="71" s="1"/>
  <c r="Y90" i="71"/>
  <c r="Z90" i="71" s="1"/>
  <c r="AB90" i="71" s="1"/>
  <c r="Y88" i="71"/>
  <c r="Z88" i="71" s="1"/>
  <c r="AB88" i="71" s="1"/>
  <c r="Y91" i="71"/>
  <c r="Z91" i="71" s="1"/>
  <c r="AB91" i="71" s="1"/>
  <c r="Y187" i="71"/>
  <c r="Z187" i="71" s="1"/>
  <c r="AB187" i="71" s="1"/>
  <c r="Y185" i="71"/>
  <c r="Z185" i="71" s="1"/>
  <c r="AB185" i="71" s="1"/>
  <c r="Y183" i="71"/>
  <c r="Z183" i="71" s="1"/>
  <c r="AB183" i="71" s="1"/>
  <c r="Y186" i="71"/>
  <c r="Z186" i="71" s="1"/>
  <c r="AB186" i="71" s="1"/>
  <c r="Y184" i="71"/>
  <c r="Z184" i="71" s="1"/>
  <c r="AB184" i="71" s="1"/>
  <c r="Y165" i="71"/>
  <c r="Z165" i="71" s="1"/>
  <c r="AB165" i="71" s="1"/>
  <c r="Y164" i="71"/>
  <c r="Z164" i="71" s="1"/>
  <c r="AB164" i="71" s="1"/>
  <c r="Y163" i="71"/>
  <c r="Z163" i="71" s="1"/>
  <c r="AB163" i="71" s="1"/>
  <c r="Y166" i="71"/>
  <c r="Z166" i="71" s="1"/>
  <c r="AB166" i="71" s="1"/>
  <c r="Y167" i="71"/>
  <c r="Z167" i="71" s="1"/>
  <c r="AB167" i="71" s="1"/>
  <c r="Y145" i="71"/>
  <c r="Z145" i="71" s="1"/>
  <c r="AB145" i="71" s="1"/>
  <c r="Y143" i="71"/>
  <c r="Z143" i="71" s="1"/>
  <c r="AB143" i="71" s="1"/>
  <c r="Y147" i="71"/>
  <c r="Z147" i="71" s="1"/>
  <c r="AB147" i="71" s="1"/>
  <c r="Y144" i="71"/>
  <c r="Z144" i="71" s="1"/>
  <c r="AB144" i="71" s="1"/>
  <c r="Y146" i="71"/>
  <c r="Z146" i="71" s="1"/>
  <c r="AB146" i="71" s="1"/>
  <c r="Y124" i="71"/>
  <c r="Z124" i="71" s="1"/>
  <c r="AB124" i="71" s="1"/>
  <c r="Y127" i="71"/>
  <c r="Z127" i="71" s="1"/>
  <c r="AB127" i="71" s="1"/>
  <c r="Y125" i="71"/>
  <c r="Z125" i="71" s="1"/>
  <c r="AB125" i="71" s="1"/>
  <c r="Y126" i="71"/>
  <c r="Z126" i="71" s="1"/>
  <c r="AB126" i="71" s="1"/>
  <c r="Y123" i="71"/>
  <c r="Z123" i="71" s="1"/>
  <c r="AB123" i="71" s="1"/>
  <c r="Y105" i="71"/>
  <c r="Z105" i="71" s="1"/>
  <c r="AB105" i="71" s="1"/>
  <c r="Y106" i="71"/>
  <c r="Z106" i="71" s="1"/>
  <c r="AB106" i="71" s="1"/>
  <c r="Y103" i="71"/>
  <c r="Z103" i="71" s="1"/>
  <c r="AB103" i="71" s="1"/>
  <c r="Y104" i="71"/>
  <c r="Z104" i="71" s="1"/>
  <c r="AB104" i="71" s="1"/>
  <c r="Y107" i="71"/>
  <c r="Z107" i="71" s="1"/>
  <c r="AB107" i="71" s="1"/>
  <c r="Y85" i="71"/>
  <c r="Z85" i="71" s="1"/>
  <c r="AB85" i="71" s="1"/>
  <c r="Y83" i="71"/>
  <c r="Z83" i="71" s="1"/>
  <c r="AB83" i="71" s="1"/>
  <c r="Y86" i="71"/>
  <c r="Z86" i="71" s="1"/>
  <c r="AB86" i="71" s="1"/>
  <c r="Y84" i="71"/>
  <c r="Z84" i="71" s="1"/>
  <c r="AB84" i="71" s="1"/>
  <c r="Y87" i="71"/>
  <c r="Z87" i="71" s="1"/>
  <c r="AB87" i="71" s="1"/>
  <c r="Y63" i="71"/>
  <c r="Z63" i="71" s="1"/>
  <c r="AB63" i="71" s="1"/>
  <c r="Y64" i="71"/>
  <c r="Z64" i="71" s="1"/>
  <c r="AB64" i="71" s="1"/>
  <c r="Y67" i="71"/>
  <c r="Z67" i="71" s="1"/>
  <c r="AB67" i="71" s="1"/>
  <c r="Y65" i="71"/>
  <c r="Z65" i="71" s="1"/>
  <c r="AB65" i="71" s="1"/>
  <c r="Y66" i="71"/>
  <c r="Z66" i="71" s="1"/>
  <c r="AB66" i="71" s="1"/>
  <c r="Y44" i="71"/>
  <c r="Z44" i="71" s="1"/>
  <c r="AB44" i="71" s="1"/>
  <c r="Y47" i="71"/>
  <c r="Z47" i="71" s="1"/>
  <c r="AB47" i="71" s="1"/>
  <c r="Y45" i="71"/>
  <c r="Z45" i="71" s="1"/>
  <c r="AB45" i="71" s="1"/>
  <c r="Y43" i="71"/>
  <c r="Z43" i="71" s="1"/>
  <c r="AB43" i="71" s="1"/>
  <c r="Y46" i="71"/>
  <c r="Z46" i="71" s="1"/>
  <c r="AB46" i="71" s="1"/>
  <c r="Y25" i="71"/>
  <c r="Z25" i="71" s="1"/>
  <c r="AB25" i="71" s="1"/>
  <c r="Y26" i="71"/>
  <c r="Z26" i="71" s="1"/>
  <c r="AB26" i="71" s="1"/>
  <c r="Y23" i="71"/>
  <c r="Z23" i="71" s="1"/>
  <c r="AB23" i="71" s="1"/>
  <c r="Y24" i="71"/>
  <c r="Z24" i="71" s="1"/>
  <c r="AB24" i="71" s="1"/>
  <c r="Y27" i="71"/>
  <c r="Z27" i="71" s="1"/>
  <c r="AB27" i="71" s="1"/>
  <c r="Y181" i="71"/>
  <c r="Z181" i="71" s="1"/>
  <c r="AB181" i="71" s="1"/>
  <c r="Y178" i="71"/>
  <c r="Z178" i="71" s="1"/>
  <c r="AB178" i="71" s="1"/>
  <c r="Y179" i="71"/>
  <c r="Z179" i="71" s="1"/>
  <c r="AB179" i="71" s="1"/>
  <c r="Y182" i="71"/>
  <c r="Z182" i="71" s="1"/>
  <c r="AB182" i="71" s="1"/>
  <c r="Y180" i="71"/>
  <c r="Z180" i="71" s="1"/>
  <c r="AB180" i="71" s="1"/>
  <c r="BB33" i="65"/>
  <c r="AZ33" i="65"/>
  <c r="BA33" i="65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D32" i="71" l="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BA5" i="69" l="1"/>
  <c r="AN13" i="69" s="1"/>
  <c r="BA6" i="69"/>
  <c r="AN22" i="69" s="1"/>
  <c r="BA7" i="69"/>
  <c r="AN37" i="69" s="1"/>
  <c r="BA8" i="69"/>
  <c r="AN49" i="69" s="1"/>
  <c r="BA9" i="69"/>
  <c r="AN65" i="69" s="1"/>
  <c r="BA10" i="69"/>
  <c r="AN82" i="69" s="1"/>
  <c r="BA11" i="69"/>
  <c r="AN94" i="69" s="1"/>
  <c r="BA12" i="69"/>
  <c r="AN109" i="69" s="1"/>
  <c r="BA13" i="69"/>
  <c r="BA4" i="69"/>
  <c r="AN6" i="69" s="1"/>
  <c r="AA5" i="69"/>
  <c r="AA6" i="69"/>
  <c r="H22" i="69" s="1"/>
  <c r="AA7" i="69"/>
  <c r="H34" i="69" s="1"/>
  <c r="AA8" i="69"/>
  <c r="H49" i="69" s="1"/>
  <c r="AA9" i="69"/>
  <c r="AA10" i="69"/>
  <c r="H82" i="69" s="1"/>
  <c r="AA11" i="69"/>
  <c r="H94" i="69" s="1"/>
  <c r="AA12" i="69"/>
  <c r="H109" i="69" s="1"/>
  <c r="AA13" i="69"/>
  <c r="AA4" i="69"/>
  <c r="H5" i="69" s="1"/>
  <c r="AN33" i="69" l="1"/>
  <c r="AN88" i="69"/>
  <c r="AN83" i="69"/>
  <c r="AN4" i="69"/>
  <c r="AN28" i="69"/>
  <c r="AN101" i="69"/>
  <c r="AN76" i="69"/>
  <c r="AN23" i="69"/>
  <c r="AN93" i="69"/>
  <c r="AN48" i="69"/>
  <c r="AN9" i="69"/>
  <c r="H48" i="69"/>
  <c r="AN108" i="69"/>
  <c r="AN100" i="69"/>
  <c r="AN92" i="69"/>
  <c r="AN87" i="69"/>
  <c r="AN81" i="69"/>
  <c r="AN72" i="69"/>
  <c r="AN44" i="69"/>
  <c r="AN32" i="69"/>
  <c r="AN27" i="69"/>
  <c r="AN21" i="69"/>
  <c r="AN8" i="69"/>
  <c r="AN105" i="69"/>
  <c r="AN97" i="69"/>
  <c r="AN91" i="69"/>
  <c r="AN85" i="69"/>
  <c r="AN80" i="69"/>
  <c r="AN68" i="69"/>
  <c r="AN40" i="69"/>
  <c r="AN31" i="69"/>
  <c r="AN25" i="69"/>
  <c r="AN20" i="69"/>
  <c r="AN7" i="69"/>
  <c r="AN104" i="69"/>
  <c r="AN96" i="69"/>
  <c r="AN89" i="69"/>
  <c r="AN84" i="69"/>
  <c r="AN79" i="69"/>
  <c r="AN64" i="69"/>
  <c r="AN36" i="69"/>
  <c r="AN29" i="69"/>
  <c r="AN24" i="69"/>
  <c r="AN19" i="69"/>
  <c r="AN5" i="69"/>
  <c r="AN120" i="69"/>
  <c r="AN112" i="69"/>
  <c r="AN60" i="69"/>
  <c r="AN56" i="69"/>
  <c r="AN52" i="69"/>
  <c r="AN16" i="69"/>
  <c r="AN12" i="69"/>
  <c r="AN123" i="69"/>
  <c r="AN119" i="69"/>
  <c r="AN115" i="69"/>
  <c r="AN111" i="69"/>
  <c r="AN107" i="69"/>
  <c r="AN103" i="69"/>
  <c r="AN99" i="69"/>
  <c r="AN95" i="69"/>
  <c r="AN75" i="69"/>
  <c r="AN71" i="69"/>
  <c r="AN67" i="69"/>
  <c r="AN63" i="69"/>
  <c r="AN59" i="69"/>
  <c r="AN55" i="69"/>
  <c r="AN51" i="69"/>
  <c r="AN47" i="69"/>
  <c r="AN43" i="69"/>
  <c r="AN39" i="69"/>
  <c r="AN35" i="69"/>
  <c r="AN15" i="69"/>
  <c r="AN11" i="69"/>
  <c r="AN122" i="69"/>
  <c r="AN118" i="69"/>
  <c r="AN114" i="69"/>
  <c r="AN110" i="69"/>
  <c r="AN106" i="69"/>
  <c r="AN102" i="69"/>
  <c r="AN98" i="69"/>
  <c r="AN90" i="69"/>
  <c r="AN86" i="69"/>
  <c r="AN78" i="69"/>
  <c r="AN74" i="69"/>
  <c r="AN70" i="69"/>
  <c r="AN66" i="69"/>
  <c r="AN62" i="69"/>
  <c r="AN58" i="69"/>
  <c r="AN54" i="69"/>
  <c r="AN50" i="69"/>
  <c r="AN46" i="69"/>
  <c r="AN42" i="69"/>
  <c r="AN38" i="69"/>
  <c r="AN34" i="69"/>
  <c r="AN30" i="69"/>
  <c r="AN26" i="69"/>
  <c r="AN18" i="69"/>
  <c r="AN14" i="69"/>
  <c r="AN10" i="69"/>
  <c r="AN116" i="69"/>
  <c r="AN121" i="69"/>
  <c r="AN117" i="69"/>
  <c r="AN113" i="69"/>
  <c r="AN77" i="69"/>
  <c r="AN73" i="69"/>
  <c r="AN69" i="69"/>
  <c r="AN61" i="69"/>
  <c r="AN57" i="69"/>
  <c r="AN53" i="69"/>
  <c r="AN45" i="69"/>
  <c r="AN41" i="69"/>
  <c r="AN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AL35" i="69" l="1"/>
  <c r="AL39" i="69"/>
  <c r="AL43" i="69"/>
  <c r="AL47" i="69"/>
  <c r="AL34" i="69"/>
  <c r="AL46" i="69"/>
  <c r="AL36" i="69"/>
  <c r="AL40" i="69"/>
  <c r="AL44" i="69"/>
  <c r="AL48" i="69"/>
  <c r="AL42" i="69"/>
  <c r="AL37" i="69"/>
  <c r="AL41" i="69"/>
  <c r="AL45" i="69"/>
  <c r="AL38" i="69"/>
  <c r="AL7" i="69"/>
  <c r="AL8" i="69"/>
  <c r="AL4" i="69"/>
  <c r="AL5" i="69"/>
  <c r="AL9" i="69"/>
  <c r="AL6" i="69"/>
  <c r="AL19" i="69"/>
  <c r="AL23" i="69"/>
  <c r="AL27" i="69"/>
  <c r="AL31" i="69"/>
  <c r="AL22" i="69"/>
  <c r="AL20" i="69"/>
  <c r="AL24" i="69"/>
  <c r="AL28" i="69"/>
  <c r="AL32" i="69"/>
  <c r="AL30" i="69"/>
  <c r="AL21" i="69"/>
  <c r="AL25" i="69"/>
  <c r="AL29" i="69"/>
  <c r="AL33" i="69"/>
  <c r="AL26" i="69"/>
  <c r="AL67" i="69"/>
  <c r="AL71" i="69"/>
  <c r="AL75" i="69"/>
  <c r="AL66" i="69"/>
  <c r="AL78" i="69"/>
  <c r="AL64" i="69"/>
  <c r="AL68" i="69"/>
  <c r="AL72" i="69"/>
  <c r="AL76" i="69"/>
  <c r="AL70" i="69"/>
  <c r="AL65" i="69"/>
  <c r="AL69" i="69"/>
  <c r="AL73" i="69"/>
  <c r="AL77" i="69"/>
  <c r="AL74" i="69"/>
  <c r="AL11" i="69"/>
  <c r="AL15" i="69"/>
  <c r="AL12" i="69"/>
  <c r="AL16" i="69"/>
  <c r="AL10" i="69"/>
  <c r="AL18" i="69"/>
  <c r="AL13" i="69"/>
  <c r="AL17" i="69"/>
  <c r="AL14" i="69"/>
  <c r="AL95" i="69"/>
  <c r="AL99" i="69"/>
  <c r="AL103" i="69"/>
  <c r="AL107" i="69"/>
  <c r="AL94" i="69"/>
  <c r="AL106" i="69"/>
  <c r="AL96" i="69"/>
  <c r="AL100" i="69"/>
  <c r="AL104" i="69"/>
  <c r="AL108" i="69"/>
  <c r="AL102" i="69"/>
  <c r="AL97" i="69"/>
  <c r="AL101" i="69"/>
  <c r="AL105" i="69"/>
  <c r="AL98" i="69"/>
  <c r="AL79" i="69"/>
  <c r="AL83" i="69"/>
  <c r="AL87" i="69"/>
  <c r="AL91" i="69"/>
  <c r="AL80" i="69"/>
  <c r="AL84" i="69"/>
  <c r="AL88" i="69"/>
  <c r="AL92" i="69"/>
  <c r="AL82" i="69"/>
  <c r="AL90" i="69"/>
  <c r="AL81" i="69"/>
  <c r="AL85" i="69"/>
  <c r="AL89" i="69"/>
  <c r="AL93" i="69"/>
  <c r="AL86" i="69"/>
  <c r="AL111" i="69"/>
  <c r="AL115" i="69"/>
  <c r="AL119" i="69"/>
  <c r="AL123" i="69"/>
  <c r="AL118" i="69"/>
  <c r="AL112" i="69"/>
  <c r="AL116" i="69"/>
  <c r="AL120" i="69"/>
  <c r="AL114" i="69"/>
  <c r="AL109" i="69"/>
  <c r="AL113" i="69"/>
  <c r="AL117" i="69"/>
  <c r="AL121" i="69"/>
  <c r="AL110" i="69"/>
  <c r="AL122" i="69"/>
  <c r="AL51" i="69"/>
  <c r="AL55" i="69"/>
  <c r="AL59" i="69"/>
  <c r="AL63" i="69"/>
  <c r="AL54" i="69"/>
  <c r="AL52" i="69"/>
  <c r="AL56" i="69"/>
  <c r="AL60" i="69"/>
  <c r="AL58" i="69"/>
  <c r="AL49" i="69"/>
  <c r="AL53" i="69"/>
  <c r="AL57" i="69"/>
  <c r="AL61" i="69"/>
  <c r="AL50" i="69"/>
  <c r="AL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N5" i="67"/>
  <c r="N6" i="67" s="1"/>
  <c r="N7" i="67" s="1"/>
  <c r="N8" i="67" s="1"/>
  <c r="N9" i="67" s="1"/>
  <c r="N10" i="67" s="1"/>
  <c r="N11" i="67" s="1"/>
  <c r="N12" i="67" s="1"/>
  <c r="N13" i="67" s="1"/>
  <c r="N14" i="67" s="1"/>
  <c r="I5" i="67" l="1"/>
  <c r="C6" i="68" s="1"/>
  <c r="J5" i="67"/>
  <c r="P18" i="76"/>
  <c r="X18" i="76" s="1"/>
  <c r="Y18" i="76"/>
  <c r="AA18" i="76"/>
  <c r="T18" i="76"/>
  <c r="H5" i="67"/>
  <c r="H6" i="68" s="1"/>
  <c r="B7" i="75"/>
  <c r="E5" i="68"/>
  <c r="D6" i="67"/>
  <c r="J6" i="67" s="1"/>
  <c r="P19" i="76" l="1"/>
  <c r="X19" i="76" s="1"/>
  <c r="I6" i="67"/>
  <c r="C7" i="68" s="1"/>
  <c r="V18" i="76"/>
  <c r="U18" i="76"/>
  <c r="W18" i="76"/>
  <c r="Z18" i="76"/>
  <c r="U19" i="76"/>
  <c r="Z19" i="76"/>
  <c r="T19" i="76"/>
  <c r="V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I7" i="67" l="1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AA23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I11" i="67" l="1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T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U27" i="76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P5" i="67"/>
  <c r="Q5" i="67" s="1"/>
  <c r="P28" i="76" l="1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W29" i="76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BJ2" i="65"/>
  <c r="BI2" i="65"/>
  <c r="AG10" i="65"/>
  <c r="AJ5" i="65"/>
  <c r="AA29" i="76" l="1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AG11" i="65"/>
  <c r="G17" i="68"/>
  <c r="E17" i="68"/>
  <c r="P17" i="68" s="1"/>
  <c r="Q17" i="68" s="1"/>
  <c r="R17" i="68" s="1"/>
  <c r="D18" i="67"/>
  <c r="J18" i="67" s="1"/>
  <c r="W64" i="65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F3" i="65"/>
  <c r="V30" i="76" l="1"/>
  <c r="Z30" i="76"/>
  <c r="W30" i="76"/>
  <c r="Y30" i="76"/>
  <c r="U30" i="76"/>
  <c r="P31" i="76"/>
  <c r="I18" i="67"/>
  <c r="C19" i="68" s="1"/>
  <c r="X31" i="76"/>
  <c r="Y31" i="76"/>
  <c r="W31" i="76"/>
  <c r="Z31" i="76"/>
  <c r="V31" i="76"/>
  <c r="T31" i="76"/>
  <c r="AA31" i="76"/>
  <c r="U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P32" i="76" l="1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AC94" i="65"/>
  <c r="AC96" i="65"/>
  <c r="AC98" i="65"/>
  <c r="AC100" i="65"/>
  <c r="AC102" i="65"/>
  <c r="AC95" i="65"/>
  <c r="AC97" i="65"/>
  <c r="AC99" i="65"/>
  <c r="AC101" i="65"/>
  <c r="AC103" i="65"/>
  <c r="P18" i="68"/>
  <c r="Q18" i="68" s="1"/>
  <c r="R18" i="68" s="1"/>
  <c r="AC6" i="65"/>
  <c r="AO6" i="65" s="1"/>
  <c r="AR6" i="65" s="1"/>
  <c r="AU6" i="65" s="1"/>
  <c r="G19" i="68"/>
  <c r="E19" i="68"/>
  <c r="P19" i="68" s="1"/>
  <c r="Q19" i="68" s="1"/>
  <c r="D20" i="67"/>
  <c r="J20" i="67" s="1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O25" i="65" s="1"/>
  <c r="AC35" i="65"/>
  <c r="AO21" i="65" s="1"/>
  <c r="AC23" i="65"/>
  <c r="AO15" i="65" s="1"/>
  <c r="AC7" i="65"/>
  <c r="AO7" i="65" s="1"/>
  <c r="AC62" i="65"/>
  <c r="AC58" i="65"/>
  <c r="AO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O32" i="65" s="1"/>
  <c r="AC82" i="65"/>
  <c r="AC86" i="65"/>
  <c r="AC88" i="65"/>
  <c r="AC92" i="65"/>
  <c r="AC65" i="65"/>
  <c r="AC67" i="65"/>
  <c r="AC69" i="65"/>
  <c r="AC71" i="65"/>
  <c r="AC73" i="65"/>
  <c r="AO31" i="65" s="1"/>
  <c r="AC75" i="65"/>
  <c r="AC77" i="65"/>
  <c r="AC79" i="65"/>
  <c r="AC81" i="65"/>
  <c r="AC83" i="65"/>
  <c r="AO33" i="65" s="1"/>
  <c r="AC85" i="65"/>
  <c r="AC87" i="65"/>
  <c r="AC89" i="65"/>
  <c r="AC91" i="65"/>
  <c r="AC93" i="65"/>
  <c r="AC66" i="65"/>
  <c r="AC68" i="65"/>
  <c r="AO30" i="65" s="1"/>
  <c r="AC72" i="65"/>
  <c r="AC76" i="65"/>
  <c r="AC80" i="65"/>
  <c r="AC84" i="65"/>
  <c r="AC90" i="65"/>
  <c r="AC4" i="65"/>
  <c r="AO4" i="65" s="1"/>
  <c r="AC56" i="65"/>
  <c r="AC48" i="65"/>
  <c r="AO26" i="65" s="1"/>
  <c r="AC36" i="65"/>
  <c r="AC12" i="65"/>
  <c r="AC63" i="65"/>
  <c r="AO29" i="65" s="1"/>
  <c r="AC55" i="65"/>
  <c r="AC47" i="65"/>
  <c r="AC39" i="65"/>
  <c r="AO23" i="65" s="1"/>
  <c r="AC31" i="65"/>
  <c r="AO19" i="65" s="1"/>
  <c r="AC27" i="65"/>
  <c r="AO17" i="65" s="1"/>
  <c r="AC19" i="65"/>
  <c r="AO13" i="65" s="1"/>
  <c r="AC15" i="65"/>
  <c r="AO11" i="65" s="1"/>
  <c r="AC11" i="65"/>
  <c r="AO9" i="65" s="1"/>
  <c r="AC61" i="65"/>
  <c r="AC57" i="65"/>
  <c r="AC53" i="65"/>
  <c r="AO27" i="65" s="1"/>
  <c r="AC49" i="65"/>
  <c r="AC45" i="65"/>
  <c r="AC41" i="65"/>
  <c r="AO24" i="65" s="1"/>
  <c r="AC37" i="65"/>
  <c r="AO22" i="65" s="1"/>
  <c r="AC33" i="65"/>
  <c r="AO20" i="65" s="1"/>
  <c r="AC29" i="65"/>
  <c r="AO18" i="65" s="1"/>
  <c r="AC25" i="65"/>
  <c r="AO16" i="65" s="1"/>
  <c r="AC21" i="65"/>
  <c r="AO14" i="65" s="1"/>
  <c r="AC17" i="65"/>
  <c r="AO12" i="65" s="1"/>
  <c r="AC13" i="65"/>
  <c r="AO10" i="65" s="1"/>
  <c r="AC9" i="65"/>
  <c r="AO8" i="65" s="1"/>
  <c r="AC5" i="65"/>
  <c r="AO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AB97" i="65"/>
  <c r="AB99" i="65"/>
  <c r="AB101" i="65"/>
  <c r="AB103" i="65"/>
  <c r="AB94" i="65"/>
  <c r="AB100" i="65"/>
  <c r="AB95" i="65"/>
  <c r="AB96" i="65"/>
  <c r="AB98" i="65"/>
  <c r="AB102" i="65"/>
  <c r="AP6" i="65"/>
  <c r="AS6" i="65" s="1"/>
  <c r="AQ6" i="65"/>
  <c r="AT6" i="65" s="1"/>
  <c r="G20" i="68"/>
  <c r="E20" i="68"/>
  <c r="P20" i="68" s="1"/>
  <c r="Q20" i="68" s="1"/>
  <c r="R20" i="68" s="1"/>
  <c r="D21" i="67"/>
  <c r="J21" i="67" s="1"/>
  <c r="AP12" i="65"/>
  <c r="AS12" i="65" s="1"/>
  <c r="AQ12" i="65"/>
  <c r="AT12" i="65" s="1"/>
  <c r="AR12" i="65"/>
  <c r="AU12" i="65" s="1"/>
  <c r="AP29" i="65"/>
  <c r="AS29" i="65" s="1"/>
  <c r="AQ29" i="65"/>
  <c r="AT29" i="65" s="1"/>
  <c r="AR29" i="65"/>
  <c r="AU29" i="65" s="1"/>
  <c r="AR21" i="65"/>
  <c r="AU21" i="65" s="1"/>
  <c r="AP21" i="65"/>
  <c r="AS21" i="65" s="1"/>
  <c r="AQ21" i="65"/>
  <c r="AT21" i="65" s="1"/>
  <c r="AR14" i="65"/>
  <c r="AU14" i="65" s="1"/>
  <c r="AQ14" i="65"/>
  <c r="AT14" i="65" s="1"/>
  <c r="AP14" i="65"/>
  <c r="AS14" i="65" s="1"/>
  <c r="AP27" i="65"/>
  <c r="AS27" i="65" s="1"/>
  <c r="AQ27" i="65"/>
  <c r="AT27" i="65" s="1"/>
  <c r="AR27" i="65"/>
  <c r="AU27" i="65" s="1"/>
  <c r="AR11" i="65"/>
  <c r="AU11" i="65" s="1"/>
  <c r="AP11" i="65"/>
  <c r="AS11" i="65" s="1"/>
  <c r="AQ11" i="65"/>
  <c r="AT11" i="65" s="1"/>
  <c r="AR25" i="65"/>
  <c r="AU25" i="65" s="1"/>
  <c r="AQ25" i="65"/>
  <c r="AT25" i="65" s="1"/>
  <c r="AP25" i="65"/>
  <c r="AS25" i="65" s="1"/>
  <c r="AP8" i="65"/>
  <c r="AS8" i="65" s="1"/>
  <c r="AQ8" i="65"/>
  <c r="AT8" i="65" s="1"/>
  <c r="AR8" i="65"/>
  <c r="AU8" i="65" s="1"/>
  <c r="AQ16" i="65"/>
  <c r="AT16" i="65" s="1"/>
  <c r="AR16" i="65"/>
  <c r="AU16" i="65" s="1"/>
  <c r="AP16" i="65"/>
  <c r="AS16" i="65" s="1"/>
  <c r="AP24" i="65"/>
  <c r="AS24" i="65" s="1"/>
  <c r="AQ24" i="65"/>
  <c r="AT24" i="65" s="1"/>
  <c r="AR24" i="65"/>
  <c r="AU24" i="65" s="1"/>
  <c r="AP13" i="65"/>
  <c r="AS13" i="65" s="1"/>
  <c r="AQ13" i="65"/>
  <c r="AT13" i="65" s="1"/>
  <c r="AR13" i="65"/>
  <c r="AU13" i="65" s="1"/>
  <c r="AQ33" i="65"/>
  <c r="AT33" i="65" s="1"/>
  <c r="AP33" i="65"/>
  <c r="AS33" i="65" s="1"/>
  <c r="AR33" i="65"/>
  <c r="AU33" i="65" s="1"/>
  <c r="AR7" i="65"/>
  <c r="AU7" i="65" s="1"/>
  <c r="AP7" i="65"/>
  <c r="AS7" i="65" s="1"/>
  <c r="AQ7" i="65"/>
  <c r="AT7" i="65" s="1"/>
  <c r="AQ20" i="65"/>
  <c r="AT20" i="65" s="1"/>
  <c r="AR20" i="65"/>
  <c r="AU20" i="65" s="1"/>
  <c r="AP20" i="65"/>
  <c r="AS20" i="65" s="1"/>
  <c r="AP9" i="65"/>
  <c r="AS9" i="65" s="1"/>
  <c r="AR9" i="65"/>
  <c r="AU9" i="65" s="1"/>
  <c r="AQ9" i="65"/>
  <c r="AT9" i="65" s="1"/>
  <c r="AR19" i="65"/>
  <c r="AU19" i="65" s="1"/>
  <c r="AP19" i="65"/>
  <c r="AS19" i="65" s="1"/>
  <c r="AQ19" i="65"/>
  <c r="AT19" i="65" s="1"/>
  <c r="AQ32" i="65"/>
  <c r="AT32" i="65" s="1"/>
  <c r="AR32" i="65"/>
  <c r="AU32" i="65" s="1"/>
  <c r="AP32" i="65"/>
  <c r="AS32" i="65" s="1"/>
  <c r="AP28" i="65"/>
  <c r="AS28" i="65" s="1"/>
  <c r="AQ28" i="65"/>
  <c r="AT28" i="65" s="1"/>
  <c r="AR28" i="65"/>
  <c r="AU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Q5" i="65"/>
  <c r="AT5" i="65" s="1"/>
  <c r="AR5" i="65"/>
  <c r="AU5" i="65" s="1"/>
  <c r="AP5" i="65"/>
  <c r="AS5" i="65" s="1"/>
  <c r="AR22" i="65"/>
  <c r="AU22" i="65" s="1"/>
  <c r="AQ22" i="65"/>
  <c r="AT22" i="65" s="1"/>
  <c r="AP22" i="65"/>
  <c r="AS22" i="65" s="1"/>
  <c r="AP23" i="65"/>
  <c r="AS23" i="65" s="1"/>
  <c r="AQ23" i="65"/>
  <c r="AT23" i="65" s="1"/>
  <c r="AR23" i="65"/>
  <c r="AU23" i="65" s="1"/>
  <c r="AP10" i="65"/>
  <c r="AS10" i="65" s="1"/>
  <c r="AQ10" i="65"/>
  <c r="AT10" i="65" s="1"/>
  <c r="AR10" i="65"/>
  <c r="AU10" i="65" s="1"/>
  <c r="AQ18" i="65"/>
  <c r="AT18" i="65" s="1"/>
  <c r="AP18" i="65"/>
  <c r="AS18" i="65" s="1"/>
  <c r="AR18" i="65"/>
  <c r="AU18" i="65" s="1"/>
  <c r="AQ17" i="65"/>
  <c r="AT17" i="65" s="1"/>
  <c r="AR17" i="65"/>
  <c r="AU17" i="65" s="1"/>
  <c r="AP17" i="65"/>
  <c r="AS17" i="65" s="1"/>
  <c r="AP26" i="65"/>
  <c r="AS26" i="65" s="1"/>
  <c r="AR26" i="65"/>
  <c r="AU26" i="65" s="1"/>
  <c r="AQ26" i="65"/>
  <c r="AT26" i="65" s="1"/>
  <c r="AQ30" i="65"/>
  <c r="AT30" i="65" s="1"/>
  <c r="AR30" i="65"/>
  <c r="AU30" i="65" s="1"/>
  <c r="AP30" i="65"/>
  <c r="AS30" i="65" s="1"/>
  <c r="AP31" i="65"/>
  <c r="AS31" i="65" s="1"/>
  <c r="AQ31" i="65"/>
  <c r="AT31" i="65" s="1"/>
  <c r="AR31" i="65"/>
  <c r="AU31" i="65" s="1"/>
  <c r="AP15" i="65"/>
  <c r="AS15" i="65" s="1"/>
  <c r="AQ15" i="65"/>
  <c r="AT15" i="65" s="1"/>
  <c r="AR15" i="65"/>
  <c r="AU15" i="65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AH10" i="65"/>
  <c r="AH11" i="65" s="1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P6" i="67"/>
  <c r="Q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Z37" i="76"/>
  <c r="AA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P38" i="76" l="1"/>
  <c r="I25" i="67"/>
  <c r="C26" i="68" s="1"/>
  <c r="U37" i="76"/>
  <c r="W37" i="76"/>
  <c r="X38" i="76"/>
  <c r="Y38" i="76"/>
  <c r="Z38" i="76"/>
  <c r="AA38" i="76"/>
  <c r="V38" i="76"/>
  <c r="W38" i="76"/>
  <c r="U38" i="76"/>
  <c r="T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I26" i="67" l="1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I27" i="67"/>
  <c r="C28" i="68" s="1"/>
  <c r="Z39" i="76"/>
  <c r="W39" i="76"/>
  <c r="Y39" i="76"/>
  <c r="T39" i="76"/>
  <c r="X40" i="76"/>
  <c r="Y40" i="76"/>
  <c r="Z40" i="76"/>
  <c r="W40" i="76"/>
  <c r="V40" i="76"/>
  <c r="U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P41" i="76" l="1"/>
  <c r="I28" i="67"/>
  <c r="C29" i="68" s="1"/>
  <c r="X41" i="76"/>
  <c r="Y41" i="76"/>
  <c r="Z41" i="76"/>
  <c r="AA41" i="76"/>
  <c r="U41" i="76"/>
  <c r="T41" i="76"/>
  <c r="W41" i="76"/>
  <c r="V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P42" i="76" l="1"/>
  <c r="I29" i="67"/>
  <c r="C30" i="68" s="1"/>
  <c r="X42" i="76"/>
  <c r="Y42" i="76"/>
  <c r="Z42" i="76"/>
  <c r="AA42" i="76"/>
  <c r="W42" i="76"/>
  <c r="T42" i="76"/>
  <c r="V42" i="76"/>
  <c r="U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P43" i="76" l="1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P7" i="67"/>
  <c r="Q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U47" i="76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Z47" i="76" l="1"/>
  <c r="Y47" i="76"/>
  <c r="AA47" i="76"/>
  <c r="X47" i="76"/>
  <c r="P48" i="76"/>
  <c r="I35" i="67"/>
  <c r="C36" i="68" s="1"/>
  <c r="T47" i="76"/>
  <c r="V47" i="76"/>
  <c r="X48" i="76"/>
  <c r="Y48" i="76"/>
  <c r="Z48" i="76"/>
  <c r="W48" i="76"/>
  <c r="V48" i="76"/>
  <c r="U48" i="76"/>
  <c r="AA48" i="76"/>
  <c r="T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I36" i="67" l="1"/>
  <c r="C37" i="68" s="1"/>
  <c r="J36" i="67"/>
  <c r="P49" i="76"/>
  <c r="X49" i="76" s="1"/>
  <c r="V49" i="76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U49" i="76" l="1"/>
  <c r="P50" i="76"/>
  <c r="I37" i="67"/>
  <c r="C38" i="68" s="1"/>
  <c r="T49" i="76"/>
  <c r="Z49" i="76"/>
  <c r="W49" i="76"/>
  <c r="Y49" i="76"/>
  <c r="AA49" i="76"/>
  <c r="X50" i="76"/>
  <c r="Y50" i="76"/>
  <c r="Z50" i="76"/>
  <c r="AA50" i="76"/>
  <c r="U50" i="76"/>
  <c r="V50" i="76"/>
  <c r="W50" i="76"/>
  <c r="T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I38" i="67" l="1"/>
  <c r="C39" i="68" s="1"/>
  <c r="J38" i="67"/>
  <c r="P51" i="76"/>
  <c r="Y51" i="76" s="1"/>
  <c r="X51" i="76"/>
  <c r="AA51" i="76"/>
  <c r="W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Z51" i="76" l="1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P8" i="67"/>
  <c r="Q8" i="67" s="1"/>
  <c r="W56" i="76"/>
  <c r="U56" i="76"/>
  <c r="AA56" i="76"/>
  <c r="T56" i="76"/>
  <c r="Y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Z56" i="76" l="1"/>
  <c r="I44" i="67"/>
  <c r="C45" i="68" s="1"/>
  <c r="J44" i="67"/>
  <c r="P57" i="76"/>
  <c r="Z57" i="76" s="1"/>
  <c r="X57" i="76"/>
  <c r="Y57" i="76"/>
  <c r="T57" i="76"/>
  <c r="W57" i="76"/>
  <c r="V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AA57" i="76" l="1"/>
  <c r="U57" i="76"/>
  <c r="P58" i="76"/>
  <c r="AA58" i="76" s="1"/>
  <c r="I45" i="67"/>
  <c r="C46" i="68" s="1"/>
  <c r="Z58" i="76"/>
  <c r="W58" i="76"/>
  <c r="V58" i="76"/>
  <c r="T58" i="76"/>
  <c r="U58" i="76"/>
  <c r="Y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I46" i="67" l="1"/>
  <c r="C47" i="68" s="1"/>
  <c r="J46" i="67"/>
  <c r="X58" i="76"/>
  <c r="P59" i="76"/>
  <c r="AA59" i="76" s="1"/>
  <c r="Z59" i="76"/>
  <c r="W59" i="76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Y59" i="76" l="1"/>
  <c r="P60" i="76"/>
  <c r="I47" i="67"/>
  <c r="C48" i="68" s="1"/>
  <c r="U59" i="76"/>
  <c r="V59" i="76"/>
  <c r="R46" i="68"/>
  <c r="T59" i="76"/>
  <c r="X59" i="76"/>
  <c r="Z60" i="76"/>
  <c r="W60" i="76"/>
  <c r="V60" i="76"/>
  <c r="U60" i="76"/>
  <c r="AA60" i="76"/>
  <c r="T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I48" i="67" l="1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U62" i="76"/>
  <c r="T62" i="76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R49" i="68" s="1"/>
  <c r="G49" i="68"/>
  <c r="D50" i="67"/>
  <c r="I37" i="42"/>
  <c r="H5" i="42"/>
  <c r="X62" i="76" l="1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I51" i="67"/>
  <c r="C52" i="68" s="1"/>
  <c r="W63" i="76"/>
  <c r="U63" i="76"/>
  <c r="X63" i="76"/>
  <c r="Y63" i="76"/>
  <c r="Z64" i="76"/>
  <c r="W64" i="76"/>
  <c r="V64" i="76"/>
  <c r="U64" i="76"/>
  <c r="AA64" i="76"/>
  <c r="T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I52" i="67" l="1"/>
  <c r="C53" i="68" s="1"/>
  <c r="J52" i="67"/>
  <c r="P65" i="76"/>
  <c r="AA65" i="76" s="1"/>
  <c r="V65" i="76"/>
  <c r="Y65" i="76"/>
  <c r="U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Z65" i="76" l="1"/>
  <c r="P66" i="76"/>
  <c r="I53" i="67"/>
  <c r="C54" i="68" s="1"/>
  <c r="T65" i="76"/>
  <c r="X65" i="76"/>
  <c r="W65" i="76"/>
  <c r="T8" i="67"/>
  <c r="B9" i="76" s="1"/>
  <c r="Z66" i="76"/>
  <c r="AA66" i="76"/>
  <c r="U66" i="76"/>
  <c r="V66" i="76"/>
  <c r="X66" i="76"/>
  <c r="W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I54" i="67" l="1"/>
  <c r="C55" i="68" s="1"/>
  <c r="J54" i="67"/>
  <c r="R53" i="68"/>
  <c r="P67" i="76"/>
  <c r="Z67" i="76" s="1"/>
  <c r="V67" i="76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P68" i="76" l="1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X69" i="76"/>
  <c r="W69" i="76"/>
  <c r="T69" i="76"/>
  <c r="V69" i="76"/>
  <c r="U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R56" i="68" l="1"/>
  <c r="P70" i="76"/>
  <c r="I57" i="67"/>
  <c r="C58" i="68" s="1"/>
  <c r="Y69" i="76"/>
  <c r="Z70" i="76"/>
  <c r="AA70" i="76"/>
  <c r="V70" i="76"/>
  <c r="U70" i="76"/>
  <c r="W70" i="76"/>
  <c r="X70" i="76"/>
  <c r="T70" i="76"/>
  <c r="Y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I58" i="67" l="1"/>
  <c r="C59" i="68" s="1"/>
  <c r="J58" i="67"/>
  <c r="P71" i="76"/>
  <c r="Z71" i="76" s="1"/>
  <c r="V71" i="76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U71" i="76" l="1"/>
  <c r="AA71" i="76"/>
  <c r="W71" i="76"/>
  <c r="Y71" i="76"/>
  <c r="T71" i="76"/>
  <c r="X71" i="76"/>
  <c r="P72" i="76"/>
  <c r="I59" i="67"/>
  <c r="C60" i="68" s="1"/>
  <c r="Z72" i="76"/>
  <c r="W72" i="76"/>
  <c r="V72" i="76"/>
  <c r="AA72" i="76"/>
  <c r="T72" i="76"/>
  <c r="Y72" i="76"/>
  <c r="U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I60" i="67" l="1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V75" i="76"/>
  <c r="U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P76" i="76" l="1"/>
  <c r="Z76" i="76" s="1"/>
  <c r="I63" i="67"/>
  <c r="C64" i="68" s="1"/>
  <c r="Y75" i="76"/>
  <c r="X75" i="76"/>
  <c r="T9" i="67"/>
  <c r="X76" i="76"/>
  <c r="U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AA76" i="76" l="1"/>
  <c r="V76" i="76"/>
  <c r="Y76" i="76"/>
  <c r="W76" i="76"/>
  <c r="I64" i="67"/>
  <c r="C65" i="68" s="1"/>
  <c r="J64" i="67"/>
  <c r="T76" i="76"/>
  <c r="P77" i="76"/>
  <c r="Z77" i="76" s="1"/>
  <c r="Y77" i="76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U77" i="76" l="1"/>
  <c r="AA77" i="76"/>
  <c r="P78" i="76"/>
  <c r="I65" i="67"/>
  <c r="C66" i="68" s="1"/>
  <c r="X77" i="76"/>
  <c r="V77" i="76"/>
  <c r="T77" i="76"/>
  <c r="X9" i="69"/>
  <c r="D65" i="69" s="1"/>
  <c r="Z78" i="76"/>
  <c r="AA78" i="76"/>
  <c r="U78" i="76"/>
  <c r="Y78" i="76"/>
  <c r="T78" i="76"/>
  <c r="W78" i="76"/>
  <c r="X78" i="76"/>
  <c r="V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I66" i="67" l="1"/>
  <c r="C67" i="68" s="1"/>
  <c r="J66" i="67"/>
  <c r="P79" i="76"/>
  <c r="D64" i="69"/>
  <c r="D71" i="69"/>
  <c r="D73" i="69"/>
  <c r="D68" i="69"/>
  <c r="D78" i="69"/>
  <c r="D75" i="69"/>
  <c r="D77" i="69"/>
  <c r="D70" i="69"/>
  <c r="D66" i="69"/>
  <c r="D67" i="69"/>
  <c r="D72" i="69"/>
  <c r="D69" i="69"/>
  <c r="D76" i="69"/>
  <c r="D74" i="69"/>
  <c r="Z79" i="76"/>
  <c r="W79" i="76"/>
  <c r="X79" i="76"/>
  <c r="U79" i="76"/>
  <c r="V79" i="76"/>
  <c r="T79" i="76"/>
  <c r="Y79" i="76"/>
  <c r="AA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P80" i="76" l="1"/>
  <c r="I67" i="67"/>
  <c r="C68" i="68" s="1"/>
  <c r="Z80" i="76"/>
  <c r="W80" i="76"/>
  <c r="V80" i="76"/>
  <c r="X80" i="76"/>
  <c r="T80" i="76"/>
  <c r="Y80" i="76"/>
  <c r="AA80" i="76"/>
  <c r="U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I68" i="67" l="1"/>
  <c r="C69" i="68" s="1"/>
  <c r="J68" i="67"/>
  <c r="P81" i="76"/>
  <c r="V81" i="76" s="1"/>
  <c r="Z81" i="76"/>
  <c r="Y81" i="76"/>
  <c r="AA81" i="76"/>
  <c r="W81" i="76"/>
  <c r="T81" i="76"/>
  <c r="U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P82" i="76" l="1"/>
  <c r="U82" i="76" s="1"/>
  <c r="I69" i="67"/>
  <c r="C70" i="68" s="1"/>
  <c r="X81" i="76"/>
  <c r="AA82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W82" i="76" l="1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Z84" i="76"/>
  <c r="X84" i="76"/>
  <c r="T84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I72" i="67" l="1"/>
  <c r="C73" i="68" s="1"/>
  <c r="J72" i="67"/>
  <c r="AA84" i="76"/>
  <c r="V84" i="76"/>
  <c r="Y84" i="76"/>
  <c r="P85" i="76"/>
  <c r="Y85" i="76" s="1"/>
  <c r="W85" i="76"/>
  <c r="AA85" i="76"/>
  <c r="T85" i="76"/>
  <c r="U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V85" i="76" l="1"/>
  <c r="Z85" i="76"/>
  <c r="P86" i="76"/>
  <c r="I73" i="67"/>
  <c r="C74" i="68" s="1"/>
  <c r="T10" i="67"/>
  <c r="B11" i="76" s="1"/>
  <c r="X85" i="76"/>
  <c r="Z86" i="76"/>
  <c r="AA86" i="76"/>
  <c r="V86" i="76"/>
  <c r="U86" i="76"/>
  <c r="W86" i="76"/>
  <c r="Y86" i="76"/>
  <c r="X86" i="76"/>
  <c r="T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I74" i="67" l="1"/>
  <c r="C75" i="68" s="1"/>
  <c r="J74" i="67"/>
  <c r="P87" i="76"/>
  <c r="X87" i="76" s="1"/>
  <c r="Z87" i="76"/>
  <c r="U87" i="76"/>
  <c r="Y87" i="76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R74" i="68" l="1"/>
  <c r="AA87" i="76"/>
  <c r="V87" i="76"/>
  <c r="W87" i="76"/>
  <c r="P88" i="76"/>
  <c r="I75" i="67"/>
  <c r="C76" i="68" s="1"/>
  <c r="X10" i="69"/>
  <c r="D89" i="69" s="1"/>
  <c r="Z88" i="76"/>
  <c r="W88" i="76"/>
  <c r="V88" i="76"/>
  <c r="X88" i="76"/>
  <c r="T88" i="76"/>
  <c r="Y88" i="76"/>
  <c r="U88" i="76"/>
  <c r="AA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I76" i="67" l="1"/>
  <c r="C77" i="68" s="1"/>
  <c r="J76" i="67"/>
  <c r="P89" i="76"/>
  <c r="T89" i="76" s="1"/>
  <c r="D91" i="69"/>
  <c r="D79" i="69"/>
  <c r="D86" i="69"/>
  <c r="D83" i="69"/>
  <c r="D90" i="69"/>
  <c r="D93" i="69"/>
  <c r="D88" i="69"/>
  <c r="D81" i="69"/>
  <c r="D80" i="69"/>
  <c r="D85" i="69"/>
  <c r="D82" i="69"/>
  <c r="D92" i="69"/>
  <c r="D87" i="69"/>
  <c r="D84" i="69"/>
  <c r="AA89" i="76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Y89" i="76" l="1"/>
  <c r="W89" i="76"/>
  <c r="P90" i="76"/>
  <c r="Z90" i="76" s="1"/>
  <c r="I77" i="67"/>
  <c r="C78" i="68" s="1"/>
  <c r="X89" i="76"/>
  <c r="Z89" i="76"/>
  <c r="V89" i="76"/>
  <c r="R76" i="68"/>
  <c r="W90" i="76"/>
  <c r="U90" i="76"/>
  <c r="X90" i="76"/>
  <c r="Y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I78" i="67" l="1"/>
  <c r="C79" i="68" s="1"/>
  <c r="J78" i="67"/>
  <c r="T90" i="76"/>
  <c r="AA90" i="76"/>
  <c r="V90" i="76"/>
  <c r="P91" i="76"/>
  <c r="X91" i="76" s="1"/>
  <c r="V91" i="76"/>
  <c r="W91" i="76"/>
  <c r="U91" i="76"/>
  <c r="AA91" i="76"/>
  <c r="Y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Z91" i="76" l="1"/>
  <c r="P92" i="76"/>
  <c r="Z92" i="76" s="1"/>
  <c r="I79" i="67"/>
  <c r="C80" i="68" s="1"/>
  <c r="T91" i="76"/>
  <c r="W92" i="76"/>
  <c r="V92" i="76"/>
  <c r="X92" i="76"/>
  <c r="Y92" i="76"/>
  <c r="AA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I80" i="67" l="1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Y94" i="76"/>
  <c r="X94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I82" i="67" l="1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T96" i="76"/>
  <c r="Y96" i="76"/>
  <c r="AA96" i="76"/>
  <c r="U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X96" i="76" l="1"/>
  <c r="I84" i="67"/>
  <c r="C85" i="68" s="1"/>
  <c r="J84" i="67"/>
  <c r="P97" i="76"/>
  <c r="Z97" i="76" s="1"/>
  <c r="AA97" i="76"/>
  <c r="U97" i="76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X11" i="69"/>
  <c r="G84" i="68"/>
  <c r="E84" i="68"/>
  <c r="P84" i="68" s="1"/>
  <c r="Q84" i="68" s="1"/>
  <c r="D85" i="67"/>
  <c r="J85" i="67" s="1"/>
  <c r="X97" i="76" l="1"/>
  <c r="V97" i="76"/>
  <c r="T97" i="76"/>
  <c r="Y97" i="76"/>
  <c r="W97" i="76"/>
  <c r="P98" i="76"/>
  <c r="Z98" i="76" s="1"/>
  <c r="I85" i="67"/>
  <c r="C86" i="68" s="1"/>
  <c r="R84" i="68"/>
  <c r="AA98" i="76"/>
  <c r="U98" i="76"/>
  <c r="V98" i="76"/>
  <c r="X98" i="76"/>
  <c r="W98" i="76"/>
  <c r="Y98" i="76"/>
  <c r="T98" i="76"/>
  <c r="J86" i="75"/>
  <c r="C86" i="75"/>
  <c r="D105" i="69"/>
  <c r="D94" i="69"/>
  <c r="D106" i="69"/>
  <c r="D97" i="69"/>
  <c r="D95" i="69"/>
  <c r="D107" i="69"/>
  <c r="D96" i="69"/>
  <c r="D108" i="69"/>
  <c r="D98" i="69"/>
  <c r="D99" i="69"/>
  <c r="D101" i="69"/>
  <c r="D100" i="69"/>
  <c r="D102" i="69"/>
  <c r="D103" i="69"/>
  <c r="D104" i="69"/>
  <c r="H85" i="67"/>
  <c r="H86" i="68" s="1"/>
  <c r="B87" i="75"/>
  <c r="P85" i="75"/>
  <c r="Q85" i="75"/>
  <c r="N85" i="75"/>
  <c r="O85" i="75"/>
  <c r="G85" i="68"/>
  <c r="E85" i="68"/>
  <c r="D86" i="67"/>
  <c r="I86" i="67" l="1"/>
  <c r="C87" i="68" s="1"/>
  <c r="J86" i="67"/>
  <c r="P99" i="76"/>
  <c r="X99" i="76" s="1"/>
  <c r="Z99" i="76"/>
  <c r="AA99" i="76"/>
  <c r="T99" i="76"/>
  <c r="W99" i="76"/>
  <c r="V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Y99" i="76" l="1"/>
  <c r="U99" i="76"/>
  <c r="P100" i="76"/>
  <c r="X100" i="76" s="1"/>
  <c r="I87" i="67"/>
  <c r="C88" i="68" s="1"/>
  <c r="R86" i="68"/>
  <c r="W100" i="76"/>
  <c r="V100" i="76"/>
  <c r="Y100" i="76"/>
  <c r="AA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I88" i="67" l="1"/>
  <c r="C89" i="68" s="1"/>
  <c r="J88" i="67"/>
  <c r="T100" i="76"/>
  <c r="Z100" i="76"/>
  <c r="U100" i="76"/>
  <c r="P101" i="76"/>
  <c r="Z101" i="76" s="1"/>
  <c r="Y101" i="76"/>
  <c r="W101" i="76"/>
  <c r="AA101" i="76"/>
  <c r="T101" i="76"/>
  <c r="V101" i="76"/>
  <c r="X101" i="76"/>
  <c r="U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P102" i="76" l="1"/>
  <c r="I89" i="67"/>
  <c r="C90" i="68" s="1"/>
  <c r="R88" i="68"/>
  <c r="Z102" i="76"/>
  <c r="AA102" i="76"/>
  <c r="V102" i="76"/>
  <c r="U102" i="76"/>
  <c r="W102" i="76"/>
  <c r="Y102" i="76"/>
  <c r="X102" i="76"/>
  <c r="T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I90" i="67" l="1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X104" i="76"/>
  <c r="AA104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U104" i="76" l="1"/>
  <c r="V104" i="76"/>
  <c r="Y104" i="76"/>
  <c r="W104" i="76"/>
  <c r="I92" i="67"/>
  <c r="C93" i="68" s="1"/>
  <c r="J92" i="67"/>
  <c r="T104" i="76"/>
  <c r="P105" i="76"/>
  <c r="Z105" i="76" s="1"/>
  <c r="T105" i="76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W105" i="76" l="1"/>
  <c r="Y105" i="76"/>
  <c r="U105" i="76"/>
  <c r="AA105" i="76"/>
  <c r="X105" i="76"/>
  <c r="P106" i="76"/>
  <c r="I93" i="67"/>
  <c r="C94" i="68" s="1"/>
  <c r="Z106" i="76"/>
  <c r="AA106" i="76"/>
  <c r="W106" i="76"/>
  <c r="U106" i="76"/>
  <c r="T106" i="76"/>
  <c r="U3" i="76" s="1"/>
  <c r="X106" i="76"/>
  <c r="Y106" i="76"/>
  <c r="V106" i="76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I94" i="67" l="1"/>
  <c r="C95" i="68" s="1"/>
  <c r="J94" i="67"/>
  <c r="Y41" i="73"/>
  <c r="Y42" i="73"/>
  <c r="P107" i="76"/>
  <c r="V107" i="76" s="1"/>
  <c r="Y39" i="73"/>
  <c r="W107" i="76"/>
  <c r="U107" i="76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R94" i="68" l="1"/>
  <c r="P108" i="76"/>
  <c r="I95" i="67"/>
  <c r="C96" i="68" s="1"/>
  <c r="X107" i="76"/>
  <c r="AA107" i="76"/>
  <c r="T107" i="76"/>
  <c r="Z107" i="76"/>
  <c r="Z108" i="76"/>
  <c r="W108" i="76"/>
  <c r="V108" i="76"/>
  <c r="X108" i="76"/>
  <c r="Y108" i="76"/>
  <c r="T108" i="76"/>
  <c r="AA108" i="76"/>
  <c r="U108" i="76"/>
  <c r="X12" i="69"/>
  <c r="D109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P109" i="76" l="1"/>
  <c r="I96" i="67"/>
  <c r="C97" i="68" s="1"/>
  <c r="D110" i="69"/>
  <c r="D112" i="69"/>
  <c r="D120" i="69"/>
  <c r="Z109" i="76"/>
  <c r="Y109" i="76"/>
  <c r="AA109" i="76"/>
  <c r="V109" i="76"/>
  <c r="X109" i="76"/>
  <c r="U109" i="76"/>
  <c r="T109" i="76"/>
  <c r="W109" i="76"/>
  <c r="D111" i="69"/>
  <c r="D119" i="69"/>
  <c r="D122" i="69"/>
  <c r="D117" i="69"/>
  <c r="AQ5" i="76"/>
  <c r="AQ9" i="76"/>
  <c r="AQ4" i="76"/>
  <c r="AQ6" i="76"/>
  <c r="AQ10" i="76"/>
  <c r="AQ8" i="76"/>
  <c r="AQ3" i="76"/>
  <c r="AQ7" i="76"/>
  <c r="D116" i="69"/>
  <c r="D115" i="69"/>
  <c r="D121" i="69"/>
  <c r="D118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3" i="69"/>
  <c r="D123" i="69"/>
  <c r="D114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R96" i="68" s="1"/>
  <c r="D97" i="67"/>
  <c r="I97" i="67" l="1"/>
  <c r="C98" i="68" s="1"/>
  <c r="J97" i="67"/>
  <c r="P110" i="76"/>
  <c r="AA110" i="76" s="1"/>
  <c r="Z110" i="76"/>
  <c r="T110" i="76"/>
  <c r="W110" i="76"/>
  <c r="BL9" i="76"/>
  <c r="BC9" i="76"/>
  <c r="BL4" i="76"/>
  <c r="BC4" i="76"/>
  <c r="BM10" i="76"/>
  <c r="BD10" i="76"/>
  <c r="BM5" i="76"/>
  <c r="BD5" i="76"/>
  <c r="BF3" i="76"/>
  <c r="AW3" i="76"/>
  <c r="BF4" i="76"/>
  <c r="AW4" i="76"/>
  <c r="BJ7" i="76"/>
  <c r="BA7" i="76"/>
  <c r="BJ6" i="76"/>
  <c r="BA6" i="76"/>
  <c r="BH9" i="76"/>
  <c r="AY9" i="76"/>
  <c r="BH4" i="76"/>
  <c r="AY4" i="76"/>
  <c r="BG9" i="76"/>
  <c r="AX9" i="76"/>
  <c r="BG4" i="76"/>
  <c r="AX4" i="76"/>
  <c r="BB9" i="76"/>
  <c r="BK9" i="76"/>
  <c r="BK4" i="76"/>
  <c r="BB4" i="76"/>
  <c r="BI7" i="76"/>
  <c r="AZ7" i="76"/>
  <c r="BI6" i="76"/>
  <c r="AZ6" i="76"/>
  <c r="BL10" i="76"/>
  <c r="BC10" i="76"/>
  <c r="BL5" i="76"/>
  <c r="BC5" i="76"/>
  <c r="BM7" i="76"/>
  <c r="BD7" i="76"/>
  <c r="BM6" i="76"/>
  <c r="BD6" i="76"/>
  <c r="BF10" i="76"/>
  <c r="AW10" i="76"/>
  <c r="BF7" i="76"/>
  <c r="AW7" i="76"/>
  <c r="BJ8" i="76"/>
  <c r="BA8" i="76"/>
  <c r="BJ3" i="76"/>
  <c r="BA3" i="76"/>
  <c r="BH10" i="76"/>
  <c r="AY10" i="76"/>
  <c r="BH5" i="76"/>
  <c r="AY5" i="76"/>
  <c r="BG5" i="76"/>
  <c r="AX5" i="76"/>
  <c r="BG10" i="76"/>
  <c r="AX10" i="76"/>
  <c r="BK5" i="76"/>
  <c r="BB5" i="76"/>
  <c r="BK6" i="76"/>
  <c r="BB6" i="76"/>
  <c r="BI3" i="76"/>
  <c r="AZ3" i="76"/>
  <c r="BI4" i="76"/>
  <c r="AZ4" i="76"/>
  <c r="BL6" i="76"/>
  <c r="BC6" i="76"/>
  <c r="BL7" i="76"/>
  <c r="BC7" i="76"/>
  <c r="BM8" i="76"/>
  <c r="BD8" i="76"/>
  <c r="BF5" i="76"/>
  <c r="AW5" i="76"/>
  <c r="BJ4" i="76"/>
  <c r="BA4" i="76"/>
  <c r="BJ5" i="76"/>
  <c r="BA5" i="76"/>
  <c r="BH6" i="76"/>
  <c r="AY6" i="76"/>
  <c r="BG6" i="76"/>
  <c r="AX6" i="76"/>
  <c r="AX7" i="76"/>
  <c r="BG7" i="76"/>
  <c r="BK10" i="76"/>
  <c r="BB10" i="76"/>
  <c r="BK7" i="76"/>
  <c r="BB7" i="76"/>
  <c r="BI8" i="76"/>
  <c r="AZ8" i="76"/>
  <c r="BI9" i="76"/>
  <c r="AZ9" i="76"/>
  <c r="BM3" i="76"/>
  <c r="BD3" i="76"/>
  <c r="BF6" i="76"/>
  <c r="AW6" i="76"/>
  <c r="AY3" i="76"/>
  <c r="BH3" i="76"/>
  <c r="BL3" i="76"/>
  <c r="BC3" i="76"/>
  <c r="BL8" i="76"/>
  <c r="BC8" i="76"/>
  <c r="BM4" i="76"/>
  <c r="BD4" i="76"/>
  <c r="BM9" i="76"/>
  <c r="BD9" i="76"/>
  <c r="BF9" i="76"/>
  <c r="AW9" i="76"/>
  <c r="BF8" i="76"/>
  <c r="AW8" i="76"/>
  <c r="BJ9" i="76"/>
  <c r="BA9" i="76"/>
  <c r="BJ10" i="76"/>
  <c r="BA10" i="76"/>
  <c r="BH7" i="76"/>
  <c r="AY7" i="76"/>
  <c r="BH8" i="76"/>
  <c r="AY8" i="76"/>
  <c r="BG8" i="76"/>
  <c r="AX8" i="76"/>
  <c r="BG3" i="76"/>
  <c r="AX3" i="76"/>
  <c r="BB8" i="76"/>
  <c r="BK8" i="76"/>
  <c r="BK3" i="76"/>
  <c r="BB3" i="76"/>
  <c r="BI10" i="76"/>
  <c r="AZ10" i="76"/>
  <c r="BI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I98" i="67"/>
  <c r="C99" i="68" s="1"/>
  <c r="Z111" i="76"/>
  <c r="W111" i="76"/>
  <c r="T111" i="76"/>
  <c r="X111" i="76"/>
  <c r="U111" i="76"/>
  <c r="V111" i="76"/>
  <c r="Y111" i="76"/>
  <c r="AA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P112" i="76" l="1"/>
  <c r="I99" i="67"/>
  <c r="C100" i="68" s="1"/>
  <c r="R98" i="68"/>
  <c r="Z112" i="76"/>
  <c r="W112" i="76"/>
  <c r="V112" i="76"/>
  <c r="X112" i="76"/>
  <c r="Y112" i="76"/>
  <c r="T112" i="76"/>
  <c r="AA112" i="76"/>
  <c r="U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P113" i="76" l="1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T5" i="67"/>
  <c r="B6" i="76" s="1"/>
  <c r="T6" i="67"/>
  <c r="B7" i="76" s="1"/>
  <c r="T7" i="67"/>
  <c r="B8" i="76" s="1"/>
  <c r="T11" i="67"/>
  <c r="B12" i="76" s="1"/>
  <c r="T12" i="67"/>
  <c r="B13" i="76" s="1"/>
  <c r="T13" i="67"/>
  <c r="B14" i="76" s="1"/>
  <c r="Z116" i="76"/>
  <c r="W116" i="76"/>
  <c r="V116" i="76"/>
  <c r="X116" i="76"/>
  <c r="Y116" i="76"/>
  <c r="T116" i="76"/>
  <c r="AA116" i="76"/>
  <c r="U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P11" i="67"/>
  <c r="P10" i="67"/>
  <c r="P9" i="67"/>
  <c r="Q9" i="67" s="1"/>
  <c r="P13" i="67"/>
  <c r="P14" i="67"/>
  <c r="P12" i="67"/>
  <c r="B10" i="76"/>
  <c r="D6" i="71" l="1"/>
  <c r="D12" i="71"/>
  <c r="D11" i="71"/>
  <c r="D10" i="71"/>
  <c r="D5" i="71"/>
  <c r="D8" i="71"/>
  <c r="D7" i="71"/>
  <c r="D13" i="71"/>
  <c r="B117" i="71" s="1"/>
  <c r="D9" i="71"/>
  <c r="Q12" i="67"/>
  <c r="J105" i="75"/>
  <c r="C105" i="75"/>
  <c r="AD64" i="65" s="1"/>
  <c r="Q104" i="75"/>
  <c r="N104" i="75"/>
  <c r="O104" i="75"/>
  <c r="P104" i="75"/>
  <c r="N15" i="73"/>
  <c r="K15" i="73"/>
  <c r="L15" i="73"/>
  <c r="I5" i="73" s="1"/>
  <c r="Q14" i="67"/>
  <c r="N14" i="73"/>
  <c r="K14" i="73"/>
  <c r="N13" i="73"/>
  <c r="K13" i="73"/>
  <c r="B32" i="71"/>
  <c r="B47" i="71"/>
  <c r="B57" i="71"/>
  <c r="B67" i="71"/>
  <c r="B77" i="71"/>
  <c r="B87" i="71"/>
  <c r="B97" i="71"/>
  <c r="B107" i="71"/>
  <c r="Q10" i="67"/>
  <c r="P103" i="68"/>
  <c r="Q103" i="68" s="1"/>
  <c r="R103" i="68" s="1"/>
  <c r="X13" i="69"/>
  <c r="G104" i="68"/>
  <c r="E104" i="68"/>
  <c r="X4" i="69" s="1"/>
  <c r="Q13" i="67"/>
  <c r="Q11" i="67"/>
  <c r="AD51" i="65" l="1"/>
  <c r="AD58" i="65"/>
  <c r="AD67" i="65"/>
  <c r="AD55" i="65"/>
  <c r="AD61" i="65"/>
  <c r="K5" i="73"/>
  <c r="AD75" i="65"/>
  <c r="AD71" i="65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AD65" i="65"/>
  <c r="AD57" i="65"/>
  <c r="AD84" i="65"/>
  <c r="AD54" i="65"/>
  <c r="AD88" i="65"/>
  <c r="AD94" i="65"/>
  <c r="AD74" i="65"/>
  <c r="AD87" i="65"/>
  <c r="AD80" i="65"/>
  <c r="AD46" i="65"/>
  <c r="AD6" i="65"/>
  <c r="AD39" i="65"/>
  <c r="AD77" i="65"/>
  <c r="AD17" i="65"/>
  <c r="AD96" i="65"/>
  <c r="AD60" i="65"/>
  <c r="AD48" i="65"/>
  <c r="AD56" i="65"/>
  <c r="AD70" i="65"/>
  <c r="AD15" i="65"/>
  <c r="AD83" i="65"/>
  <c r="AD16" i="65"/>
  <c r="AD100" i="65"/>
  <c r="AD97" i="65"/>
  <c r="AD91" i="65"/>
  <c r="AD82" i="65"/>
  <c r="AD7" i="65"/>
  <c r="AD63" i="65"/>
  <c r="AD52" i="65"/>
  <c r="AD10" i="65"/>
  <c r="AD62" i="65"/>
  <c r="AD9" i="65"/>
  <c r="AD13" i="65"/>
  <c r="AD81" i="65"/>
  <c r="AD42" i="65"/>
  <c r="AD102" i="65"/>
  <c r="AD76" i="65"/>
  <c r="AD99" i="65"/>
  <c r="AD73" i="65"/>
  <c r="AD89" i="65"/>
  <c r="AD12" i="65"/>
  <c r="AD85" i="65"/>
  <c r="AD103" i="65"/>
  <c r="AD44" i="65"/>
  <c r="AD98" i="65"/>
  <c r="AD78" i="65"/>
  <c r="AD93" i="65"/>
  <c r="AD5" i="65"/>
  <c r="AD86" i="65"/>
  <c r="AD66" i="65"/>
  <c r="AD95" i="65"/>
  <c r="AD50" i="65"/>
  <c r="AD11" i="65"/>
  <c r="AD101" i="65"/>
  <c r="AD59" i="65"/>
  <c r="AD69" i="65"/>
  <c r="AD72" i="65"/>
  <c r="AD68" i="65"/>
  <c r="AD90" i="65"/>
  <c r="AD92" i="65"/>
  <c r="AD8" i="65"/>
  <c r="AD14" i="65"/>
  <c r="AD18" i="65"/>
  <c r="AD19" i="65"/>
  <c r="AD22" i="65"/>
  <c r="AD20" i="65"/>
  <c r="AD23" i="65"/>
  <c r="AD21" i="65"/>
  <c r="AD24" i="65"/>
  <c r="AD26" i="65"/>
  <c r="AD25" i="65"/>
  <c r="AD27" i="65"/>
  <c r="AD28" i="65"/>
  <c r="AD29" i="65"/>
  <c r="AD30" i="65"/>
  <c r="AD31" i="65"/>
  <c r="AD32" i="65"/>
  <c r="AD33" i="65"/>
  <c r="AD34" i="65"/>
  <c r="AD35" i="65"/>
  <c r="AD36" i="65"/>
  <c r="AD37" i="65"/>
  <c r="AD38" i="65"/>
  <c r="AD41" i="65"/>
  <c r="AD43" i="65"/>
  <c r="AD40" i="65"/>
  <c r="AD45" i="65"/>
  <c r="AD53" i="65"/>
  <c r="AD49" i="65"/>
  <c r="AD47" i="65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H117" i="71" l="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57" i="69"/>
  <c r="D58" i="69"/>
  <c r="D59" i="69"/>
  <c r="D60" i="69"/>
  <c r="D49" i="69"/>
  <c r="D61" i="69"/>
  <c r="D50" i="69"/>
  <c r="D62" i="69"/>
  <c r="D51" i="69"/>
  <c r="D63" i="69"/>
  <c r="D52" i="69"/>
  <c r="D53" i="69"/>
  <c r="D54" i="69"/>
  <c r="D55" i="69"/>
  <c r="D56" i="69"/>
  <c r="N6" i="73"/>
  <c r="AB31" i="73" s="1"/>
  <c r="M6" i="73"/>
  <c r="F116" i="71"/>
  <c r="I116" i="71"/>
  <c r="G116" i="71"/>
  <c r="H116" i="71"/>
  <c r="D45" i="69"/>
  <c r="D34" i="69"/>
  <c r="D46" i="69"/>
  <c r="D35" i="69"/>
  <c r="D47" i="69"/>
  <c r="D36" i="69"/>
  <c r="D48" i="69"/>
  <c r="D43" i="69"/>
  <c r="D37" i="69"/>
  <c r="D38" i="69"/>
  <c r="D41" i="69"/>
  <c r="D39" i="69"/>
  <c r="D40" i="69"/>
  <c r="D42" i="69"/>
  <c r="D44" i="69"/>
  <c r="AD79" i="65"/>
  <c r="AD4" i="65"/>
  <c r="F110" i="71"/>
  <c r="I110" i="71"/>
  <c r="G110" i="71"/>
  <c r="H110" i="71"/>
  <c r="D21" i="69"/>
  <c r="D33" i="69"/>
  <c r="D31" i="69"/>
  <c r="D22" i="69"/>
  <c r="D23" i="69"/>
  <c r="D24" i="69"/>
  <c r="D25" i="69"/>
  <c r="D26" i="69"/>
  <c r="D27" i="69"/>
  <c r="D19" i="69"/>
  <c r="D28" i="69"/>
  <c r="D29" i="69"/>
  <c r="D30" i="69"/>
  <c r="D20" i="69"/>
  <c r="D32" i="69"/>
  <c r="V3" i="75"/>
  <c r="V6" i="75"/>
  <c r="V5" i="75"/>
  <c r="V4" i="75"/>
  <c r="H113" i="71"/>
  <c r="I113" i="71"/>
  <c r="F113" i="71"/>
  <c r="G113" i="71"/>
  <c r="D10" i="69"/>
  <c r="D11" i="69"/>
  <c r="D12" i="69"/>
  <c r="D13" i="69"/>
  <c r="D14" i="69"/>
  <c r="D15" i="69"/>
  <c r="D16" i="69"/>
  <c r="D17" i="69"/>
  <c r="D18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68" i="69"/>
  <c r="AJ74" i="69"/>
  <c r="AJ78" i="69"/>
  <c r="AJ76" i="69"/>
  <c r="AJ75" i="69"/>
  <c r="AJ65" i="69"/>
  <c r="AJ69" i="69"/>
  <c r="AJ73" i="69"/>
  <c r="AJ77" i="69"/>
  <c r="AJ66" i="69"/>
  <c r="AJ72" i="69"/>
  <c r="AJ67" i="69"/>
  <c r="AJ71" i="69"/>
  <c r="AJ70" i="69"/>
  <c r="AJ64" i="69"/>
  <c r="AJ40" i="69"/>
  <c r="AJ42" i="69"/>
  <c r="AJ48" i="69"/>
  <c r="AJ46" i="69"/>
  <c r="AJ47" i="69"/>
  <c r="AJ39" i="69"/>
  <c r="AJ44" i="69"/>
  <c r="AJ36" i="69"/>
  <c r="AJ37" i="69"/>
  <c r="AJ41" i="69"/>
  <c r="AJ35" i="69"/>
  <c r="AJ45" i="69"/>
  <c r="AJ43" i="69"/>
  <c r="AJ34" i="69"/>
  <c r="AJ38" i="69"/>
  <c r="AJ24" i="69"/>
  <c r="AJ30" i="69"/>
  <c r="AJ32" i="69"/>
  <c r="AJ28" i="69"/>
  <c r="AJ31" i="69"/>
  <c r="AJ19" i="69"/>
  <c r="AJ23" i="69"/>
  <c r="AJ20" i="69"/>
  <c r="AJ21" i="69"/>
  <c r="AJ25" i="69"/>
  <c r="AJ29" i="69"/>
  <c r="AJ33" i="69"/>
  <c r="AJ22" i="69"/>
  <c r="AJ26" i="69"/>
  <c r="AJ27" i="69"/>
  <c r="AJ16" i="69"/>
  <c r="AJ11" i="69"/>
  <c r="AJ13" i="69"/>
  <c r="AJ12" i="69"/>
  <c r="AJ17" i="69"/>
  <c r="AJ15" i="69"/>
  <c r="AJ14" i="69"/>
  <c r="AJ10" i="69"/>
  <c r="AJ18" i="69"/>
  <c r="AJ8" i="69"/>
  <c r="AJ4" i="69"/>
  <c r="AJ5" i="69"/>
  <c r="AJ9" i="69"/>
  <c r="AJ6" i="69"/>
  <c r="AJ7" i="69"/>
  <c r="AJ111" i="69"/>
  <c r="AJ118" i="69"/>
  <c r="AJ114" i="69"/>
  <c r="AJ110" i="69"/>
  <c r="AJ123" i="69"/>
  <c r="AJ120" i="69"/>
  <c r="AJ119" i="69"/>
  <c r="AJ116" i="69"/>
  <c r="AJ115" i="69"/>
  <c r="AJ112" i="69"/>
  <c r="AJ117" i="69"/>
  <c r="AJ121" i="69"/>
  <c r="AJ113" i="69"/>
  <c r="AJ109" i="69"/>
  <c r="AJ122" i="69"/>
  <c r="AJ96" i="69"/>
  <c r="AJ106" i="69"/>
  <c r="AJ100" i="69"/>
  <c r="AJ97" i="69"/>
  <c r="AJ101" i="69"/>
  <c r="AJ94" i="69"/>
  <c r="AJ98" i="69"/>
  <c r="AJ107" i="69"/>
  <c r="AJ108" i="69"/>
  <c r="AJ102" i="69"/>
  <c r="AJ103" i="69"/>
  <c r="AJ95" i="69"/>
  <c r="AJ104" i="69"/>
  <c r="AJ99" i="69"/>
  <c r="AJ105" i="69"/>
  <c r="AJ51" i="69"/>
  <c r="AJ58" i="69"/>
  <c r="AJ56" i="69"/>
  <c r="AJ55" i="69"/>
  <c r="AJ62" i="69"/>
  <c r="AJ60" i="69"/>
  <c r="AJ52" i="69"/>
  <c r="AJ49" i="69"/>
  <c r="AJ53" i="69"/>
  <c r="AJ57" i="69"/>
  <c r="AJ59" i="69"/>
  <c r="AJ61" i="69"/>
  <c r="AJ50" i="69"/>
  <c r="AJ54" i="69"/>
  <c r="AJ63" i="69"/>
  <c r="AJ89" i="69"/>
  <c r="AJ93" i="69"/>
  <c r="AJ92" i="69"/>
  <c r="AJ84" i="69"/>
  <c r="AJ82" i="69"/>
  <c r="AJ91" i="69"/>
  <c r="AJ86" i="69"/>
  <c r="AJ90" i="69"/>
  <c r="AJ88" i="69"/>
  <c r="AJ87" i="69"/>
  <c r="AJ80" i="69"/>
  <c r="AJ83" i="69"/>
  <c r="AJ79" i="69"/>
  <c r="AJ81" i="69"/>
  <c r="AJ85" i="69"/>
  <c r="J47" i="71" l="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<sst xmlns="http://schemas.openxmlformats.org/spreadsheetml/2006/main" count="3377" uniqueCount="833">
  <si>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</si>
  <si>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</si>
  <si>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</si>
  <si>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</si>
  <si>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</si>
  <si>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</si>
  <si>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</si>
  <si>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</si>
  <si>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</si>
  <si>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</si>
  <si>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</si>
  <si>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</si>
  <si>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</si>
  <si>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</si>
  <si>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</si>
  <si>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</si>
  <si>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</si>
  <si>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</si>
  <si>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</si>
  <si>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</si>
  <si>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</si>
  <si>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</si>
  <si>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</si>
  <si>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</si>
  <si>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</si>
  <si>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</si>
  <si>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</si>
  <si>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</si>
  <si>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</si>
  <si>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</si>
  <si>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</si>
  <si>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</si>
  <si>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</si>
  <si>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</si>
  <si>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</si>
  <si>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</si>
  <si>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</si>
  <si>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</si>
  <si>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</si>
  <si>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</si>
  <si>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</si>
  <si>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</si>
  <si>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</si>
  <si>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</si>
  <si>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</si>
  <si>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</si>
  <si>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</si>
  <si>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</si>
  <si>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</si>
  <si>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</si>
  <si>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</si>
  <si>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</si>
  <si>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</si>
  <si>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</si>
  <si>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</si>
  <si>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</si>
  <si>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</si>
  <si>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</si>
  <si>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</si>
  <si>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</si>
  <si>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</si>
  <si>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</si>
  <si>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</si>
  <si>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</si>
  <si>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</si>
  <si>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</si>
  <si>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</si>
  <si>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</si>
  <si>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</si>
  <si>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</si>
  <si>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</si>
  <si>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</si>
  <si>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</si>
  <si>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</si>
  <si>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</si>
  <si>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</si>
  <si>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</si>
  <si>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</si>
  <si>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</si>
  <si>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</si>
  <si>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</si>
  <si>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</si>
  <si>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</si>
  <si>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</si>
  <si>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</si>
  <si>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</si>
  <si>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</si>
  <si>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</si>
  <si>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</si>
  <si>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</si>
  <si>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</si>
  <si>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</si>
  <si>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</si>
  <si>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</si>
  <si>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</si>
  <si>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</si>
  <si>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</si>
  <si>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</si>
  <si>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</si>
  <si>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</si>
  <si>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</si>
  <si>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</si>
  <si>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</si>
  <si>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</si>
  <si>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</si>
  <si>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</si>
  <si>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</si>
  <si>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</si>
  <si>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</si>
  <si>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</si>
  <si>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</si>
  <si>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</si>
  <si>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</si>
  <si>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</si>
  <si>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</si>
  <si>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</si>
  <si>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</si>
  <si>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</si>
  <si>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</si>
  <si>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</si>
  <si>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</si>
  <si>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</si>
  <si>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</si>
  <si>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</si>
  <si>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</si>
  <si>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</si>
  <si>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</si>
  <si>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</si>
  <si>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</si>
  <si>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</si>
  <si>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</si>
  <si>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</si>
  <si>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</si>
  <si>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</si>
  <si>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</si>
  <si>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</si>
  <si>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</si>
  <si>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</si>
  <si>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</si>
  <si>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</si>
  <si>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</si>
  <si>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</si>
  <si>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</si>
  <si>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</si>
  <si>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</si>
  <si>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</si>
  <si>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</si>
  <si>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</si>
  <si>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</si>
  <si>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</si>
  <si>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</si>
  <si>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</si>
  <si>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</si>
  <si>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</si>
  <si>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</si>
  <si>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</si>
  <si>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</si>
  <si>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</si>
  <si>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</si>
  <si>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</si>
  <si>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</si>
  <si>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</si>
  <si>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</si>
  <si>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</si>
  <si>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</si>
  <si>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</si>
  <si>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</si>
  <si>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</si>
  <si>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</si>
  <si>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</si>
  <si>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</si>
  <si>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</si>
  <si>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</si>
  <si>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</si>
  <si>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</si>
  <si>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</si>
  <si>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</si>
  <si>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</si>
  <si>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</si>
  <si>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</si>
  <si>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</si>
  <si>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</si>
  <si>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</si>
  <si>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</si>
  <si>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</si>
  <si>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</si>
  <si>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</si>
  <si>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</si>
  <si>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</si>
  <si>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</si>
  <si>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</si>
  <si>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</si>
  <si>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</si>
  <si>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</si>
  <si>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</si>
  <si>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</si>
  <si>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</si>
  <si>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</si>
  <si>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</si>
  <si>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</si>
  <si>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</si>
  <si>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</si>
  <si>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</si>
  <si>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</si>
  <si>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</si>
  <si>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</si>
  <si>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</si>
  <si>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</si>
  <si>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</si>
  <si>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</si>
  <si>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</si>
  <si>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</si>
  <si>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</si>
  <si>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</si>
  <si>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</si>
  <si>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</si>
  <si>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</si>
  <si>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</si>
  <si>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</si>
  <si>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</si>
  <si>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</si>
  <si>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</si>
  <si>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</si>
  <si>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</si>
  <si>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</si>
  <si>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</si>
  <si>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</si>
  <si>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</si>
  <si>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</si>
  <si>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</si>
  <si>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</si>
  <si>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</si>
  <si>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</si>
  <si>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</si>
  <si>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</si>
  <si>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</si>
  <si>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</si>
  <si>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</si>
  <si>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</si>
  <si>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</si>
  <si>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</si>
  <si>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</si>
  <si>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</si>
  <si>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</si>
  <si>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</si>
  <si>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</si>
  <si>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</si>
  <si>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</si>
  <si>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</si>
  <si>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</si>
  <si>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</si>
  <si>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</si>
  <si>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</si>
  <si>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</si>
  <si>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</si>
  <si>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</si>
  <si>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</si>
  <si>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</si>
  <si>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</si>
  <si>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</si>
  <si>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</si>
  <si>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</si>
  <si>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</si>
  <si>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</si>
  <si>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</si>
  <si>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</si>
  <si>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</si>
  <si>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</si>
  <si>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</si>
  <si>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</si>
  <si>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</si>
  <si>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</si>
  <si>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</si>
  <si>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</si>
  <si>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</si>
  <si>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</si>
  <si>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</si>
  <si>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</si>
  <si>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</si>
  <si>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</si>
  <si>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</si>
  <si>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</si>
  <si>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</si>
  <si>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</si>
  <si>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</si>
  <si>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</si>
  <si>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</si>
  <si>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</si>
  <si>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</si>
  <si>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</si>
  <si>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</si>
  <si>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</si>
  <si>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</si>
  <si>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</si>
  <si>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</si>
  <si>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</si>
  <si>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</si>
  <si>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</si>
  <si>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</si>
  <si>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</si>
  <si>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</si>
  <si>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</si>
  <si>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</si>
  <si>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</si>
  <si>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</si>
  <si>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</si>
  <si>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</si>
  <si>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</si>
  <si>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</si>
  <si>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</si>
  <si>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</si>
  <si>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</si>
  <si>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</si>
  <si>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</si>
  <si>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</si>
  <si>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</si>
  <si>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</si>
  <si>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</si>
  <si>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</si>
  <si>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</si>
  <si>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</si>
  <si>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</si>
  <si>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</si>
  <si>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</si>
  <si>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</si>
  <si>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</si>
  <si>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</si>
  <si>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</si>
  <si>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</si>
  <si>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</si>
  <si>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</si>
  <si>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</si>
  <si>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</si>
  <si>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</si>
  <si>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</si>
  <si>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</si>
  <si>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</si>
  <si>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</si>
  <si>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</si>
  <si>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</si>
  <si>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</si>
  <si>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</si>
  <si>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</si>
  <si>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</si>
  <si>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</si>
  <si>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</si>
  <si>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</si>
  <si>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</si>
  <si>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</si>
  <si>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</si>
  <si>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</si>
  <si>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</si>
  <si>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</si>
  <si>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</si>
  <si>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</si>
  <si>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</si>
  <si>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</si>
  <si>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</si>
  <si>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</si>
  <si>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</si>
  <si>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</si>
  <si>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</si>
  <si>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</si>
  <si>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</si>
  <si>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</si>
  <si>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</si>
  <si>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</si>
  <si>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</si>
  <si>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</si>
  <si>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</si>
  <si>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</si>
  <si>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</si>
  <si>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</si>
  <si>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</si>
  <si>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</si>
  <si>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</si>
  <si>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</si>
  <si>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</si>
  <si>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</si>
  <si>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</si>
  <si>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</si>
  <si>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</si>
  <si>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</si>
  <si>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</si>
  <si>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</si>
  <si>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</si>
  <si>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</si>
  <si>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</si>
  <si>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</si>
  <si>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</si>
  <si>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</si>
  <si>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</si>
  <si>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</si>
  <si>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</si>
  <si>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</si>
  <si>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</si>
  <si>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</si>
  <si>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</si>
  <si>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</si>
  <si>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</si>
  <si>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</si>
  <si>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</si>
  <si>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</si>
  <si>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</si>
  <si>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</si>
  <si>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</si>
  <si>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</si>
  <si>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</si>
  <si>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</si>
  <si>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</si>
  <si>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</si>
  <si>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</si>
  <si>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</si>
  <si>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</si>
  <si>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</si>
  <si>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</si>
  <si>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</si>
  <si>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</si>
  <si>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</si>
  <si>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</si>
  <si>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</si>
  <si>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</si>
  <si>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</si>
  <si>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</si>
  <si>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</si>
  <si>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</si>
  <si>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</si>
  <si>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</si>
  <si>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</si>
  <si>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</si>
  <si>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</si>
  <si>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</si>
  <si>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</si>
  <si>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</si>
  <si>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</si>
  <si>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</si>
  <si>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</si>
  <si>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</si>
  <si>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</si>
  <si>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</si>
  <si>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</si>
  <si>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</si>
  <si>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</si>
  <si>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</si>
  <si>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</si>
  <si>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</si>
  <si>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</si>
  <si>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</si>
  <si>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</si>
  <si>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</si>
  <si>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</si>
  <si>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</si>
  <si>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</si>
  <si>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</si>
  <si>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</si>
  <si>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</si>
  <si>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</si>
  <si>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</si>
  <si>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</si>
  <si>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</si>
  <si>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</si>
  <si>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</si>
  <si>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</si>
  <si>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</si>
  <si>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</si>
  <si>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</si>
  <si>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</si>
  <si>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</si>
  <si>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</si>
  <si>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</si>
  <si>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</si>
  <si>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</si>
  <si>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</si>
  <si>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</si>
  <si>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</si>
  <si>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</si>
  <si>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</si>
  <si>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</si>
  <si>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</si>
  <si>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</si>
  <si>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</si>
  <si>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</si>
  <si>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</si>
  <si>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</si>
  <si>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</si>
  <si>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</si>
  <si>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</si>
  <si>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</si>
  <si>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</si>
  <si>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</si>
  <si>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</si>
  <si>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</si>
  <si>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</si>
  <si>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</si>
  <si>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</si>
  <si>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</si>
  <si>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</si>
  <si>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</si>
  <si>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</si>
  <si>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</si>
  <si>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</si>
  <si>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</si>
  <si>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</si>
  <si>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</si>
  <si>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</si>
  <si>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</si>
  <si>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</si>
  <si>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</si>
  <si>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</si>
  <si>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</si>
  <si>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</si>
  <si>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</si>
  <si>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</si>
  <si>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</si>
  <si>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</si>
  <si>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</si>
  <si>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</si>
  <si>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</si>
  <si>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</si>
  <si>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</si>
  <si>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</si>
  <si>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</si>
  <si>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</si>
  <si>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</si>
  <si>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</si>
  <si>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</si>
  <si>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</si>
  <si>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</si>
  <si>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</si>
  <si>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</si>
  <si>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</si>
  <si>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</si>
  <si>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</si>
  <si>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</si>
  <si>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</si>
  <si>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</si>
  <si>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</si>
  <si>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</si>
  <si>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</si>
  <si>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</si>
  <si>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</si>
  <si>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</si>
  <si>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</si>
  <si>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</si>
  <si>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</si>
  <si>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</si>
  <si>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</si>
  <si>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</si>
  <si>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</si>
  <si>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</si>
  <si>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</si>
  <si>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</si>
  <si>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</si>
  <si>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</si>
  <si>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</si>
  <si>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</si>
  <si>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</si>
  <si>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</si>
  <si>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</si>
  <si>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</si>
  <si>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</si>
  <si>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</si>
  <si>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</si>
  <si>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</si>
  <si>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</si>
  <si>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</si>
  <si>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</si>
  <si>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</si>
  <si>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SSR</t>
    <phoneticPr fontId="2" type="noConversion"/>
  </si>
  <si>
    <t>R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</si>
  <si>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</si>
  <si>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</si>
  <si>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</si>
  <si>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</si>
  <si>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</si>
  <si>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</si>
  <si>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</si>
  <si>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</si>
  <si>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</si>
  <si>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</si>
  <si>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</si>
  <si>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</si>
  <si>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</si>
  <si>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</si>
  <si>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</si>
  <si>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P</t>
    <phoneticPr fontId="2" type="noConversion"/>
  </si>
  <si>
    <t>t</t>
    <phoneticPr fontId="2" type="noConversion"/>
  </si>
  <si>
    <t>P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</si>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</sst>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2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5" t="s">
        <v>313</v>
      </c>
      <c r="C2" s="36"/>
      <c r="D2" s="36"/>
      <c r="E2" s="37"/>
    </row>
    <row r="3" spans="2:5" ht="35.1" customHeight="1" x14ac:dyDescent="0.2">
      <c r="B3" s="2" t="s">
        <v>0</v>
      </c>
      <c r="C3" s="3" t="s">
        <v>11</v>
      </c>
      <c r="D3" s="38" t="s">
        <v>1</v>
      </c>
      <c r="E3" s="40" t="s">
        <v>314</v>
      </c>
    </row>
    <row r="4" spans="2:5" ht="35.1" customHeight="1" x14ac:dyDescent="0.2">
      <c r="B4" s="2" t="s">
        <v>2</v>
      </c>
      <c r="C4" s="3" t="s">
        <v>12</v>
      </c>
      <c r="D4" s="39"/>
      <c r="E4" s="41"/>
    </row>
    <row r="5" spans="2:5" ht="35.1" customHeight="1" x14ac:dyDescent="0.2">
      <c r="B5" s="4" t="s">
        <v>3</v>
      </c>
      <c r="C5" s="42" t="s">
        <v>315</v>
      </c>
      <c r="D5" s="43"/>
      <c r="E5" s="44"/>
    </row>
    <row r="6" spans="2:5" ht="18" x14ac:dyDescent="0.2">
      <c r="B6" s="45" t="s">
        <v>4</v>
      </c>
      <c r="C6" s="46"/>
      <c r="D6" s="46"/>
      <c r="E6" s="47"/>
    </row>
    <row r="7" spans="2:5" ht="18" x14ac:dyDescent="0.2">
      <c r="B7" s="5" t="s">
        <v>5</v>
      </c>
      <c r="C7" s="6" t="s">
        <v>6</v>
      </c>
      <c r="D7" s="33" t="s">
        <v>7</v>
      </c>
      <c r="E7" s="34"/>
    </row>
    <row r="8" spans="2:5" x14ac:dyDescent="0.2">
      <c r="B8" s="7">
        <v>43490</v>
      </c>
      <c r="C8" s="8" t="s">
        <v>10</v>
      </c>
      <c r="D8" s="48" t="s">
        <v>8</v>
      </c>
      <c r="E8" s="49"/>
    </row>
    <row r="9" spans="2:5" x14ac:dyDescent="0.2">
      <c r="B9" s="7"/>
      <c r="C9" s="8"/>
      <c r="D9" s="48"/>
      <c r="E9" s="49"/>
    </row>
    <row r="10" spans="2:5" x14ac:dyDescent="0.2">
      <c r="B10" s="9"/>
      <c r="C10" s="8"/>
      <c r="D10" s="48"/>
      <c r="E10" s="49"/>
    </row>
    <row r="11" spans="2:5" x14ac:dyDescent="0.2">
      <c r="B11" s="9"/>
      <c r="C11" s="8"/>
      <c r="D11" s="48"/>
      <c r="E11" s="49"/>
    </row>
    <row r="12" spans="2:5" x14ac:dyDescent="0.2">
      <c r="B12" s="9"/>
      <c r="C12" s="8"/>
      <c r="D12" s="48"/>
      <c r="E12" s="49"/>
    </row>
    <row r="13" spans="2:5" x14ac:dyDescent="0.2">
      <c r="B13" s="9"/>
      <c r="C13" s="8"/>
      <c r="D13" s="48"/>
      <c r="E13" s="49"/>
    </row>
    <row r="14" spans="2:5" x14ac:dyDescent="0.2">
      <c r="B14" s="9"/>
      <c r="C14" s="8"/>
      <c r="D14" s="48"/>
      <c r="E14" s="49"/>
    </row>
    <row r="15" spans="2:5" x14ac:dyDescent="0.2">
      <c r="B15" s="9"/>
      <c r="C15" s="8"/>
      <c r="D15" s="48"/>
      <c r="E15" s="49"/>
    </row>
    <row r="16" spans="2:5" x14ac:dyDescent="0.2">
      <c r="B16" s="9"/>
      <c r="C16" s="8"/>
      <c r="D16" s="48"/>
      <c r="E16" s="49"/>
    </row>
    <row r="17" spans="2:5" x14ac:dyDescent="0.2">
      <c r="B17" s="9"/>
      <c r="C17" s="8"/>
      <c r="D17" s="48"/>
      <c r="E17" s="49"/>
    </row>
    <row r="18" spans="2:5" x14ac:dyDescent="0.2">
      <c r="B18" s="9"/>
      <c r="C18" s="8"/>
      <c r="D18" s="48"/>
      <c r="E18" s="49"/>
    </row>
    <row r="19" spans="2:5" x14ac:dyDescent="0.2">
      <c r="B19" s="9"/>
      <c r="C19" s="8"/>
      <c r="D19" s="48"/>
      <c r="E19" s="49"/>
    </row>
    <row r="20" spans="2:5" x14ac:dyDescent="0.2">
      <c r="B20" s="9"/>
      <c r="C20" s="8"/>
      <c r="D20" s="48"/>
      <c r="E20" s="49"/>
    </row>
    <row r="21" spans="2:5" x14ac:dyDescent="0.2">
      <c r="B21" s="9"/>
      <c r="C21" s="8"/>
      <c r="D21" s="48"/>
      <c r="E21" s="49"/>
    </row>
    <row r="22" spans="2:5" x14ac:dyDescent="0.2">
      <c r="B22" s="9"/>
      <c r="C22" s="8"/>
      <c r="D22" s="48"/>
      <c r="E22" s="49"/>
    </row>
    <row r="23" spans="2:5" x14ac:dyDescent="0.2">
      <c r="B23" s="9"/>
      <c r="C23" s="8"/>
      <c r="D23" s="48"/>
      <c r="E23" s="49"/>
    </row>
    <row r="24" spans="2:5" x14ac:dyDescent="0.2">
      <c r="B24" s="9"/>
      <c r="C24" s="8"/>
      <c r="D24" s="48"/>
      <c r="E24" s="49"/>
    </row>
    <row r="25" spans="2:5" x14ac:dyDescent="0.2">
      <c r="B25" s="9"/>
      <c r="C25" s="8"/>
      <c r="D25" s="48"/>
      <c r="E25" s="49"/>
    </row>
    <row r="26" spans="2:5" x14ac:dyDescent="0.2">
      <c r="B26" s="9"/>
      <c r="C26" s="8"/>
      <c r="D26" s="48"/>
      <c r="E26" s="49"/>
    </row>
    <row r="27" spans="2:5" x14ac:dyDescent="0.2">
      <c r="B27" s="9"/>
      <c r="C27" s="8"/>
      <c r="D27" s="48"/>
      <c r="E27" s="49"/>
    </row>
    <row r="28" spans="2:5" ht="18" thickBot="1" x14ac:dyDescent="0.25">
      <c r="B28" s="10"/>
      <c r="C28" s="11"/>
      <c r="D28" s="50"/>
      <c r="E28" s="51"/>
    </row>
    <row r="30" spans="2:5" x14ac:dyDescent="0.2">
      <c r="B30" s="52" t="s">
        <v>9</v>
      </c>
      <c r="C30" s="52"/>
      <c r="D30" s="52"/>
      <c r="E30" s="5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0" workbookViewId="0">
      <selection activeCell="L21" sqref="L21"/>
    </sheetView>
  </sheetViews>
  <sheetFormatPr defaultRowHeight="14.25" x14ac:dyDescent="0.2"/>
  <cols>
    <col min="1" max="1" width="13.875" customWidth="1"/>
    <col min="2" max="2" width="17.875" customWidth="1"/>
    <col min="3" max="3" width="12" customWidth="1"/>
    <col min="4" max="4" width="13.875" bestFit="1" customWidth="1"/>
    <col min="5" max="5" width="12.5" customWidth="1"/>
    <col min="6" max="6" width="11.125" customWidth="1"/>
    <col min="7" max="7" width="11.375" customWidth="1"/>
  </cols>
  <sheetData>
    <row r="1" spans="1:7" ht="16.5" x14ac:dyDescent="0.2">
      <c r="A1" s="17" t="s">
        <v>585</v>
      </c>
      <c r="B1" s="14">
        <v>0.15</v>
      </c>
      <c r="C1" s="14"/>
      <c r="D1" s="14"/>
      <c r="E1" s="14"/>
      <c r="F1" s="14"/>
      <c r="G1" s="14"/>
    </row>
    <row r="2" spans="1:7" ht="16.5" x14ac:dyDescent="0.2">
      <c r="A2" s="17" t="s">
        <v>586</v>
      </c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</row>
    <row r="3" spans="1:7" ht="16.5" x14ac:dyDescent="0.2">
      <c r="B3" s="26">
        <f t="shared" ref="B3:G3" si="0">COMBIN(10,B2)*$B$1^B2*(1-$B$1)^(10-B2)</f>
        <v>0.19687440434072256</v>
      </c>
      <c r="C3" s="26">
        <f t="shared" si="0"/>
        <v>0.34742541942480454</v>
      </c>
      <c r="D3" s="26">
        <f t="shared" si="0"/>
        <v>0.27589665660205065</v>
      </c>
      <c r="E3" s="26">
        <f t="shared" si="0"/>
        <v>0.12983372075390617</v>
      </c>
      <c r="F3" s="26">
        <f t="shared" si="0"/>
        <v>4.0095707879882793E-2</v>
      </c>
      <c r="G3" s="26">
        <f t="shared" si="0"/>
        <v>8.4908557863281227E-3</v>
      </c>
    </row>
    <row r="5" spans="1:7" ht="17.25" x14ac:dyDescent="0.2">
      <c r="A5" s="13" t="s">
        <v>568</v>
      </c>
      <c r="B5" s="13" t="s">
        <v>486</v>
      </c>
      <c r="C5" s="13" t="s">
        <v>569</v>
      </c>
      <c r="E5" s="13" t="s">
        <v>568</v>
      </c>
      <c r="F5" s="13" t="s">
        <v>486</v>
      </c>
      <c r="G5" s="13" t="s">
        <v>569</v>
      </c>
    </row>
    <row r="6" spans="1:7" x14ac:dyDescent="0.2">
      <c r="A6" s="28">
        <v>0.02</v>
      </c>
      <c r="B6" s="28">
        <v>0.13</v>
      </c>
      <c r="C6" s="28">
        <v>0.85</v>
      </c>
      <c r="E6" s="28">
        <v>0.02</v>
      </c>
      <c r="F6" s="28">
        <v>0.13</v>
      </c>
      <c r="G6" s="28">
        <v>0.85</v>
      </c>
    </row>
    <row r="7" spans="1:7" x14ac:dyDescent="0.2">
      <c r="A7">
        <v>4</v>
      </c>
      <c r="B7">
        <v>6</v>
      </c>
      <c r="C7">
        <v>5</v>
      </c>
      <c r="E7">
        <v>7</v>
      </c>
      <c r="F7">
        <v>7</v>
      </c>
      <c r="G7">
        <v>6</v>
      </c>
    </row>
    <row r="8" spans="1:7" ht="16.5" x14ac:dyDescent="0.2">
      <c r="A8" s="26">
        <f>A6/A7</f>
        <v>5.0000000000000001E-3</v>
      </c>
      <c r="B8" s="26">
        <f t="shared" ref="B8:C8" si="1">B6/B7</f>
        <v>2.1666666666666667E-2</v>
      </c>
      <c r="C8" s="26">
        <f t="shared" si="1"/>
        <v>0.16999999999999998</v>
      </c>
      <c r="E8" s="26">
        <f>E6/E7</f>
        <v>2.8571428571428571E-3</v>
      </c>
      <c r="F8" s="26">
        <f t="shared" ref="F8:G8" si="2">F6/F7</f>
        <v>1.8571428571428572E-2</v>
      </c>
      <c r="G8" s="26">
        <f t="shared" si="2"/>
        <v>0.14166666666666666</v>
      </c>
    </row>
    <row r="9" spans="1:7" ht="16.5" x14ac:dyDescent="0.2">
      <c r="A9" s="14" t="s">
        <v>573</v>
      </c>
      <c r="B9" s="14" t="s">
        <v>570</v>
      </c>
      <c r="C9" s="14" t="s">
        <v>571</v>
      </c>
      <c r="E9" s="14" t="s">
        <v>588</v>
      </c>
      <c r="F9" s="14" t="s">
        <v>589</v>
      </c>
      <c r="G9" s="14" t="s">
        <v>591</v>
      </c>
    </row>
    <row r="10" spans="1:7" ht="16.5" x14ac:dyDescent="0.2">
      <c r="A10" s="14" t="s">
        <v>574</v>
      </c>
      <c r="B10" s="14" t="s">
        <v>572</v>
      </c>
      <c r="C10" s="14" t="s">
        <v>577</v>
      </c>
      <c r="E10" s="14" t="s">
        <v>593</v>
      </c>
      <c r="F10" s="14" t="s">
        <v>590</v>
      </c>
      <c r="G10" s="14" t="s">
        <v>599</v>
      </c>
    </row>
    <row r="11" spans="1:7" ht="16.5" x14ac:dyDescent="0.2">
      <c r="A11" s="14" t="s">
        <v>576</v>
      </c>
      <c r="B11" s="14" t="s">
        <v>575</v>
      </c>
      <c r="C11" s="14" t="s">
        <v>581</v>
      </c>
      <c r="E11" s="14" t="s">
        <v>595</v>
      </c>
      <c r="F11" s="14" t="s">
        <v>592</v>
      </c>
      <c r="G11" s="14" t="s">
        <v>601</v>
      </c>
    </row>
    <row r="12" spans="1:7" ht="16.5" x14ac:dyDescent="0.2">
      <c r="A12" s="14" t="s">
        <v>579</v>
      </c>
      <c r="B12" s="14" t="s">
        <v>578</v>
      </c>
      <c r="C12" s="14" t="s">
        <v>582</v>
      </c>
      <c r="E12" s="14" t="s">
        <v>596</v>
      </c>
      <c r="F12" s="14" t="s">
        <v>594</v>
      </c>
      <c r="G12" s="14" t="s">
        <v>604</v>
      </c>
    </row>
    <row r="13" spans="1:7" ht="16.5" x14ac:dyDescent="0.2">
      <c r="A13" s="14"/>
      <c r="B13" s="14" t="s">
        <v>580</v>
      </c>
      <c r="C13" s="14" t="s">
        <v>584</v>
      </c>
      <c r="E13" s="14" t="s">
        <v>597</v>
      </c>
      <c r="F13" s="14" t="s">
        <v>600</v>
      </c>
      <c r="G13" s="14" t="s">
        <v>605</v>
      </c>
    </row>
    <row r="14" spans="1:7" ht="16.5" x14ac:dyDescent="0.2">
      <c r="A14" s="14"/>
      <c r="B14" s="14" t="s">
        <v>583</v>
      </c>
      <c r="C14" s="14"/>
      <c r="E14" s="14" t="s">
        <v>598</v>
      </c>
      <c r="F14" s="14" t="s">
        <v>603</v>
      </c>
      <c r="G14" s="14" t="s">
        <v>607</v>
      </c>
    </row>
    <row r="15" spans="1:7" ht="16.5" x14ac:dyDescent="0.2">
      <c r="E15" s="14" t="s">
        <v>602</v>
      </c>
      <c r="F15" s="14" t="s">
        <v>606</v>
      </c>
      <c r="G15" s="14"/>
    </row>
    <row r="16" spans="1:7" ht="16.5" x14ac:dyDescent="0.2">
      <c r="F16" s="14"/>
      <c r="G16" s="14"/>
    </row>
    <row r="18" spans="1:8" ht="16.5" x14ac:dyDescent="0.2">
      <c r="A18" t="s">
        <v>14</v>
      </c>
      <c r="B18" s="27" t="s">
        <v>587</v>
      </c>
      <c r="E18" t="s">
        <v>14</v>
      </c>
      <c r="F18" s="27" t="s">
        <v>587</v>
      </c>
    </row>
    <row r="19" spans="1:8" x14ac:dyDescent="0.2">
      <c r="A19" t="s">
        <v>573</v>
      </c>
      <c r="B19" s="19">
        <v>5.0000000000000001E-3</v>
      </c>
      <c r="C19">
        <f>INT(B19*10000)</f>
        <v>50</v>
      </c>
      <c r="E19" t="s">
        <v>588</v>
      </c>
      <c r="F19" s="19">
        <v>2.8571428571428571E-3</v>
      </c>
      <c r="H19">
        <f>INT(F19*10000)</f>
        <v>28</v>
      </c>
    </row>
    <row r="20" spans="1:8" x14ac:dyDescent="0.2">
      <c r="A20" t="s">
        <v>574</v>
      </c>
      <c r="B20" s="19">
        <v>5.0000000000000001E-3</v>
      </c>
      <c r="C20">
        <f t="shared" ref="C20:C32" si="3">INT(B20*10000)</f>
        <v>50</v>
      </c>
      <c r="E20" t="s">
        <v>593</v>
      </c>
      <c r="F20" s="19">
        <v>2.8571428571428571E-3</v>
      </c>
      <c r="H20">
        <f t="shared" ref="H20:H37" si="4">INT(F20*10000)</f>
        <v>28</v>
      </c>
    </row>
    <row r="21" spans="1:8" x14ac:dyDescent="0.2">
      <c r="A21" t="s">
        <v>576</v>
      </c>
      <c r="B21" s="19">
        <v>5.0000000000000001E-3</v>
      </c>
      <c r="C21">
        <f t="shared" si="3"/>
        <v>50</v>
      </c>
      <c r="E21" t="s">
        <v>595</v>
      </c>
      <c r="F21" s="19">
        <v>2.8571428571428571E-3</v>
      </c>
      <c r="H21">
        <f t="shared" si="4"/>
        <v>28</v>
      </c>
    </row>
    <row r="22" spans="1:8" x14ac:dyDescent="0.2">
      <c r="A22" t="s">
        <v>579</v>
      </c>
      <c r="B22" s="19">
        <v>5.0000000000000001E-3</v>
      </c>
      <c r="C22">
        <f t="shared" si="3"/>
        <v>50</v>
      </c>
      <c r="E22" t="s">
        <v>596</v>
      </c>
      <c r="F22" s="19">
        <v>2.8571428571428571E-3</v>
      </c>
      <c r="H22">
        <f t="shared" si="4"/>
        <v>28</v>
      </c>
    </row>
    <row r="23" spans="1:8" x14ac:dyDescent="0.2">
      <c r="A23" t="s">
        <v>570</v>
      </c>
      <c r="B23" s="19">
        <v>2.1666666666666667E-2</v>
      </c>
      <c r="C23">
        <f t="shared" si="3"/>
        <v>216</v>
      </c>
      <c r="E23" t="s">
        <v>597</v>
      </c>
      <c r="F23" s="19">
        <v>2.8571428571428571E-3</v>
      </c>
      <c r="H23">
        <f t="shared" si="4"/>
        <v>28</v>
      </c>
    </row>
    <row r="24" spans="1:8" x14ac:dyDescent="0.2">
      <c r="A24" t="s">
        <v>572</v>
      </c>
      <c r="B24" s="19">
        <v>2.1666666666666667E-2</v>
      </c>
      <c r="C24">
        <f t="shared" si="3"/>
        <v>216</v>
      </c>
      <c r="E24" t="s">
        <v>598</v>
      </c>
      <c r="F24" s="19">
        <v>2.8571428571428571E-3</v>
      </c>
      <c r="H24">
        <f t="shared" si="4"/>
        <v>28</v>
      </c>
    </row>
    <row r="25" spans="1:8" x14ac:dyDescent="0.2">
      <c r="A25" t="s">
        <v>575</v>
      </c>
      <c r="B25" s="19">
        <v>2.1666666666666667E-2</v>
      </c>
      <c r="C25">
        <f t="shared" si="3"/>
        <v>216</v>
      </c>
      <c r="E25" t="s">
        <v>602</v>
      </c>
      <c r="F25" s="19">
        <v>2.8571428571428571E-3</v>
      </c>
      <c r="H25">
        <f t="shared" si="4"/>
        <v>28</v>
      </c>
    </row>
    <row r="26" spans="1:8" x14ac:dyDescent="0.2">
      <c r="A26" t="s">
        <v>578</v>
      </c>
      <c r="B26" s="19">
        <v>2.1666666666666667E-2</v>
      </c>
      <c r="C26">
        <f t="shared" si="3"/>
        <v>216</v>
      </c>
      <c r="E26" t="s">
        <v>589</v>
      </c>
      <c r="F26" s="19">
        <v>1.8571428571428572E-2</v>
      </c>
      <c r="H26">
        <f t="shared" si="4"/>
        <v>185</v>
      </c>
    </row>
    <row r="27" spans="1:8" x14ac:dyDescent="0.2">
      <c r="A27" t="s">
        <v>580</v>
      </c>
      <c r="B27" s="19">
        <v>2.1666666666666667E-2</v>
      </c>
      <c r="C27">
        <f t="shared" si="3"/>
        <v>216</v>
      </c>
      <c r="E27" t="s">
        <v>590</v>
      </c>
      <c r="F27" s="19">
        <v>1.8571428571428572E-2</v>
      </c>
      <c r="H27">
        <f t="shared" si="4"/>
        <v>185</v>
      </c>
    </row>
    <row r="28" spans="1:8" x14ac:dyDescent="0.2">
      <c r="A28" t="s">
        <v>583</v>
      </c>
      <c r="B28" s="19">
        <v>2.1666666666666667E-2</v>
      </c>
      <c r="C28">
        <f t="shared" si="3"/>
        <v>216</v>
      </c>
      <c r="E28" t="s">
        <v>592</v>
      </c>
      <c r="F28" s="19">
        <v>1.8571428571428572E-2</v>
      </c>
      <c r="H28">
        <f t="shared" si="4"/>
        <v>185</v>
      </c>
    </row>
    <row r="29" spans="1:8" x14ac:dyDescent="0.2">
      <c r="A29" t="s">
        <v>571</v>
      </c>
      <c r="B29" s="19">
        <v>0.16999999999999998</v>
      </c>
      <c r="C29">
        <f t="shared" si="3"/>
        <v>1700</v>
      </c>
      <c r="E29" t="s">
        <v>594</v>
      </c>
      <c r="F29" s="19">
        <v>1.8571428571428572E-2</v>
      </c>
      <c r="H29">
        <f t="shared" si="4"/>
        <v>185</v>
      </c>
    </row>
    <row r="30" spans="1:8" x14ac:dyDescent="0.2">
      <c r="A30" t="s">
        <v>577</v>
      </c>
      <c r="B30" s="19">
        <v>0.16999999999999998</v>
      </c>
      <c r="C30">
        <f t="shared" si="3"/>
        <v>1700</v>
      </c>
      <c r="E30" t="s">
        <v>600</v>
      </c>
      <c r="F30" s="19">
        <v>1.8571428571428572E-2</v>
      </c>
      <c r="H30">
        <f t="shared" si="4"/>
        <v>185</v>
      </c>
    </row>
    <row r="31" spans="1:8" x14ac:dyDescent="0.2">
      <c r="A31" t="s">
        <v>581</v>
      </c>
      <c r="B31" s="19">
        <v>0.16999999999999998</v>
      </c>
      <c r="C31">
        <f t="shared" si="3"/>
        <v>1700</v>
      </c>
      <c r="E31" t="s">
        <v>603</v>
      </c>
      <c r="F31" s="19">
        <v>1.8571428571428572E-2</v>
      </c>
      <c r="H31">
        <f t="shared" si="4"/>
        <v>185</v>
      </c>
    </row>
    <row r="32" spans="1:8" x14ac:dyDescent="0.2">
      <c r="A32" t="s">
        <v>582</v>
      </c>
      <c r="B32" s="19">
        <v>0.16999999999999998</v>
      </c>
      <c r="C32">
        <f t="shared" si="3"/>
        <v>1700</v>
      </c>
      <c r="E32" t="s">
        <v>606</v>
      </c>
      <c r="F32" s="19">
        <v>1.8571428571428572E-2</v>
      </c>
      <c r="H32">
        <f t="shared" si="4"/>
        <v>185</v>
      </c>
    </row>
    <row r="33" spans="1:8" x14ac:dyDescent="0.2">
      <c r="A33" t="s">
        <v>584</v>
      </c>
      <c r="B33" s="19">
        <v>0.16999999999999998</v>
      </c>
      <c r="C33">
        <f>10000-SUM(C19:C32)</f>
        <v>1704</v>
      </c>
      <c r="E33" t="s">
        <v>591</v>
      </c>
      <c r="F33" s="19">
        <v>0.14166666666666666</v>
      </c>
      <c r="H33">
        <f t="shared" si="4"/>
        <v>1416</v>
      </c>
    </row>
    <row r="34" spans="1:8" x14ac:dyDescent="0.2">
      <c r="E34" t="s">
        <v>599</v>
      </c>
      <c r="F34" s="19">
        <v>0.14166666666666666</v>
      </c>
      <c r="H34">
        <f t="shared" si="4"/>
        <v>1416</v>
      </c>
    </row>
    <row r="35" spans="1:8" x14ac:dyDescent="0.2">
      <c r="E35" t="s">
        <v>601</v>
      </c>
      <c r="F35" s="19">
        <v>0.14166666666666666</v>
      </c>
      <c r="H35">
        <f t="shared" si="4"/>
        <v>1416</v>
      </c>
    </row>
    <row r="36" spans="1:8" x14ac:dyDescent="0.2">
      <c r="E36" t="s">
        <v>604</v>
      </c>
      <c r="F36" s="19">
        <v>0.14166666666666666</v>
      </c>
      <c r="H36">
        <f t="shared" si="4"/>
        <v>1416</v>
      </c>
    </row>
    <row r="37" spans="1:8" x14ac:dyDescent="0.2">
      <c r="E37" t="s">
        <v>605</v>
      </c>
      <c r="F37" s="19">
        <v>0.14166666666666666</v>
      </c>
      <c r="H37">
        <f t="shared" si="4"/>
        <v>1416</v>
      </c>
    </row>
    <row r="38" spans="1:8" x14ac:dyDescent="0.2">
      <c r="E38" t="s">
        <v>607</v>
      </c>
      <c r="F38" s="19">
        <v>0.14166666666666666</v>
      </c>
      <c r="H38">
        <f>10000-SUM(H19:H37)</f>
        <v>1429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topLeftCell="D1" workbookViewId="0">
      <selection activeCell="I6" sqref="I6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53" t="s">
        <v>616</v>
      </c>
      <c r="O2" s="53"/>
      <c r="P2" s="53"/>
      <c r="Q2" s="53"/>
      <c r="T2" s="17" t="s">
        <v>638</v>
      </c>
      <c r="U2" s="18">
        <f>SUM($O$6:$O$105)/30</f>
        <v>29354.715000000004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617</v>
      </c>
      <c r="O3" s="13" t="s">
        <v>621</v>
      </c>
      <c r="P3" s="13" t="s">
        <v>618</v>
      </c>
      <c r="Q3" s="13" t="s">
        <v>619</v>
      </c>
      <c r="T3" s="29" t="s">
        <v>639</v>
      </c>
      <c r="U3" s="28">
        <v>0.1</v>
      </c>
      <c r="V3" s="18">
        <f>INT(U$2*U3)</f>
        <v>2935</v>
      </c>
      <c r="W3" s="18">
        <f>INT($V3*W$2/50)*50</f>
        <v>1450</v>
      </c>
      <c r="X3" s="18">
        <f t="shared" ref="X3:Z6" si="0">INT($V3*X$2/50)*50</f>
        <v>2050</v>
      </c>
      <c r="Y3" s="18">
        <f t="shared" si="0"/>
        <v>2900</v>
      </c>
      <c r="Z3" s="18">
        <f t="shared" si="0"/>
        <v>3650</v>
      </c>
    </row>
    <row r="4" spans="1:26" ht="17.25" x14ac:dyDescent="0.2">
      <c r="M4" s="17" t="s">
        <v>620</v>
      </c>
      <c r="N4" s="26">
        <v>0.2</v>
      </c>
      <c r="O4" s="26">
        <v>0.05</v>
      </c>
      <c r="P4" s="26">
        <v>0.4</v>
      </c>
      <c r="Q4" s="26">
        <v>0.2</v>
      </c>
      <c r="T4" s="29" t="s">
        <v>640</v>
      </c>
      <c r="U4" s="28">
        <v>0.2</v>
      </c>
      <c r="V4" s="18">
        <f t="shared" ref="V4:V6" si="1">INT(U$2*U4)</f>
        <v>5870</v>
      </c>
      <c r="W4" s="18">
        <f t="shared" ref="W4:W6" si="2">INT($V4*W$2/50)*50</f>
        <v>2900</v>
      </c>
      <c r="X4" s="18">
        <f t="shared" si="0"/>
        <v>4100</v>
      </c>
      <c r="Y4" s="18">
        <f t="shared" si="0"/>
        <v>5850</v>
      </c>
      <c r="Z4" s="18">
        <f t="shared" si="0"/>
        <v>7300</v>
      </c>
    </row>
    <row r="5" spans="1:26" ht="17.25" x14ac:dyDescent="0.2">
      <c r="A5" s="13" t="s">
        <v>608</v>
      </c>
      <c r="B5" s="13" t="s">
        <v>609</v>
      </c>
      <c r="C5" s="13" t="s">
        <v>628</v>
      </c>
      <c r="D5" s="13" t="s">
        <v>611</v>
      </c>
      <c r="E5" s="13" t="s">
        <v>610</v>
      </c>
      <c r="F5" s="13" t="s">
        <v>612</v>
      </c>
      <c r="G5" s="13" t="s">
        <v>614</v>
      </c>
      <c r="I5" s="13" t="s">
        <v>630</v>
      </c>
      <c r="J5" s="13" t="s">
        <v>615</v>
      </c>
      <c r="T5" s="29" t="s">
        <v>641</v>
      </c>
      <c r="U5" s="28">
        <v>0.3</v>
      </c>
      <c r="V5" s="18">
        <f t="shared" si="1"/>
        <v>8806</v>
      </c>
      <c r="W5" s="18">
        <f t="shared" si="2"/>
        <v>4400</v>
      </c>
      <c r="X5" s="18">
        <f t="shared" si="0"/>
        <v>6150</v>
      </c>
      <c r="Y5" s="18">
        <f t="shared" si="0"/>
        <v>8800</v>
      </c>
      <c r="Z5" s="18">
        <f t="shared" si="0"/>
        <v>11000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INDEX(神器与芦花古楼!$K$4:$K$33,MATCH(金币汇总!A6,神器与芦花古楼!$AN$4:$AN$33,1))*4</f>
        <v>4000</v>
      </c>
      <c r="F6" s="18">
        <v>0</v>
      </c>
      <c r="G6" s="18">
        <v>0</v>
      </c>
      <c r="I6" s="18">
        <f>SUM(D6:G6)</f>
        <v>16000</v>
      </c>
      <c r="J6" s="18">
        <f>ROUND(B6*I6,0)</f>
        <v>160</v>
      </c>
      <c r="N6" s="18">
        <f>$J6*N$4</f>
        <v>32</v>
      </c>
      <c r="O6" s="18">
        <f t="shared" ref="O6:Q21" si="3">$J6*O$4</f>
        <v>8</v>
      </c>
      <c r="P6" s="18">
        <f t="shared" si="3"/>
        <v>64</v>
      </c>
      <c r="Q6" s="18">
        <f t="shared" si="3"/>
        <v>32</v>
      </c>
      <c r="T6" s="29" t="s">
        <v>642</v>
      </c>
      <c r="U6" s="28">
        <v>0.4</v>
      </c>
      <c r="V6" s="18">
        <f t="shared" si="1"/>
        <v>11741</v>
      </c>
      <c r="W6" s="18">
        <f t="shared" si="2"/>
        <v>5850</v>
      </c>
      <c r="X6" s="18">
        <f t="shared" si="0"/>
        <v>8200</v>
      </c>
      <c r="Y6" s="18">
        <f t="shared" si="0"/>
        <v>11700</v>
      </c>
      <c r="Z6" s="18">
        <f t="shared" si="0"/>
        <v>14650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INDEX(神器与芦花古楼!$K$4:$K$33,MATCH(金币汇总!A7,神器与芦花古楼!$AN$4:$AN$33,1))*4</f>
        <v>4400</v>
      </c>
      <c r="F7" s="18">
        <v>0</v>
      </c>
      <c r="G7" s="18">
        <v>0</v>
      </c>
      <c r="I7" s="18">
        <f t="shared" ref="I7:I70" si="4">SUM(D7:G7)</f>
        <v>16400</v>
      </c>
      <c r="J7" s="18">
        <f t="shared" ref="J7:J70" si="5">ROUND(B7*I7,0)</f>
        <v>230</v>
      </c>
      <c r="N7" s="18">
        <f t="shared" ref="N7:Q38" si="6">$J7*N$4</f>
        <v>46</v>
      </c>
      <c r="O7" s="18">
        <f t="shared" si="3"/>
        <v>11.5</v>
      </c>
      <c r="P7" s="18">
        <f t="shared" si="3"/>
        <v>92</v>
      </c>
      <c r="Q7" s="18">
        <f t="shared" si="3"/>
        <v>46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INDEX(神器与芦花古楼!$K$4:$K$33,MATCH(金币汇总!A8,神器与芦花古楼!$AN$4:$AN$33,1))*4</f>
        <v>4800</v>
      </c>
      <c r="F8" s="18">
        <v>0</v>
      </c>
      <c r="G8" s="18">
        <v>0</v>
      </c>
      <c r="I8" s="18">
        <f t="shared" si="4"/>
        <v>16800</v>
      </c>
      <c r="J8" s="18">
        <f t="shared" si="5"/>
        <v>302</v>
      </c>
      <c r="N8" s="18">
        <f t="shared" si="6"/>
        <v>60.400000000000006</v>
      </c>
      <c r="O8" s="18">
        <f t="shared" si="3"/>
        <v>15.100000000000001</v>
      </c>
      <c r="P8" s="18">
        <f t="shared" si="3"/>
        <v>120.80000000000001</v>
      </c>
      <c r="Q8" s="18">
        <f t="shared" si="3"/>
        <v>60.400000000000006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INDEX(神器与芦花古楼!$K$4:$K$33,MATCH(金币汇总!A9,神器与芦花古楼!$AN$4:$AN$33,1))*4</f>
        <v>5200</v>
      </c>
      <c r="F9" s="18">
        <v>0</v>
      </c>
      <c r="G9" s="18">
        <v>0</v>
      </c>
      <c r="I9" s="18">
        <f t="shared" si="4"/>
        <v>17200</v>
      </c>
      <c r="J9" s="18">
        <f t="shared" si="5"/>
        <v>378</v>
      </c>
      <c r="N9" s="18">
        <f t="shared" si="6"/>
        <v>75.600000000000009</v>
      </c>
      <c r="O9" s="18">
        <f t="shared" si="3"/>
        <v>18.900000000000002</v>
      </c>
      <c r="P9" s="18">
        <f t="shared" si="3"/>
        <v>151.20000000000002</v>
      </c>
      <c r="Q9" s="18">
        <f t="shared" si="3"/>
        <v>75.600000000000009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INDEX(神器与芦花古楼!$K$4:$K$33,MATCH(金币汇总!A10,神器与芦花古楼!$AN$4:$AN$33,1))*4</f>
        <v>5200</v>
      </c>
      <c r="F10" s="18">
        <v>0</v>
      </c>
      <c r="G10" s="18">
        <v>0</v>
      </c>
      <c r="I10" s="18">
        <f t="shared" si="4"/>
        <v>19600</v>
      </c>
      <c r="J10" s="18">
        <f t="shared" si="5"/>
        <v>510</v>
      </c>
      <c r="N10" s="18">
        <f t="shared" si="6"/>
        <v>102</v>
      </c>
      <c r="O10" s="18">
        <f t="shared" si="3"/>
        <v>25.5</v>
      </c>
      <c r="P10" s="18">
        <f t="shared" si="3"/>
        <v>204</v>
      </c>
      <c r="Q10" s="18">
        <f t="shared" si="3"/>
        <v>102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INDEX(神器与芦花古楼!$K$4:$K$33,MATCH(金币汇总!A11,神器与芦花古楼!$AN$4:$AN$33,1))*4</f>
        <v>5600</v>
      </c>
      <c r="F11" s="18">
        <v>0</v>
      </c>
      <c r="G11" s="18">
        <v>0</v>
      </c>
      <c r="I11" s="18">
        <f t="shared" si="4"/>
        <v>20000</v>
      </c>
      <c r="J11" s="18">
        <f t="shared" si="5"/>
        <v>600</v>
      </c>
      <c r="N11" s="18">
        <f t="shared" si="6"/>
        <v>120</v>
      </c>
      <c r="O11" s="18">
        <f t="shared" si="3"/>
        <v>30</v>
      </c>
      <c r="P11" s="18">
        <f t="shared" si="3"/>
        <v>240</v>
      </c>
      <c r="Q11" s="18">
        <f t="shared" si="3"/>
        <v>120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INDEX(神器与芦花古楼!$K$4:$K$33,MATCH(金币汇总!A12,神器与芦花古楼!$AN$4:$AN$33,1))*4</f>
        <v>5600</v>
      </c>
      <c r="F12" s="18">
        <v>0</v>
      </c>
      <c r="G12" s="18">
        <v>0</v>
      </c>
      <c r="I12" s="18">
        <f t="shared" si="4"/>
        <v>20000</v>
      </c>
      <c r="J12" s="18">
        <f t="shared" si="5"/>
        <v>680</v>
      </c>
      <c r="N12" s="18">
        <f t="shared" si="6"/>
        <v>136</v>
      </c>
      <c r="O12" s="18">
        <f t="shared" si="3"/>
        <v>34</v>
      </c>
      <c r="P12" s="18">
        <f t="shared" si="3"/>
        <v>272</v>
      </c>
      <c r="Q12" s="18">
        <f t="shared" si="3"/>
        <v>136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INDEX(神器与芦花古楼!$K$4:$K$33,MATCH(金币汇总!A13,神器与芦花古楼!$AN$4:$AN$33,1))*4</f>
        <v>6000</v>
      </c>
      <c r="F13" s="18">
        <v>0</v>
      </c>
      <c r="G13" s="18">
        <v>0</v>
      </c>
      <c r="I13" s="18">
        <f t="shared" si="4"/>
        <v>20400</v>
      </c>
      <c r="J13" s="18">
        <f t="shared" si="5"/>
        <v>775</v>
      </c>
      <c r="N13" s="18">
        <f t="shared" si="6"/>
        <v>155</v>
      </c>
      <c r="O13" s="18">
        <f t="shared" si="3"/>
        <v>38.75</v>
      </c>
      <c r="P13" s="18">
        <f t="shared" si="3"/>
        <v>310</v>
      </c>
      <c r="Q13" s="18">
        <f t="shared" si="3"/>
        <v>155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INDEX(神器与芦花古楼!$K$4:$K$33,MATCH(金币汇总!A14,神器与芦花古楼!$AN$4:$AN$33,1))*4</f>
        <v>6000</v>
      </c>
      <c r="F14" s="18">
        <v>0</v>
      </c>
      <c r="G14" s="18">
        <v>0</v>
      </c>
      <c r="I14" s="18">
        <f t="shared" si="4"/>
        <v>20400</v>
      </c>
      <c r="J14" s="18">
        <f t="shared" si="5"/>
        <v>857</v>
      </c>
      <c r="N14" s="18">
        <f t="shared" si="6"/>
        <v>171.4</v>
      </c>
      <c r="O14" s="18">
        <f t="shared" si="3"/>
        <v>42.85</v>
      </c>
      <c r="P14" s="18">
        <f t="shared" si="3"/>
        <v>342.8</v>
      </c>
      <c r="Q14" s="18">
        <f t="shared" si="3"/>
        <v>171.4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INDEX(神器与芦花古楼!$K$4:$K$33,MATCH(金币汇总!A15,神器与芦花古楼!$AN$4:$AN$33,1))*4</f>
        <v>6400</v>
      </c>
      <c r="F15" s="18">
        <v>0</v>
      </c>
      <c r="G15" s="18">
        <v>0</v>
      </c>
      <c r="I15" s="18">
        <f t="shared" si="4"/>
        <v>20800</v>
      </c>
      <c r="J15" s="18">
        <f t="shared" si="5"/>
        <v>957</v>
      </c>
      <c r="N15" s="18">
        <f t="shared" si="6"/>
        <v>191.4</v>
      </c>
      <c r="O15" s="18">
        <f t="shared" si="3"/>
        <v>47.85</v>
      </c>
      <c r="P15" s="18">
        <f t="shared" si="3"/>
        <v>382.8</v>
      </c>
      <c r="Q15" s="18">
        <f t="shared" si="3"/>
        <v>191.4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INDEX(神器与芦花古楼!$K$4:$K$33,MATCH(金币汇总!A16,神器与芦花古楼!$AN$4:$AN$33,1))*4</f>
        <v>6400</v>
      </c>
      <c r="F16" s="18">
        <v>0</v>
      </c>
      <c r="G16" s="18">
        <v>0</v>
      </c>
      <c r="I16" s="18">
        <f t="shared" si="4"/>
        <v>20800</v>
      </c>
      <c r="J16" s="18">
        <f t="shared" si="5"/>
        <v>1092</v>
      </c>
      <c r="N16" s="18">
        <f t="shared" si="6"/>
        <v>218.4</v>
      </c>
      <c r="O16" s="18">
        <f t="shared" si="3"/>
        <v>54.6</v>
      </c>
      <c r="P16" s="18">
        <f t="shared" si="3"/>
        <v>436.8</v>
      </c>
      <c r="Q16" s="18">
        <f t="shared" si="3"/>
        <v>218.4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INDEX(神器与芦花古楼!$K$4:$K$33,MATCH(金币汇总!A17,神器与芦花古楼!$AN$4:$AN$33,1))*4</f>
        <v>6800</v>
      </c>
      <c r="F17" s="18">
        <v>0</v>
      </c>
      <c r="G17" s="18">
        <v>0</v>
      </c>
      <c r="I17" s="18">
        <f t="shared" si="4"/>
        <v>21200</v>
      </c>
      <c r="J17" s="18">
        <f t="shared" si="5"/>
        <v>1251</v>
      </c>
      <c r="N17" s="18">
        <f t="shared" si="6"/>
        <v>250.20000000000002</v>
      </c>
      <c r="O17" s="18">
        <f t="shared" si="3"/>
        <v>62.550000000000004</v>
      </c>
      <c r="P17" s="18">
        <f t="shared" si="3"/>
        <v>500.40000000000003</v>
      </c>
      <c r="Q17" s="18">
        <f t="shared" si="3"/>
        <v>250.20000000000002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INDEX(神器与芦花古楼!$K$4:$K$33,MATCH(金币汇总!A18,神器与芦花古楼!$AN$4:$AN$33,1))*4</f>
        <v>6800</v>
      </c>
      <c r="F18" s="18">
        <v>0</v>
      </c>
      <c r="G18" s="18">
        <v>0</v>
      </c>
      <c r="I18" s="18">
        <f t="shared" si="4"/>
        <v>26000</v>
      </c>
      <c r="J18" s="18">
        <f t="shared" si="5"/>
        <v>1703</v>
      </c>
      <c r="N18" s="18">
        <f t="shared" si="6"/>
        <v>340.6</v>
      </c>
      <c r="O18" s="18">
        <f t="shared" si="3"/>
        <v>85.15</v>
      </c>
      <c r="P18" s="18">
        <f t="shared" si="3"/>
        <v>681.2</v>
      </c>
      <c r="Q18" s="18">
        <f t="shared" si="3"/>
        <v>340.6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INDEX(神器与芦花古楼!$K$4:$K$33,MATCH(金币汇总!A19,神器与芦花古楼!$AN$4:$AN$33,1))*4</f>
        <v>7200</v>
      </c>
      <c r="F19" s="18">
        <v>0</v>
      </c>
      <c r="G19" s="18">
        <v>0</v>
      </c>
      <c r="I19" s="18">
        <f t="shared" si="4"/>
        <v>26400</v>
      </c>
      <c r="J19" s="18">
        <f t="shared" si="5"/>
        <v>1901</v>
      </c>
      <c r="N19" s="18">
        <f t="shared" si="6"/>
        <v>380.20000000000005</v>
      </c>
      <c r="O19" s="18">
        <f t="shared" si="3"/>
        <v>95.050000000000011</v>
      </c>
      <c r="P19" s="18">
        <f t="shared" si="3"/>
        <v>760.40000000000009</v>
      </c>
      <c r="Q19" s="18">
        <f t="shared" si="3"/>
        <v>380.20000000000005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INDEX(神器与芦花古楼!$K$4:$K$33,MATCH(金币汇总!A20,神器与芦花古楼!$AN$4:$AN$33,1))*4</f>
        <v>7200</v>
      </c>
      <c r="F20" s="18">
        <v>0</v>
      </c>
      <c r="G20" s="18">
        <v>0</v>
      </c>
      <c r="I20" s="18">
        <f t="shared" si="4"/>
        <v>26400</v>
      </c>
      <c r="J20" s="18">
        <f t="shared" si="5"/>
        <v>2072</v>
      </c>
      <c r="N20" s="18">
        <f t="shared" si="6"/>
        <v>414.40000000000003</v>
      </c>
      <c r="O20" s="18">
        <f t="shared" si="3"/>
        <v>103.60000000000001</v>
      </c>
      <c r="P20" s="18">
        <f t="shared" si="3"/>
        <v>828.80000000000007</v>
      </c>
      <c r="Q20" s="18">
        <f t="shared" si="3"/>
        <v>414.40000000000003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INDEX(神器与芦花古楼!$K$4:$K$33,MATCH(金币汇总!A21,神器与芦花古楼!$AN$4:$AN$33,1))*4</f>
        <v>8000</v>
      </c>
      <c r="F21" s="18">
        <v>0</v>
      </c>
      <c r="G21" s="18">
        <v>0</v>
      </c>
      <c r="I21" s="18">
        <f t="shared" si="4"/>
        <v>27200</v>
      </c>
      <c r="J21" s="18">
        <f t="shared" si="5"/>
        <v>2312</v>
      </c>
      <c r="N21" s="18">
        <f t="shared" si="6"/>
        <v>462.40000000000003</v>
      </c>
      <c r="O21" s="18">
        <f t="shared" si="3"/>
        <v>115.60000000000001</v>
      </c>
      <c r="P21" s="18">
        <f t="shared" si="3"/>
        <v>924.80000000000007</v>
      </c>
      <c r="Q21" s="18">
        <f t="shared" si="3"/>
        <v>462.40000000000003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INDEX(神器与芦花古楼!$K$4:$K$33,MATCH(金币汇总!A22,神器与芦花古楼!$AN$4:$AN$33,1))*4</f>
        <v>8000</v>
      </c>
      <c r="F22" s="18">
        <v>0</v>
      </c>
      <c r="G22" s="18">
        <v>0</v>
      </c>
      <c r="I22" s="18">
        <f t="shared" si="4"/>
        <v>27200</v>
      </c>
      <c r="J22" s="18">
        <f t="shared" si="5"/>
        <v>2489</v>
      </c>
      <c r="N22" s="18">
        <f t="shared" si="6"/>
        <v>497.8</v>
      </c>
      <c r="O22" s="18">
        <f t="shared" si="6"/>
        <v>124.45</v>
      </c>
      <c r="P22" s="18">
        <f t="shared" si="6"/>
        <v>995.6</v>
      </c>
      <c r="Q22" s="18">
        <f t="shared" si="6"/>
        <v>497.8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INDEX(神器与芦花古楼!$K$4:$K$33,MATCH(金币汇总!A23,神器与芦花古楼!$AN$4:$AN$33,1))*4</f>
        <v>8800</v>
      </c>
      <c r="F23" s="18">
        <v>0</v>
      </c>
      <c r="G23" s="18">
        <v>0</v>
      </c>
      <c r="I23" s="18">
        <f t="shared" si="4"/>
        <v>28000</v>
      </c>
      <c r="J23" s="18">
        <f t="shared" si="5"/>
        <v>2744</v>
      </c>
      <c r="N23" s="18">
        <f t="shared" si="6"/>
        <v>548.80000000000007</v>
      </c>
      <c r="O23" s="18">
        <f t="shared" si="6"/>
        <v>137.20000000000002</v>
      </c>
      <c r="P23" s="18">
        <f t="shared" si="6"/>
        <v>1097.6000000000001</v>
      </c>
      <c r="Q23" s="18">
        <f t="shared" si="6"/>
        <v>548.80000000000007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INDEX(神器与芦花古楼!$K$4:$K$33,MATCH(金币汇总!A24,神器与芦花古楼!$AN$4:$AN$33,1))*4</f>
        <v>8800</v>
      </c>
      <c r="F24" s="18">
        <v>0</v>
      </c>
      <c r="G24" s="18">
        <v>0</v>
      </c>
      <c r="I24" s="18">
        <f t="shared" si="4"/>
        <v>28000</v>
      </c>
      <c r="J24" s="18">
        <f t="shared" si="5"/>
        <v>2926</v>
      </c>
      <c r="N24" s="18">
        <f t="shared" si="6"/>
        <v>585.20000000000005</v>
      </c>
      <c r="O24" s="18">
        <f t="shared" si="6"/>
        <v>146.30000000000001</v>
      </c>
      <c r="P24" s="18">
        <f t="shared" si="6"/>
        <v>1170.4000000000001</v>
      </c>
      <c r="Q24" s="18">
        <f t="shared" si="6"/>
        <v>585.20000000000005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INDEX(神器与芦花古楼!$K$4:$K$33,MATCH(金币汇总!A25,神器与芦花古楼!$AN$4:$AN$33,1))*4</f>
        <v>9600</v>
      </c>
      <c r="F25" s="18">
        <v>20000</v>
      </c>
      <c r="G25" s="18">
        <v>0</v>
      </c>
      <c r="I25" s="18">
        <f t="shared" si="4"/>
        <v>48800</v>
      </c>
      <c r="J25" s="18">
        <f t="shared" si="5"/>
        <v>5417</v>
      </c>
      <c r="N25" s="18">
        <f t="shared" si="6"/>
        <v>1083.4000000000001</v>
      </c>
      <c r="O25" s="18">
        <f t="shared" si="6"/>
        <v>270.85000000000002</v>
      </c>
      <c r="P25" s="18">
        <f t="shared" si="6"/>
        <v>2166.8000000000002</v>
      </c>
      <c r="Q25" s="18">
        <f t="shared" si="6"/>
        <v>1083.4000000000001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INDEX(神器与芦花古楼!$K$4:$K$33,MATCH(金币汇总!A26,神器与芦花古楼!$AN$4:$AN$33,1))*4</f>
        <v>9600</v>
      </c>
      <c r="F26" s="18">
        <v>20000</v>
      </c>
      <c r="G26" s="18">
        <v>0</v>
      </c>
      <c r="I26" s="18">
        <f t="shared" si="4"/>
        <v>48800</v>
      </c>
      <c r="J26" s="18">
        <f t="shared" si="5"/>
        <v>6120</v>
      </c>
      <c r="N26" s="18">
        <f t="shared" si="6"/>
        <v>1224</v>
      </c>
      <c r="O26" s="18">
        <f t="shared" si="6"/>
        <v>306</v>
      </c>
      <c r="P26" s="18">
        <f t="shared" si="6"/>
        <v>2448</v>
      </c>
      <c r="Q26" s="18">
        <f t="shared" si="6"/>
        <v>1224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INDEX(神器与芦花古楼!$K$4:$K$33,MATCH(金币汇总!A27,神器与芦花古楼!$AN$4:$AN$33,1))*4</f>
        <v>10400</v>
      </c>
      <c r="F27" s="18">
        <v>20000</v>
      </c>
      <c r="G27" s="18">
        <v>0</v>
      </c>
      <c r="I27" s="18">
        <f t="shared" si="4"/>
        <v>49600</v>
      </c>
      <c r="J27" s="18">
        <f t="shared" si="5"/>
        <v>6935</v>
      </c>
      <c r="N27" s="18">
        <f t="shared" si="6"/>
        <v>1387</v>
      </c>
      <c r="O27" s="18">
        <f t="shared" si="6"/>
        <v>346.75</v>
      </c>
      <c r="P27" s="18">
        <f t="shared" si="6"/>
        <v>2774</v>
      </c>
      <c r="Q27" s="18">
        <f t="shared" si="6"/>
        <v>1387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INDEX(神器与芦花古楼!$K$4:$K$33,MATCH(金币汇总!A28,神器与芦花古楼!$AN$4:$AN$33,1))*4</f>
        <v>10400</v>
      </c>
      <c r="F28" s="18">
        <v>20000</v>
      </c>
      <c r="G28" s="18">
        <v>0</v>
      </c>
      <c r="I28" s="18">
        <f t="shared" si="4"/>
        <v>49600</v>
      </c>
      <c r="J28" s="18">
        <f t="shared" si="5"/>
        <v>7650</v>
      </c>
      <c r="N28" s="18">
        <f t="shared" si="6"/>
        <v>1530</v>
      </c>
      <c r="O28" s="18">
        <f t="shared" si="6"/>
        <v>382.5</v>
      </c>
      <c r="P28" s="18">
        <f t="shared" si="6"/>
        <v>3060</v>
      </c>
      <c r="Q28" s="18">
        <f t="shared" si="6"/>
        <v>1530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INDEX(神器与芦花古楼!$K$4:$K$33,MATCH(金币汇总!A29,神器与芦花古楼!$AN$4:$AN$33,1))*4</f>
        <v>11200</v>
      </c>
      <c r="F29" s="18">
        <v>20000</v>
      </c>
      <c r="G29" s="18">
        <v>0</v>
      </c>
      <c r="I29" s="18">
        <f t="shared" si="4"/>
        <v>50400</v>
      </c>
      <c r="J29" s="18">
        <f t="shared" si="5"/>
        <v>8499</v>
      </c>
      <c r="N29" s="18">
        <f t="shared" si="6"/>
        <v>1699.8000000000002</v>
      </c>
      <c r="O29" s="18">
        <f t="shared" si="6"/>
        <v>424.95000000000005</v>
      </c>
      <c r="P29" s="18">
        <f t="shared" si="6"/>
        <v>3399.6000000000004</v>
      </c>
      <c r="Q29" s="18">
        <f t="shared" si="6"/>
        <v>1699.8000000000002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INDEX(神器与芦花古楼!$K$4:$K$33,MATCH(金币汇总!A30,神器与芦花古楼!$AN$4:$AN$33,1))*4</f>
        <v>11200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55300</v>
      </c>
      <c r="J30" s="18">
        <f t="shared" si="5"/>
        <v>10123</v>
      </c>
      <c r="N30" s="18">
        <f t="shared" si="6"/>
        <v>2024.6000000000001</v>
      </c>
      <c r="O30" s="18">
        <f t="shared" si="6"/>
        <v>506.15000000000003</v>
      </c>
      <c r="P30" s="18">
        <f t="shared" si="6"/>
        <v>4049.2000000000003</v>
      </c>
      <c r="Q30" s="18">
        <f t="shared" si="6"/>
        <v>2024.6000000000001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INDEX(神器与芦花古楼!$K$4:$K$33,MATCH(金币汇总!A31,神器与芦花古楼!$AN$4:$AN$33,1))*4</f>
        <v>12000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56100</v>
      </c>
      <c r="J31" s="18">
        <f t="shared" si="5"/>
        <v>11078</v>
      </c>
      <c r="N31" s="18">
        <f t="shared" si="6"/>
        <v>2215.6</v>
      </c>
      <c r="O31" s="18">
        <f t="shared" si="6"/>
        <v>553.9</v>
      </c>
      <c r="P31" s="18">
        <f t="shared" si="6"/>
        <v>4431.2</v>
      </c>
      <c r="Q31" s="18">
        <f t="shared" si="6"/>
        <v>2215.6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INDEX(神器与芦花古楼!$K$4:$K$33,MATCH(金币汇总!A32,神器与芦花古楼!$AN$4:$AN$33,1))*4</f>
        <v>12000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56100</v>
      </c>
      <c r="J32" s="18">
        <f t="shared" si="5"/>
        <v>11886</v>
      </c>
      <c r="N32" s="18">
        <f t="shared" si="6"/>
        <v>2377.2000000000003</v>
      </c>
      <c r="O32" s="18">
        <f t="shared" si="6"/>
        <v>594.30000000000007</v>
      </c>
      <c r="P32" s="18">
        <f t="shared" si="6"/>
        <v>4754.4000000000005</v>
      </c>
      <c r="Q32" s="18">
        <f t="shared" si="6"/>
        <v>2377.2000000000003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INDEX(神器与芦花古楼!$K$4:$K$33,MATCH(金币汇总!A33,神器与芦花古楼!$AN$4:$AN$33,1))*4</f>
        <v>13000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57100</v>
      </c>
      <c r="J33" s="18">
        <f t="shared" si="5"/>
        <v>12921</v>
      </c>
      <c r="N33" s="18">
        <f t="shared" si="6"/>
        <v>2584.2000000000003</v>
      </c>
      <c r="O33" s="18">
        <f t="shared" si="6"/>
        <v>646.05000000000007</v>
      </c>
      <c r="P33" s="18">
        <f t="shared" si="6"/>
        <v>5168.4000000000005</v>
      </c>
      <c r="Q33" s="18">
        <f t="shared" si="6"/>
        <v>2584.2000000000003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INDEX(神器与芦花古楼!$K$4:$K$33,MATCH(金币汇总!A34,神器与芦花古楼!$AN$4:$AN$33,1))*4</f>
        <v>13000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57100</v>
      </c>
      <c r="J34" s="18">
        <f t="shared" si="5"/>
        <v>13743</v>
      </c>
      <c r="N34" s="18">
        <f t="shared" si="6"/>
        <v>2748.6000000000004</v>
      </c>
      <c r="O34" s="18">
        <f t="shared" si="6"/>
        <v>687.15000000000009</v>
      </c>
      <c r="P34" s="18">
        <f t="shared" si="6"/>
        <v>5497.2000000000007</v>
      </c>
      <c r="Q34" s="18">
        <f t="shared" si="6"/>
        <v>2748.6000000000004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INDEX(神器与芦花古楼!$K$4:$K$33,MATCH(金币汇总!A35,神器与芦花古楼!$AN$4:$AN$33,1))*4</f>
        <v>14000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79700</v>
      </c>
      <c r="J35" s="18">
        <f t="shared" si="5"/>
        <v>20331</v>
      </c>
      <c r="N35" s="18">
        <f t="shared" si="6"/>
        <v>4066.2000000000003</v>
      </c>
      <c r="O35" s="18">
        <f t="shared" si="6"/>
        <v>1016.5500000000001</v>
      </c>
      <c r="P35" s="18">
        <f t="shared" si="6"/>
        <v>8132.4000000000005</v>
      </c>
      <c r="Q35" s="18">
        <f t="shared" si="6"/>
        <v>4066.2000000000003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INDEX(神器与芦花古楼!$K$4:$K$33,MATCH(金币汇总!A36,神器与芦花古楼!$AN$4:$AN$33,1))*4</f>
        <v>14000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79700</v>
      </c>
      <c r="J36" s="18">
        <f t="shared" si="5"/>
        <v>20985</v>
      </c>
      <c r="N36" s="18">
        <f t="shared" si="6"/>
        <v>4197</v>
      </c>
      <c r="O36" s="18">
        <f t="shared" si="6"/>
        <v>1049.25</v>
      </c>
      <c r="P36" s="18">
        <f t="shared" si="6"/>
        <v>8394</v>
      </c>
      <c r="Q36" s="18">
        <f t="shared" si="6"/>
        <v>4197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INDEX(神器与芦花古楼!$K$4:$K$33,MATCH(金币汇总!A37,神器与芦花古楼!$AN$4:$AN$33,1))*4</f>
        <v>15000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80700</v>
      </c>
      <c r="J37" s="18">
        <f t="shared" si="5"/>
        <v>21910</v>
      </c>
      <c r="N37" s="18">
        <f t="shared" si="6"/>
        <v>4382</v>
      </c>
      <c r="O37" s="18">
        <f t="shared" si="6"/>
        <v>1095.5</v>
      </c>
      <c r="P37" s="18">
        <f t="shared" si="6"/>
        <v>8764</v>
      </c>
      <c r="Q37" s="18">
        <f t="shared" si="6"/>
        <v>4382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INDEX(神器与芦花古楼!$K$4:$K$33,MATCH(金币汇总!A38,神器与芦花古楼!$AN$4:$AN$33,1))*4</f>
        <v>15000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80700</v>
      </c>
      <c r="J38" s="18">
        <f t="shared" si="5"/>
        <v>22572</v>
      </c>
      <c r="N38" s="18">
        <f t="shared" si="6"/>
        <v>4514.4000000000005</v>
      </c>
      <c r="O38" s="18">
        <f t="shared" si="6"/>
        <v>1128.6000000000001</v>
      </c>
      <c r="P38" s="18">
        <f t="shared" si="6"/>
        <v>9028.8000000000011</v>
      </c>
      <c r="Q38" s="18">
        <f t="shared" si="6"/>
        <v>4514.4000000000005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INDEX(神器与芦花古楼!$K$4:$K$33,MATCH(金币汇总!A39,神器与芦花古楼!$AN$4:$AN$33,1))*4</f>
        <v>16000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81700</v>
      </c>
      <c r="J39" s="18">
        <f t="shared" si="5"/>
        <v>23521</v>
      </c>
      <c r="N39" s="18">
        <f t="shared" ref="N39:Q70" si="7">$J39*N$4</f>
        <v>4704.2</v>
      </c>
      <c r="O39" s="18">
        <f t="shared" si="7"/>
        <v>1176.05</v>
      </c>
      <c r="P39" s="18">
        <f t="shared" si="7"/>
        <v>9408.4</v>
      </c>
      <c r="Q39" s="18">
        <f t="shared" si="7"/>
        <v>4704.2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INDEX(神器与芦花古楼!$K$4:$K$33,MATCH(金币汇总!A40,神器与芦花古楼!$AN$4:$AN$33,1))*4</f>
        <v>16000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81700</v>
      </c>
      <c r="J40" s="18">
        <f t="shared" si="5"/>
        <v>24191</v>
      </c>
      <c r="N40" s="18">
        <f t="shared" si="7"/>
        <v>4838.2</v>
      </c>
      <c r="O40" s="18">
        <f t="shared" si="7"/>
        <v>1209.55</v>
      </c>
      <c r="P40" s="18">
        <f t="shared" si="7"/>
        <v>9676.4</v>
      </c>
      <c r="Q40" s="18">
        <f t="shared" si="7"/>
        <v>4838.2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INDEX(神器与芦花古楼!$K$4:$K$33,MATCH(金币汇总!A41,神器与芦花古楼!$AN$4:$AN$33,1))*4</f>
        <v>18000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83700</v>
      </c>
      <c r="J41" s="18">
        <f t="shared" si="5"/>
        <v>25470</v>
      </c>
      <c r="N41" s="18">
        <f t="shared" si="7"/>
        <v>5094</v>
      </c>
      <c r="O41" s="18">
        <f t="shared" si="7"/>
        <v>1273.5</v>
      </c>
      <c r="P41" s="18">
        <f t="shared" si="7"/>
        <v>10188</v>
      </c>
      <c r="Q41" s="18">
        <f t="shared" si="7"/>
        <v>5094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INDEX(神器与芦花古楼!$K$4:$K$33,MATCH(金币汇总!A42,神器与芦花古楼!$AN$4:$AN$33,1))*4</f>
        <v>18000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83700</v>
      </c>
      <c r="J42" s="18">
        <f t="shared" si="5"/>
        <v>26156</v>
      </c>
      <c r="N42" s="18">
        <f t="shared" si="7"/>
        <v>5231.2000000000007</v>
      </c>
      <c r="O42" s="18">
        <f t="shared" si="7"/>
        <v>1307.8000000000002</v>
      </c>
      <c r="P42" s="18">
        <f t="shared" si="7"/>
        <v>10462.400000000001</v>
      </c>
      <c r="Q42" s="18">
        <f t="shared" si="7"/>
        <v>5231.2000000000007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INDEX(神器与芦花古楼!$K$4:$K$33,MATCH(金币汇总!A43,神器与芦花古楼!$AN$4:$AN$33,1))*4</f>
        <v>20000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85700</v>
      </c>
      <c r="J43" s="18">
        <f t="shared" si="5"/>
        <v>27484</v>
      </c>
      <c r="N43" s="18">
        <f t="shared" si="7"/>
        <v>5496.8</v>
      </c>
      <c r="O43" s="18">
        <f t="shared" si="7"/>
        <v>1374.2</v>
      </c>
      <c r="P43" s="18">
        <f t="shared" si="7"/>
        <v>10993.6</v>
      </c>
      <c r="Q43" s="18">
        <f t="shared" si="7"/>
        <v>5496.8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INDEX(神器与芦花古楼!$K$4:$K$33,MATCH(金币汇总!A44,神器与芦花古楼!$AN$4:$AN$33,1))*4</f>
        <v>20000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85700</v>
      </c>
      <c r="J44" s="18">
        <f t="shared" si="5"/>
        <v>28187</v>
      </c>
      <c r="N44" s="18">
        <f t="shared" si="7"/>
        <v>5637.4000000000005</v>
      </c>
      <c r="O44" s="18">
        <f t="shared" si="7"/>
        <v>1409.3500000000001</v>
      </c>
      <c r="P44" s="18">
        <f t="shared" si="7"/>
        <v>11274.800000000001</v>
      </c>
      <c r="Q44" s="18">
        <f t="shared" si="7"/>
        <v>5637.4000000000005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INDEX(神器与芦花古楼!$K$4:$K$33,MATCH(金币汇总!A45,神器与芦花古楼!$AN$4:$AN$33,1))*4</f>
        <v>22000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95000</v>
      </c>
      <c r="J45" s="18">
        <f t="shared" si="5"/>
        <v>32025</v>
      </c>
      <c r="N45" s="18">
        <f t="shared" si="7"/>
        <v>6405</v>
      </c>
      <c r="O45" s="18">
        <f t="shared" si="7"/>
        <v>1601.25</v>
      </c>
      <c r="P45" s="18">
        <f t="shared" si="7"/>
        <v>12810</v>
      </c>
      <c r="Q45" s="18">
        <f t="shared" si="7"/>
        <v>6405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INDEX(神器与芦花古楼!$K$4:$K$33,MATCH(金币汇总!A46,神器与芦花古楼!$AN$4:$AN$33,1))*4</f>
        <v>22000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119000</v>
      </c>
      <c r="J46" s="18">
        <f t="shared" si="5"/>
        <v>41483</v>
      </c>
      <c r="N46" s="18">
        <f t="shared" si="7"/>
        <v>8296.6</v>
      </c>
      <c r="O46" s="18">
        <f t="shared" si="7"/>
        <v>2074.15</v>
      </c>
      <c r="P46" s="18">
        <f t="shared" si="7"/>
        <v>16593.2</v>
      </c>
      <c r="Q46" s="18">
        <f t="shared" si="7"/>
        <v>8296.6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INDEX(神器与芦花古楼!$K$4:$K$33,MATCH(金币汇总!A47,神器与芦花古楼!$AN$4:$AN$33,1))*4</f>
        <v>22000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119000</v>
      </c>
      <c r="J47" s="18">
        <f t="shared" si="5"/>
        <v>42852</v>
      </c>
      <c r="N47" s="18">
        <f t="shared" si="7"/>
        <v>8570.4</v>
      </c>
      <c r="O47" s="18">
        <f t="shared" si="7"/>
        <v>2142.6</v>
      </c>
      <c r="P47" s="18">
        <f t="shared" si="7"/>
        <v>17140.8</v>
      </c>
      <c r="Q47" s="18">
        <f t="shared" si="7"/>
        <v>8570.4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INDEX(神器与芦花古楼!$K$4:$K$33,MATCH(金币汇总!A48,神器与芦花古楼!$AN$4:$AN$33,1))*4</f>
        <v>22000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119000</v>
      </c>
      <c r="J48" s="18">
        <f t="shared" si="5"/>
        <v>44220</v>
      </c>
      <c r="N48" s="18">
        <f t="shared" si="7"/>
        <v>8844</v>
      </c>
      <c r="O48" s="18">
        <f t="shared" si="7"/>
        <v>2211</v>
      </c>
      <c r="P48" s="18">
        <f t="shared" si="7"/>
        <v>17688</v>
      </c>
      <c r="Q48" s="18">
        <f t="shared" si="7"/>
        <v>8844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INDEX(神器与芦花古楼!$K$4:$K$33,MATCH(金币汇总!A49,神器与芦花古楼!$AN$4:$AN$33,1))*4</f>
        <v>22000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119000</v>
      </c>
      <c r="J49" s="18">
        <f t="shared" si="5"/>
        <v>45589</v>
      </c>
      <c r="N49" s="18">
        <f t="shared" si="7"/>
        <v>9117.8000000000011</v>
      </c>
      <c r="O49" s="18">
        <f t="shared" si="7"/>
        <v>2279.4500000000003</v>
      </c>
      <c r="P49" s="18">
        <f t="shared" si="7"/>
        <v>18235.600000000002</v>
      </c>
      <c r="Q49" s="18">
        <f t="shared" si="7"/>
        <v>9117.8000000000011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INDEX(神器与芦花古楼!$K$4:$K$33,MATCH(金币汇总!A50,神器与芦花古楼!$AN$4:$AN$33,1))*4</f>
        <v>24000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121000</v>
      </c>
      <c r="J50" s="18">
        <f t="shared" si="5"/>
        <v>47747</v>
      </c>
      <c r="N50" s="18">
        <f t="shared" si="7"/>
        <v>9549.4</v>
      </c>
      <c r="O50" s="18">
        <f t="shared" si="7"/>
        <v>2387.35</v>
      </c>
      <c r="P50" s="18">
        <f t="shared" si="7"/>
        <v>19098.8</v>
      </c>
      <c r="Q50" s="18">
        <f t="shared" si="7"/>
        <v>9549.4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INDEX(神器与芦花古楼!$K$4:$K$33,MATCH(金币汇总!A51,神器与芦花古楼!$AN$4:$AN$33,1))*4</f>
        <v>24000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121000</v>
      </c>
      <c r="J51" s="18">
        <f t="shared" si="5"/>
        <v>49138</v>
      </c>
      <c r="N51" s="18">
        <f t="shared" si="7"/>
        <v>9827.6</v>
      </c>
      <c r="O51" s="18">
        <f t="shared" si="7"/>
        <v>2456.9</v>
      </c>
      <c r="P51" s="18">
        <f t="shared" si="7"/>
        <v>19655.2</v>
      </c>
      <c r="Q51" s="18">
        <f t="shared" si="7"/>
        <v>9827.6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INDEX(神器与芦花古楼!$K$4:$K$33,MATCH(金币汇总!A52,神器与芦花古楼!$AN$4:$AN$33,1))*4</f>
        <v>24000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121000</v>
      </c>
      <c r="J52" s="18">
        <f t="shared" si="5"/>
        <v>50530</v>
      </c>
      <c r="N52" s="18">
        <f t="shared" si="7"/>
        <v>10106</v>
      </c>
      <c r="O52" s="18">
        <f t="shared" si="7"/>
        <v>2526.5</v>
      </c>
      <c r="P52" s="18">
        <f t="shared" si="7"/>
        <v>20212</v>
      </c>
      <c r="Q52" s="18">
        <f t="shared" si="7"/>
        <v>10106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INDEX(神器与芦花古楼!$K$4:$K$33,MATCH(金币汇总!A53,神器与芦花古楼!$AN$4:$AN$33,1))*4</f>
        <v>24000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121000</v>
      </c>
      <c r="J53" s="18">
        <f t="shared" si="5"/>
        <v>51921</v>
      </c>
      <c r="N53" s="18">
        <f t="shared" si="7"/>
        <v>10384.200000000001</v>
      </c>
      <c r="O53" s="18">
        <f t="shared" si="7"/>
        <v>2596.0500000000002</v>
      </c>
      <c r="P53" s="18">
        <f t="shared" si="7"/>
        <v>20768.400000000001</v>
      </c>
      <c r="Q53" s="18">
        <f t="shared" si="7"/>
        <v>10384.200000000001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INDEX(神器与芦花古楼!$K$4:$K$33,MATCH(金币汇总!A54,神器与芦花古楼!$AN$4:$AN$33,1))*4</f>
        <v>24000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121000</v>
      </c>
      <c r="J54" s="18">
        <f t="shared" si="5"/>
        <v>53313</v>
      </c>
      <c r="N54" s="18">
        <f t="shared" si="7"/>
        <v>10662.6</v>
      </c>
      <c r="O54" s="18">
        <f t="shared" si="7"/>
        <v>2665.65</v>
      </c>
      <c r="P54" s="18">
        <f t="shared" si="7"/>
        <v>21325.200000000001</v>
      </c>
      <c r="Q54" s="18">
        <f t="shared" si="7"/>
        <v>10662.6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INDEX(神器与芦花古楼!$K$4:$K$33,MATCH(金币汇总!A55,神器与芦花古楼!$AN$4:$AN$33,1))*4</f>
        <v>26000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123000</v>
      </c>
      <c r="J55" s="18">
        <f t="shared" si="5"/>
        <v>55608</v>
      </c>
      <c r="N55" s="18">
        <f t="shared" si="7"/>
        <v>11121.6</v>
      </c>
      <c r="O55" s="18">
        <f t="shared" si="7"/>
        <v>2780.4</v>
      </c>
      <c r="P55" s="18">
        <f t="shared" si="7"/>
        <v>22243.200000000001</v>
      </c>
      <c r="Q55" s="18">
        <f t="shared" si="7"/>
        <v>11121.6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INDEX(神器与芦花古楼!$K$4:$K$33,MATCH(金币汇总!A56,神器与芦花古楼!$AN$4:$AN$33,1))*4</f>
        <v>26000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147000</v>
      </c>
      <c r="J56" s="18">
        <f t="shared" si="5"/>
        <v>67929</v>
      </c>
      <c r="N56" s="18">
        <f t="shared" si="7"/>
        <v>13585.800000000001</v>
      </c>
      <c r="O56" s="18">
        <f t="shared" si="7"/>
        <v>3396.4500000000003</v>
      </c>
      <c r="P56" s="18">
        <f t="shared" si="7"/>
        <v>27171.600000000002</v>
      </c>
      <c r="Q56" s="18">
        <f t="shared" si="7"/>
        <v>13585.800000000001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INDEX(神器与芦花古楼!$K$4:$K$33,MATCH(金币汇总!A57,神器与芦花古楼!$AN$4:$AN$33,1))*4</f>
        <v>26000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147000</v>
      </c>
      <c r="J57" s="18">
        <f t="shared" si="5"/>
        <v>69399</v>
      </c>
      <c r="N57" s="18">
        <f t="shared" si="7"/>
        <v>13879.800000000001</v>
      </c>
      <c r="O57" s="18">
        <f t="shared" si="7"/>
        <v>3469.9500000000003</v>
      </c>
      <c r="P57" s="18">
        <f t="shared" si="7"/>
        <v>27759.600000000002</v>
      </c>
      <c r="Q57" s="18">
        <f t="shared" si="7"/>
        <v>13879.800000000001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INDEX(神器与芦花古楼!$K$4:$K$33,MATCH(金币汇总!A58,神器与芦花古楼!$AN$4:$AN$33,1))*4</f>
        <v>26000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147000</v>
      </c>
      <c r="J58" s="18">
        <f t="shared" si="5"/>
        <v>70869</v>
      </c>
      <c r="N58" s="18">
        <f t="shared" si="7"/>
        <v>14173.800000000001</v>
      </c>
      <c r="O58" s="18">
        <f t="shared" si="7"/>
        <v>3543.4500000000003</v>
      </c>
      <c r="P58" s="18">
        <f t="shared" si="7"/>
        <v>28347.600000000002</v>
      </c>
      <c r="Q58" s="18">
        <f t="shared" si="7"/>
        <v>14173.800000000001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INDEX(神器与芦花古楼!$K$4:$K$33,MATCH(金币汇总!A59,神器与芦花古楼!$AN$4:$AN$33,1))*4</f>
        <v>26000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147000</v>
      </c>
      <c r="J59" s="18">
        <f t="shared" si="5"/>
        <v>72339</v>
      </c>
      <c r="N59" s="18">
        <f t="shared" si="7"/>
        <v>14467.800000000001</v>
      </c>
      <c r="O59" s="18">
        <f t="shared" si="7"/>
        <v>3616.9500000000003</v>
      </c>
      <c r="P59" s="18">
        <f t="shared" si="7"/>
        <v>28935.600000000002</v>
      </c>
      <c r="Q59" s="18">
        <f t="shared" si="7"/>
        <v>14467.800000000001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INDEX(神器与芦花古楼!$K$4:$K$33,MATCH(金币汇总!A60,神器与芦花古楼!$AN$4:$AN$33,1))*4</f>
        <v>28000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173200</v>
      </c>
      <c r="J60" s="18">
        <f t="shared" si="5"/>
        <v>86964</v>
      </c>
      <c r="N60" s="18">
        <f t="shared" si="7"/>
        <v>17392.8</v>
      </c>
      <c r="O60" s="18">
        <f t="shared" si="7"/>
        <v>4348.2</v>
      </c>
      <c r="P60" s="18">
        <f t="shared" si="7"/>
        <v>34785.599999999999</v>
      </c>
      <c r="Q60" s="18">
        <f t="shared" si="7"/>
        <v>17392.8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INDEX(神器与芦花古楼!$K$4:$K$33,MATCH(金币汇总!A61,神器与芦花古楼!$AN$4:$AN$33,1))*4</f>
        <v>28000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173200</v>
      </c>
      <c r="J61" s="18">
        <f t="shared" si="5"/>
        <v>88696</v>
      </c>
      <c r="N61" s="18">
        <f t="shared" si="7"/>
        <v>17739.2</v>
      </c>
      <c r="O61" s="18">
        <f t="shared" si="7"/>
        <v>4434.8</v>
      </c>
      <c r="P61" s="18">
        <f t="shared" si="7"/>
        <v>35478.400000000001</v>
      </c>
      <c r="Q61" s="18">
        <f t="shared" si="7"/>
        <v>17739.2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INDEX(神器与芦花古楼!$K$4:$K$33,MATCH(金币汇总!A62,神器与芦花古楼!$AN$4:$AN$33,1))*4</f>
        <v>28000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173200</v>
      </c>
      <c r="J62" s="18">
        <f t="shared" si="5"/>
        <v>90428</v>
      </c>
      <c r="N62" s="18">
        <f t="shared" si="7"/>
        <v>18085.600000000002</v>
      </c>
      <c r="O62" s="18">
        <f t="shared" si="7"/>
        <v>4521.4000000000005</v>
      </c>
      <c r="P62" s="18">
        <f t="shared" si="7"/>
        <v>36171.200000000004</v>
      </c>
      <c r="Q62" s="18">
        <f t="shared" si="7"/>
        <v>18085.600000000002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INDEX(神器与芦花古楼!$K$4:$K$33,MATCH(金币汇总!A63,神器与芦花古楼!$AN$4:$AN$33,1))*4</f>
        <v>28000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173200</v>
      </c>
      <c r="J63" s="18">
        <f t="shared" si="5"/>
        <v>92160</v>
      </c>
      <c r="N63" s="18">
        <f t="shared" si="7"/>
        <v>18432</v>
      </c>
      <c r="O63" s="18">
        <f t="shared" si="7"/>
        <v>4608</v>
      </c>
      <c r="P63" s="18">
        <f t="shared" si="7"/>
        <v>36864</v>
      </c>
      <c r="Q63" s="18">
        <f t="shared" si="7"/>
        <v>18432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INDEX(神器与芦花古楼!$K$4:$K$33,MATCH(金币汇总!A64,神器与芦花古楼!$AN$4:$AN$33,1))*4</f>
        <v>28000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173200</v>
      </c>
      <c r="J64" s="18">
        <f t="shared" si="5"/>
        <v>93892</v>
      </c>
      <c r="N64" s="18">
        <f t="shared" si="7"/>
        <v>18778.400000000001</v>
      </c>
      <c r="O64" s="18">
        <f t="shared" si="7"/>
        <v>4694.6000000000004</v>
      </c>
      <c r="P64" s="18">
        <f t="shared" si="7"/>
        <v>37556.800000000003</v>
      </c>
      <c r="Q64" s="18">
        <f t="shared" si="7"/>
        <v>18778.400000000001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INDEX(神器与芦花古楼!$K$4:$K$33,MATCH(金币汇总!A65,神器与芦花古楼!$AN$4:$AN$33,1))*4</f>
        <v>30000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175200</v>
      </c>
      <c r="J65" s="18">
        <f t="shared" si="5"/>
        <v>96728</v>
      </c>
      <c r="N65" s="18">
        <f t="shared" si="7"/>
        <v>19345.600000000002</v>
      </c>
      <c r="O65" s="18">
        <f t="shared" si="7"/>
        <v>4836.4000000000005</v>
      </c>
      <c r="P65" s="18">
        <f t="shared" si="7"/>
        <v>38691.200000000004</v>
      </c>
      <c r="Q65" s="18">
        <f t="shared" si="7"/>
        <v>19345.600000000002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INDEX(神器与芦花古楼!$K$4:$K$33,MATCH(金币汇总!A66,神器与芦花古楼!$AN$4:$AN$33,1))*4</f>
        <v>30000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175200</v>
      </c>
      <c r="J66" s="18">
        <f t="shared" si="5"/>
        <v>99356</v>
      </c>
      <c r="N66" s="18">
        <f t="shared" si="7"/>
        <v>19871.2</v>
      </c>
      <c r="O66" s="18">
        <f t="shared" si="7"/>
        <v>4967.8</v>
      </c>
      <c r="P66" s="18">
        <f t="shared" si="7"/>
        <v>39742.400000000001</v>
      </c>
      <c r="Q66" s="18">
        <f t="shared" si="7"/>
        <v>19871.2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INDEX(神器与芦花古楼!$K$4:$K$33,MATCH(金币汇总!A67,神器与芦花古楼!$AN$4:$AN$33,1))*4</f>
        <v>30000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175200</v>
      </c>
      <c r="J67" s="18">
        <f t="shared" si="5"/>
        <v>101984</v>
      </c>
      <c r="N67" s="18">
        <f t="shared" si="7"/>
        <v>20396.800000000003</v>
      </c>
      <c r="O67" s="18">
        <f t="shared" si="7"/>
        <v>5099.2000000000007</v>
      </c>
      <c r="P67" s="18">
        <f t="shared" si="7"/>
        <v>40793.600000000006</v>
      </c>
      <c r="Q67" s="18">
        <f t="shared" si="7"/>
        <v>20396.800000000003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INDEX(神器与芦花古楼!$K$4:$K$33,MATCH(金币汇总!A68,神器与芦花古楼!$AN$4:$AN$33,1))*4</f>
        <v>30000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175200</v>
      </c>
      <c r="J68" s="18">
        <f t="shared" si="5"/>
        <v>104612</v>
      </c>
      <c r="N68" s="18">
        <f t="shared" si="7"/>
        <v>20922.400000000001</v>
      </c>
      <c r="O68" s="18">
        <f t="shared" si="7"/>
        <v>5230.6000000000004</v>
      </c>
      <c r="P68" s="18">
        <f t="shared" si="7"/>
        <v>41844.800000000003</v>
      </c>
      <c r="Q68" s="18">
        <f t="shared" si="7"/>
        <v>20922.400000000001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INDEX(神器与芦花古楼!$K$4:$K$33,MATCH(金币汇总!A69,神器与芦花古楼!$AN$4:$AN$33,1))*4</f>
        <v>30000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175200</v>
      </c>
      <c r="J69" s="18">
        <f t="shared" si="5"/>
        <v>107240</v>
      </c>
      <c r="N69" s="18">
        <f t="shared" si="7"/>
        <v>21448</v>
      </c>
      <c r="O69" s="18">
        <f t="shared" si="7"/>
        <v>5362</v>
      </c>
      <c r="P69" s="18">
        <f t="shared" si="7"/>
        <v>42896</v>
      </c>
      <c r="Q69" s="18">
        <f t="shared" si="7"/>
        <v>21448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INDEX(神器与芦花古楼!$K$4:$K$33,MATCH(金币汇总!A70,神器与芦花古楼!$AN$4:$AN$33,1))*4</f>
        <v>32000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177200</v>
      </c>
      <c r="J70" s="18">
        <f t="shared" si="5"/>
        <v>111122</v>
      </c>
      <c r="N70" s="18">
        <f t="shared" si="7"/>
        <v>22224.400000000001</v>
      </c>
      <c r="O70" s="18">
        <f t="shared" si="7"/>
        <v>5556.1</v>
      </c>
      <c r="P70" s="18">
        <f t="shared" si="7"/>
        <v>44448.800000000003</v>
      </c>
      <c r="Q70" s="18">
        <f t="shared" si="7"/>
        <v>22224.400000000001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INDEX(神器与芦花古楼!$K$4:$K$33,MATCH(金币汇总!A71,神器与芦花古楼!$AN$4:$AN$33,1))*4</f>
        <v>32000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177200</v>
      </c>
      <c r="J71" s="18">
        <f t="shared" ref="J71:J105" si="9">ROUND(B71*I71,0)</f>
        <v>113780</v>
      </c>
      <c r="N71" s="18">
        <f t="shared" ref="N71:Q105" si="10">$J71*N$4</f>
        <v>22756</v>
      </c>
      <c r="O71" s="18">
        <f t="shared" si="10"/>
        <v>5689</v>
      </c>
      <c r="P71" s="18">
        <f t="shared" si="10"/>
        <v>45512</v>
      </c>
      <c r="Q71" s="18">
        <f t="shared" si="10"/>
        <v>22756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INDEX(神器与芦花古楼!$K$4:$K$33,MATCH(金币汇总!A72,神器与芦花古楼!$AN$4:$AN$33,1))*4</f>
        <v>32000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177200</v>
      </c>
      <c r="J72" s="18">
        <f t="shared" si="9"/>
        <v>116438</v>
      </c>
      <c r="N72" s="18">
        <f t="shared" si="10"/>
        <v>23287.600000000002</v>
      </c>
      <c r="O72" s="18">
        <f t="shared" si="10"/>
        <v>5821.9000000000005</v>
      </c>
      <c r="P72" s="18">
        <f t="shared" si="10"/>
        <v>46575.200000000004</v>
      </c>
      <c r="Q72" s="18">
        <f t="shared" si="10"/>
        <v>23287.600000000002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INDEX(神器与芦花古楼!$K$4:$K$33,MATCH(金币汇总!A73,神器与芦花古楼!$AN$4:$AN$33,1))*4</f>
        <v>32000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177200</v>
      </c>
      <c r="J73" s="18">
        <f t="shared" si="9"/>
        <v>119096</v>
      </c>
      <c r="N73" s="18">
        <f t="shared" si="10"/>
        <v>23819.200000000001</v>
      </c>
      <c r="O73" s="18">
        <f t="shared" si="10"/>
        <v>5954.8</v>
      </c>
      <c r="P73" s="18">
        <f t="shared" si="10"/>
        <v>47638.400000000001</v>
      </c>
      <c r="Q73" s="18">
        <f t="shared" si="10"/>
        <v>23819.200000000001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INDEX(神器与芦花古楼!$K$4:$K$33,MATCH(金币汇总!A74,神器与芦花古楼!$AN$4:$AN$33,1))*4</f>
        <v>32000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177200</v>
      </c>
      <c r="J74" s="18">
        <f t="shared" si="9"/>
        <v>121754</v>
      </c>
      <c r="N74" s="18">
        <f t="shared" si="10"/>
        <v>24350.800000000003</v>
      </c>
      <c r="O74" s="18">
        <f t="shared" si="10"/>
        <v>6087.7000000000007</v>
      </c>
      <c r="P74" s="18">
        <f t="shared" si="10"/>
        <v>48701.600000000006</v>
      </c>
      <c r="Q74" s="18">
        <f t="shared" si="10"/>
        <v>24350.800000000003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INDEX(神器与芦花古楼!$K$4:$K$33,MATCH(金币汇总!A75,神器与芦花古楼!$AN$4:$AN$33,1))*4</f>
        <v>34000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208400</v>
      </c>
      <c r="J75" s="18">
        <f t="shared" si="9"/>
        <v>146318</v>
      </c>
      <c r="N75" s="18">
        <f t="shared" si="10"/>
        <v>29263.600000000002</v>
      </c>
      <c r="O75" s="18">
        <f t="shared" si="10"/>
        <v>7315.9000000000005</v>
      </c>
      <c r="P75" s="18">
        <f t="shared" si="10"/>
        <v>58527.200000000004</v>
      </c>
      <c r="Q75" s="18">
        <f t="shared" si="10"/>
        <v>29263.600000000002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INDEX(神器与芦花古楼!$K$4:$K$33,MATCH(金币汇总!A76,神器与芦花古楼!$AN$4:$AN$33,1))*4</f>
        <v>34000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242000</v>
      </c>
      <c r="J76" s="18">
        <f t="shared" si="9"/>
        <v>176757</v>
      </c>
      <c r="N76" s="18">
        <f t="shared" si="10"/>
        <v>35351.4</v>
      </c>
      <c r="O76" s="18">
        <f t="shared" si="10"/>
        <v>8837.85</v>
      </c>
      <c r="P76" s="18">
        <f t="shared" si="10"/>
        <v>70702.8</v>
      </c>
      <c r="Q76" s="18">
        <f t="shared" si="10"/>
        <v>35351.4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INDEX(神器与芦花古楼!$K$4:$K$33,MATCH(金币汇总!A77,神器与芦花古楼!$AN$4:$AN$33,1))*4</f>
        <v>34000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242000</v>
      </c>
      <c r="J77" s="18">
        <f t="shared" si="9"/>
        <v>183605</v>
      </c>
      <c r="N77" s="18">
        <f t="shared" si="10"/>
        <v>36721</v>
      </c>
      <c r="O77" s="18">
        <f t="shared" si="10"/>
        <v>9180.25</v>
      </c>
      <c r="P77" s="18">
        <f t="shared" si="10"/>
        <v>73442</v>
      </c>
      <c r="Q77" s="18">
        <f t="shared" si="10"/>
        <v>36721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INDEX(神器与芦花古楼!$K$4:$K$33,MATCH(金币汇总!A78,神器与芦花古楼!$AN$4:$AN$33,1))*4</f>
        <v>34000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242000</v>
      </c>
      <c r="J78" s="18">
        <f t="shared" si="9"/>
        <v>190454</v>
      </c>
      <c r="N78" s="18">
        <f t="shared" si="10"/>
        <v>38090.800000000003</v>
      </c>
      <c r="O78" s="18">
        <f t="shared" si="10"/>
        <v>9522.7000000000007</v>
      </c>
      <c r="P78" s="18">
        <f t="shared" si="10"/>
        <v>76181.600000000006</v>
      </c>
      <c r="Q78" s="18">
        <f t="shared" si="10"/>
        <v>38090.800000000003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INDEX(神器与芦花古楼!$K$4:$K$33,MATCH(金币汇总!A79,神器与芦花古楼!$AN$4:$AN$33,1))*4</f>
        <v>34000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242000</v>
      </c>
      <c r="J79" s="18">
        <f t="shared" si="9"/>
        <v>197303</v>
      </c>
      <c r="N79" s="18">
        <f t="shared" si="10"/>
        <v>39460.600000000006</v>
      </c>
      <c r="O79" s="18">
        <f t="shared" si="10"/>
        <v>9865.1500000000015</v>
      </c>
      <c r="P79" s="18">
        <f t="shared" si="10"/>
        <v>78921.200000000012</v>
      </c>
      <c r="Q79" s="18">
        <f t="shared" si="10"/>
        <v>39460.600000000006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INDEX(神器与芦花古楼!$K$4:$K$33,MATCH(金币汇总!A80,神器与芦花古楼!$AN$4:$AN$33,1))*4</f>
        <v>36000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244000</v>
      </c>
      <c r="J80" s="18">
        <f t="shared" si="9"/>
        <v>205838</v>
      </c>
      <c r="N80" s="18">
        <f t="shared" si="10"/>
        <v>41167.600000000006</v>
      </c>
      <c r="O80" s="18">
        <f t="shared" si="10"/>
        <v>10291.900000000001</v>
      </c>
      <c r="P80" s="18">
        <f t="shared" si="10"/>
        <v>82335.200000000012</v>
      </c>
      <c r="Q80" s="18">
        <f t="shared" si="10"/>
        <v>41167.600000000006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INDEX(神器与芦花古楼!$K$4:$K$33,MATCH(金币汇总!A81,神器与芦花古楼!$AN$4:$AN$33,1))*4</f>
        <v>36000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244000</v>
      </c>
      <c r="J81" s="18">
        <f t="shared" si="9"/>
        <v>212744</v>
      </c>
      <c r="N81" s="18">
        <f t="shared" si="10"/>
        <v>42548.800000000003</v>
      </c>
      <c r="O81" s="18">
        <f t="shared" si="10"/>
        <v>10637.2</v>
      </c>
      <c r="P81" s="18">
        <f t="shared" si="10"/>
        <v>85097.600000000006</v>
      </c>
      <c r="Q81" s="18">
        <f t="shared" si="10"/>
        <v>42548.800000000003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INDEX(神器与芦花古楼!$K$4:$K$33,MATCH(金币汇总!A82,神器与芦花古楼!$AN$4:$AN$33,1))*4</f>
        <v>36000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244000</v>
      </c>
      <c r="J82" s="18">
        <f t="shared" si="9"/>
        <v>219649</v>
      </c>
      <c r="N82" s="18">
        <f t="shared" si="10"/>
        <v>43929.8</v>
      </c>
      <c r="O82" s="18">
        <f t="shared" si="10"/>
        <v>10982.45</v>
      </c>
      <c r="P82" s="18">
        <f t="shared" si="10"/>
        <v>87859.6</v>
      </c>
      <c r="Q82" s="18">
        <f t="shared" si="10"/>
        <v>43929.8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INDEX(神器与芦花古楼!$K$4:$K$33,MATCH(金币汇总!A83,神器与芦花古楼!$AN$4:$AN$33,1))*4</f>
        <v>36000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244000</v>
      </c>
      <c r="J83" s="18">
        <f t="shared" si="9"/>
        <v>226554</v>
      </c>
      <c r="N83" s="18">
        <f t="shared" si="10"/>
        <v>45310.8</v>
      </c>
      <c r="O83" s="18">
        <f t="shared" si="10"/>
        <v>11327.7</v>
      </c>
      <c r="P83" s="18">
        <f t="shared" si="10"/>
        <v>90621.6</v>
      </c>
      <c r="Q83" s="18">
        <f t="shared" si="10"/>
        <v>45310.8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INDEX(神器与芦花古楼!$K$4:$K$33,MATCH(金币汇总!A84,神器与芦花古楼!$AN$4:$AN$33,1))*4</f>
        <v>36000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244000</v>
      </c>
      <c r="J84" s="18">
        <f t="shared" si="9"/>
        <v>233459</v>
      </c>
      <c r="N84" s="18">
        <f t="shared" si="10"/>
        <v>46691.8</v>
      </c>
      <c r="O84" s="18">
        <f t="shared" si="10"/>
        <v>11672.95</v>
      </c>
      <c r="P84" s="18">
        <f t="shared" si="10"/>
        <v>93383.6</v>
      </c>
      <c r="Q84" s="18">
        <f t="shared" si="10"/>
        <v>46691.8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INDEX(神器与芦花古楼!$K$4:$K$33,MATCH(金币汇总!A85,神器与芦花古楼!$AN$4:$AN$33,1))*4</f>
        <v>40000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258000</v>
      </c>
      <c r="J85" s="18">
        <f t="shared" si="9"/>
        <v>254156</v>
      </c>
      <c r="N85" s="18">
        <f t="shared" si="10"/>
        <v>50831.200000000004</v>
      </c>
      <c r="O85" s="18">
        <f t="shared" si="10"/>
        <v>12707.800000000001</v>
      </c>
      <c r="P85" s="18">
        <f t="shared" si="10"/>
        <v>101662.40000000001</v>
      </c>
      <c r="Q85" s="18">
        <f t="shared" si="10"/>
        <v>50831.200000000004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INDEX(神器与芦花古楼!$K$4:$K$33,MATCH(金币汇总!A86,神器与芦花古楼!$AN$4:$AN$33,1))*4</f>
        <v>40000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258000</v>
      </c>
      <c r="J86" s="18">
        <f t="shared" si="9"/>
        <v>278330</v>
      </c>
      <c r="N86" s="18">
        <f t="shared" si="10"/>
        <v>55666</v>
      </c>
      <c r="O86" s="18">
        <f t="shared" si="10"/>
        <v>13916.5</v>
      </c>
      <c r="P86" s="18">
        <f t="shared" si="10"/>
        <v>111332</v>
      </c>
      <c r="Q86" s="18">
        <f t="shared" si="10"/>
        <v>55666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INDEX(神器与芦花古楼!$K$4:$K$33,MATCH(金币汇总!A87,神器与芦花古楼!$AN$4:$AN$33,1))*4</f>
        <v>40000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258000</v>
      </c>
      <c r="J87" s="18">
        <f t="shared" si="9"/>
        <v>302505</v>
      </c>
      <c r="N87" s="18">
        <f t="shared" si="10"/>
        <v>60501</v>
      </c>
      <c r="O87" s="18">
        <f t="shared" si="10"/>
        <v>15125.25</v>
      </c>
      <c r="P87" s="18">
        <f t="shared" si="10"/>
        <v>121002</v>
      </c>
      <c r="Q87" s="18">
        <f t="shared" si="10"/>
        <v>60501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INDEX(神器与芦花古楼!$K$4:$K$33,MATCH(金币汇总!A88,神器与芦花古楼!$AN$4:$AN$33,1))*4</f>
        <v>40000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258000</v>
      </c>
      <c r="J88" s="18">
        <f t="shared" si="9"/>
        <v>326680</v>
      </c>
      <c r="N88" s="18">
        <f t="shared" si="10"/>
        <v>65336</v>
      </c>
      <c r="O88" s="18">
        <f t="shared" si="10"/>
        <v>16334</v>
      </c>
      <c r="P88" s="18">
        <f t="shared" si="10"/>
        <v>130672</v>
      </c>
      <c r="Q88" s="18">
        <f t="shared" si="10"/>
        <v>65336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INDEX(神器与芦花古楼!$K$4:$K$33,MATCH(金币汇总!A89,神器与芦花古楼!$AN$4:$AN$33,1))*4</f>
        <v>40000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258000</v>
      </c>
      <c r="J89" s="18">
        <f t="shared" si="9"/>
        <v>350854</v>
      </c>
      <c r="N89" s="18">
        <f t="shared" si="10"/>
        <v>70170.8</v>
      </c>
      <c r="O89" s="18">
        <f t="shared" si="10"/>
        <v>17542.7</v>
      </c>
      <c r="P89" s="18">
        <f t="shared" si="10"/>
        <v>140341.6</v>
      </c>
      <c r="Q89" s="18">
        <f t="shared" si="10"/>
        <v>70170.8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INDEX(神器与芦花古楼!$K$4:$K$33,MATCH(金币汇总!A90,神器与芦花古楼!$AN$4:$AN$33,1))*4</f>
        <v>40000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282000</v>
      </c>
      <c r="J90" s="18">
        <f t="shared" si="9"/>
        <v>409915</v>
      </c>
      <c r="N90" s="18">
        <f t="shared" si="10"/>
        <v>81983</v>
      </c>
      <c r="O90" s="18">
        <f t="shared" si="10"/>
        <v>20495.75</v>
      </c>
      <c r="P90" s="18">
        <f t="shared" si="10"/>
        <v>163966</v>
      </c>
      <c r="Q90" s="18">
        <f t="shared" si="10"/>
        <v>81983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INDEX(神器与芦花古楼!$K$4:$K$33,MATCH(金币汇总!A91,神器与芦花古楼!$AN$4:$AN$33,1))*4</f>
        <v>40000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282000</v>
      </c>
      <c r="J91" s="18">
        <f t="shared" si="9"/>
        <v>436339</v>
      </c>
      <c r="N91" s="18">
        <f t="shared" si="10"/>
        <v>87267.8</v>
      </c>
      <c r="O91" s="18">
        <f t="shared" si="10"/>
        <v>21816.95</v>
      </c>
      <c r="P91" s="18">
        <f t="shared" si="10"/>
        <v>174535.6</v>
      </c>
      <c r="Q91" s="18">
        <f t="shared" si="10"/>
        <v>87267.8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INDEX(神器与芦花古楼!$K$4:$K$33,MATCH(金币汇总!A92,神器与芦花古楼!$AN$4:$AN$33,1))*4</f>
        <v>40000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282000</v>
      </c>
      <c r="J92" s="18">
        <f t="shared" si="9"/>
        <v>462762</v>
      </c>
      <c r="N92" s="18">
        <f t="shared" si="10"/>
        <v>92552.400000000009</v>
      </c>
      <c r="O92" s="18">
        <f t="shared" si="10"/>
        <v>23138.100000000002</v>
      </c>
      <c r="P92" s="18">
        <f t="shared" si="10"/>
        <v>185104.80000000002</v>
      </c>
      <c r="Q92" s="18">
        <f t="shared" si="10"/>
        <v>92552.400000000009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INDEX(神器与芦花古楼!$K$4:$K$33,MATCH(金币汇总!A93,神器与芦花古楼!$AN$4:$AN$33,1))*4</f>
        <v>40000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282000</v>
      </c>
      <c r="J93" s="18">
        <f t="shared" si="9"/>
        <v>489185</v>
      </c>
      <c r="N93" s="18">
        <f t="shared" si="10"/>
        <v>97837</v>
      </c>
      <c r="O93" s="18">
        <f t="shared" si="10"/>
        <v>24459.25</v>
      </c>
      <c r="P93" s="18">
        <f t="shared" si="10"/>
        <v>195674</v>
      </c>
      <c r="Q93" s="18">
        <f t="shared" si="10"/>
        <v>97837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INDEX(神器与芦花古楼!$K$4:$K$33,MATCH(金币汇总!A94,神器与芦花古楼!$AN$4:$AN$33,1))*4</f>
        <v>40000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282000</v>
      </c>
      <c r="J94" s="18">
        <f t="shared" si="9"/>
        <v>515609</v>
      </c>
      <c r="N94" s="18">
        <f t="shared" si="10"/>
        <v>103121.8</v>
      </c>
      <c r="O94" s="18">
        <f t="shared" si="10"/>
        <v>25780.45</v>
      </c>
      <c r="P94" s="18">
        <f t="shared" si="10"/>
        <v>206243.6</v>
      </c>
      <c r="Q94" s="18">
        <f t="shared" si="10"/>
        <v>103121.8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INDEX(神器与芦花古楼!$K$4:$K$33,MATCH(金币汇总!A95,神器与芦花古楼!$AN$4:$AN$33,1))*4</f>
        <v>40000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282000</v>
      </c>
      <c r="J95" s="18">
        <f t="shared" si="9"/>
        <v>542032</v>
      </c>
      <c r="N95" s="18">
        <f t="shared" si="10"/>
        <v>108406.40000000001</v>
      </c>
      <c r="O95" s="18">
        <f t="shared" si="10"/>
        <v>27101.600000000002</v>
      </c>
      <c r="P95" s="18">
        <f t="shared" si="10"/>
        <v>216812.80000000002</v>
      </c>
      <c r="Q95" s="18">
        <f t="shared" si="10"/>
        <v>108406.40000000001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INDEX(神器与芦花古楼!$K$4:$K$33,MATCH(金币汇总!A96,神器与芦花古楼!$AN$4:$AN$33,1))*4</f>
        <v>40000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282000</v>
      </c>
      <c r="J96" s="18">
        <f t="shared" si="9"/>
        <v>597304</v>
      </c>
      <c r="N96" s="18">
        <f t="shared" si="10"/>
        <v>119460.8</v>
      </c>
      <c r="O96" s="18">
        <f t="shared" si="10"/>
        <v>29865.200000000001</v>
      </c>
      <c r="P96" s="18">
        <f t="shared" si="10"/>
        <v>238921.60000000001</v>
      </c>
      <c r="Q96" s="18">
        <f t="shared" si="10"/>
        <v>119460.8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INDEX(神器与芦花古楼!$K$4:$K$33,MATCH(金币汇总!A97,神器与芦花古楼!$AN$4:$AN$33,1))*4</f>
        <v>40000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282000</v>
      </c>
      <c r="J97" s="18">
        <f t="shared" si="9"/>
        <v>652576</v>
      </c>
      <c r="N97" s="18">
        <f t="shared" si="10"/>
        <v>130515.20000000001</v>
      </c>
      <c r="O97" s="18">
        <f t="shared" si="10"/>
        <v>32628.800000000003</v>
      </c>
      <c r="P97" s="18">
        <f t="shared" si="10"/>
        <v>261030.40000000002</v>
      </c>
      <c r="Q97" s="18">
        <f t="shared" si="10"/>
        <v>130515.20000000001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INDEX(神器与芦花古楼!$K$4:$K$33,MATCH(金币汇总!A98,神器与芦花古楼!$AN$4:$AN$33,1))*4</f>
        <v>40000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282000</v>
      </c>
      <c r="J98" s="18">
        <f t="shared" si="9"/>
        <v>707848</v>
      </c>
      <c r="N98" s="18">
        <f t="shared" si="10"/>
        <v>141569.60000000001</v>
      </c>
      <c r="O98" s="18">
        <f t="shared" si="10"/>
        <v>35392.400000000001</v>
      </c>
      <c r="P98" s="18">
        <f t="shared" si="10"/>
        <v>283139.20000000001</v>
      </c>
      <c r="Q98" s="18">
        <f t="shared" si="10"/>
        <v>141569.60000000001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INDEX(神器与芦花古楼!$K$4:$K$33,MATCH(金币汇总!A99,神器与芦花古楼!$AN$4:$AN$33,1))*4</f>
        <v>40000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282000</v>
      </c>
      <c r="J99" s="18">
        <f t="shared" si="9"/>
        <v>763120</v>
      </c>
      <c r="N99" s="18">
        <f t="shared" si="10"/>
        <v>152624</v>
      </c>
      <c r="O99" s="18">
        <f t="shared" si="10"/>
        <v>38156</v>
      </c>
      <c r="P99" s="18">
        <f t="shared" si="10"/>
        <v>305248</v>
      </c>
      <c r="Q99" s="18">
        <f t="shared" si="10"/>
        <v>152624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INDEX(神器与芦花古楼!$K$4:$K$33,MATCH(金币汇总!A100,神器与芦花古楼!$AN$4:$AN$33,1))*4</f>
        <v>40000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282000</v>
      </c>
      <c r="J100" s="18">
        <f t="shared" si="9"/>
        <v>818392</v>
      </c>
      <c r="N100" s="18">
        <f t="shared" si="10"/>
        <v>163678.40000000002</v>
      </c>
      <c r="O100" s="18">
        <f t="shared" si="10"/>
        <v>40919.600000000006</v>
      </c>
      <c r="P100" s="18">
        <f t="shared" si="10"/>
        <v>327356.80000000005</v>
      </c>
      <c r="Q100" s="18">
        <f t="shared" si="10"/>
        <v>163678.40000000002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INDEX(神器与芦花古楼!$K$4:$K$33,MATCH(金币汇总!A101,神器与芦花古楼!$AN$4:$AN$33,1))*4</f>
        <v>40000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282000</v>
      </c>
      <c r="J101" s="18">
        <f t="shared" si="9"/>
        <v>873664</v>
      </c>
      <c r="N101" s="18">
        <f t="shared" si="10"/>
        <v>174732.80000000002</v>
      </c>
      <c r="O101" s="18">
        <f t="shared" si="10"/>
        <v>43683.200000000004</v>
      </c>
      <c r="P101" s="18">
        <f t="shared" si="10"/>
        <v>349465.60000000003</v>
      </c>
      <c r="Q101" s="18">
        <f t="shared" si="10"/>
        <v>174732.80000000002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INDEX(神器与芦花古楼!$K$4:$K$33,MATCH(金币汇总!A102,神器与芦花古楼!$AN$4:$AN$33,1))*4</f>
        <v>40000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282000</v>
      </c>
      <c r="J102" s="18">
        <f t="shared" si="9"/>
        <v>928936</v>
      </c>
      <c r="N102" s="18">
        <f t="shared" si="10"/>
        <v>185787.2</v>
      </c>
      <c r="O102" s="18">
        <f t="shared" si="10"/>
        <v>46446.8</v>
      </c>
      <c r="P102" s="18">
        <f t="shared" si="10"/>
        <v>371574.4</v>
      </c>
      <c r="Q102" s="18">
        <f t="shared" si="10"/>
        <v>185787.2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INDEX(神器与芦花古楼!$K$4:$K$33,MATCH(金币汇总!A103,神器与芦花古楼!$AN$4:$AN$33,1))*4</f>
        <v>40000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282000</v>
      </c>
      <c r="J103" s="18">
        <f t="shared" si="9"/>
        <v>984208</v>
      </c>
      <c r="N103" s="18">
        <f t="shared" si="10"/>
        <v>196841.60000000001</v>
      </c>
      <c r="O103" s="18">
        <f t="shared" si="10"/>
        <v>49210.400000000001</v>
      </c>
      <c r="P103" s="18">
        <f t="shared" si="10"/>
        <v>393683.20000000001</v>
      </c>
      <c r="Q103" s="18">
        <f t="shared" si="10"/>
        <v>196841.60000000001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INDEX(神器与芦花古楼!$K$4:$K$33,MATCH(金币汇总!A104,神器与芦花古楼!$AN$4:$AN$33,1))*4</f>
        <v>40000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282000</v>
      </c>
      <c r="J104" s="18">
        <f t="shared" si="9"/>
        <v>1039480</v>
      </c>
      <c r="N104" s="18">
        <f t="shared" si="10"/>
        <v>207896</v>
      </c>
      <c r="O104" s="18">
        <f t="shared" si="10"/>
        <v>51974</v>
      </c>
      <c r="P104" s="18">
        <f t="shared" si="10"/>
        <v>415792</v>
      </c>
      <c r="Q104" s="18">
        <f t="shared" si="10"/>
        <v>207896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f>INDEX(神器与芦花古楼!$K$4:$K$33,MATCH(金币汇总!A105,神器与芦花古楼!$AN$4:$AN$33,1))*4</f>
        <v>40000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306000</v>
      </c>
      <c r="J105" s="18">
        <f t="shared" si="9"/>
        <v>1187923</v>
      </c>
      <c r="N105" s="18">
        <f t="shared" si="10"/>
        <v>237584.6</v>
      </c>
      <c r="O105" s="18">
        <f t="shared" si="10"/>
        <v>59396.15</v>
      </c>
      <c r="P105" s="18">
        <f t="shared" si="10"/>
        <v>475169.2</v>
      </c>
      <c r="Q105" s="18">
        <f t="shared" si="10"/>
        <v>237584.6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3" t="s">
        <v>218</v>
      </c>
      <c r="B2" s="53"/>
      <c r="C2" s="53"/>
      <c r="D2" s="53"/>
      <c r="E2" s="53"/>
      <c r="F2" s="53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3"/>
  <sheetViews>
    <sheetView tabSelected="1" topLeftCell="P1" workbookViewId="0">
      <selection activeCell="AE8" sqref="AE8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1" max="21" width="10.5" customWidth="1"/>
    <col min="22" max="22" width="11.625" customWidth="1"/>
    <col min="23" max="23" width="10.375" customWidth="1"/>
    <col min="24" max="24" width="11" customWidth="1"/>
  </cols>
  <sheetData>
    <row r="2" spans="1:29" ht="16.5" x14ac:dyDescent="0.2">
      <c r="A2" s="17" t="s">
        <v>425</v>
      </c>
      <c r="B2" s="18">
        <f>60*24</f>
        <v>1440</v>
      </c>
      <c r="U2" s="14">
        <v>6</v>
      </c>
      <c r="V2" s="14">
        <v>1</v>
      </c>
      <c r="W2" s="14">
        <v>1</v>
      </c>
    </row>
    <row r="3" spans="1:29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416</v>
      </c>
      <c r="F3" s="13" t="s">
        <v>404</v>
      </c>
      <c r="G3" s="13" t="s">
        <v>418</v>
      </c>
      <c r="H3" s="13" t="s">
        <v>432</v>
      </c>
      <c r="I3" s="13" t="s">
        <v>812</v>
      </c>
      <c r="J3" s="13" t="s">
        <v>813</v>
      </c>
      <c r="M3" s="13" t="s">
        <v>405</v>
      </c>
      <c r="N3" s="13" t="s">
        <v>406</v>
      </c>
      <c r="O3" s="13" t="s">
        <v>407</v>
      </c>
      <c r="P3" s="13" t="s">
        <v>408</v>
      </c>
      <c r="Q3" s="13" t="s">
        <v>409</v>
      </c>
      <c r="S3" s="13" t="s">
        <v>442</v>
      </c>
      <c r="T3" s="13" t="s">
        <v>412</v>
      </c>
      <c r="U3" s="13" t="s">
        <v>417</v>
      </c>
      <c r="V3" s="13" t="s">
        <v>413</v>
      </c>
      <c r="W3" s="13" t="s">
        <v>414</v>
      </c>
      <c r="X3" s="13" t="s">
        <v>432</v>
      </c>
    </row>
    <row r="4" spans="1:29" ht="16.5" x14ac:dyDescent="0.2">
      <c r="A4" s="14">
        <v>1</v>
      </c>
      <c r="B4" s="14">
        <v>1</v>
      </c>
      <c r="C4" s="18">
        <f t="shared" ref="C4:C35" si="0">INDEX($O$4:$O$14,MATCH(A4,$M$4:$M$14,1))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INDEX($X$4:$X$13,E4)*D4</f>
        <v>10</v>
      </c>
      <c r="I4" s="18">
        <f>INDEX($U$4:$U$13,E4)*D4*G4*24*60/$U$2</f>
        <v>12.000000000000002</v>
      </c>
      <c r="J4" s="18">
        <f>INDEX($V$4:$V$13,E4)*G4*24*60/$V$2*D4</f>
        <v>72</v>
      </c>
      <c r="M4" s="14">
        <v>1</v>
      </c>
      <c r="N4" s="14">
        <v>0.01</v>
      </c>
      <c r="O4" s="14">
        <v>4.0000000000000001E-3</v>
      </c>
      <c r="P4" s="14">
        <v>0</v>
      </c>
      <c r="Q4" s="14"/>
      <c r="S4" s="14">
        <v>1</v>
      </c>
      <c r="T4" s="18">
        <f>SUMIFS($D$4:$D$103,$E$4:$E$103,"="&amp;S4)</f>
        <v>0.28000000000000003</v>
      </c>
      <c r="U4" s="14">
        <v>5</v>
      </c>
      <c r="V4" s="14">
        <v>5</v>
      </c>
      <c r="W4" s="14">
        <v>5</v>
      </c>
      <c r="X4" s="14">
        <v>1000</v>
      </c>
      <c r="Z4" s="14">
        <f>W4*120</f>
        <v>600</v>
      </c>
      <c r="AA4" s="14">
        <f>W4*4*60</f>
        <v>1200</v>
      </c>
    </row>
    <row r="5" spans="1:29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ref="I5:I68" si="2">INDEX($U$4:$U$13,E5)*D5*G5*24*60/$U$2</f>
        <v>16.8</v>
      </c>
      <c r="J5" s="18">
        <f t="shared" ref="J5:J68" si="3">INDEX($V$4:$V$13,E5)*G5*24*60/$V$2*D5</f>
        <v>100.8</v>
      </c>
      <c r="M5" s="14">
        <v>10</v>
      </c>
      <c r="N5" s="14">
        <f>N4+O4*(M5-M4)</f>
        <v>4.6000000000000006E-2</v>
      </c>
      <c r="O5" s="14">
        <v>6.4999999999999997E-3</v>
      </c>
      <c r="P5" s="18">
        <f>SUMIFS($D$4:$D$103,$A$4:$A$103,"&lt;="&amp;M5)</f>
        <v>0.28000000000000003</v>
      </c>
      <c r="Q5" s="14">
        <f>P5-P4</f>
        <v>0.28000000000000003</v>
      </c>
      <c r="S5" s="14">
        <v>2</v>
      </c>
      <c r="T5" s="18">
        <f t="shared" ref="T5:T13" si="4">SUMIFS($D$4:$D$103,$E$4:$E$103,"="&amp;S5)</f>
        <v>0.81750000000000034</v>
      </c>
      <c r="U5" s="14">
        <v>5</v>
      </c>
      <c r="V5" s="14">
        <v>6</v>
      </c>
      <c r="W5" s="14">
        <v>6</v>
      </c>
      <c r="X5" s="14">
        <v>1000</v>
      </c>
      <c r="Z5" s="14">
        <f t="shared" ref="Z5:Z13" si="5">W5*120</f>
        <v>720</v>
      </c>
      <c r="AA5" s="14">
        <f t="shared" ref="AA5:AA13" si="6">W5*4*60</f>
        <v>1440</v>
      </c>
      <c r="AC5">
        <f>W5*60</f>
        <v>360</v>
      </c>
    </row>
    <row r="6" spans="1:29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M6" s="14">
        <v>20</v>
      </c>
      <c r="N6" s="14">
        <f t="shared" ref="N6:N14" si="8">N5+O5*(M6-M5)</f>
        <v>0.11100000000000002</v>
      </c>
      <c r="O6" s="14">
        <v>1.4409999999999999E-2</v>
      </c>
      <c r="P6" s="18">
        <f t="shared" ref="P6:P14" si="9">SUMIFS($D$4:$D$103,$A$4:$A$103,"&lt;="&amp;M6)</f>
        <v>1.0975000000000004</v>
      </c>
      <c r="Q6" s="14">
        <f t="shared" ref="Q6:Q14" si="10">P6-P5</f>
        <v>0.81750000000000034</v>
      </c>
      <c r="S6" s="14">
        <v>3</v>
      </c>
      <c r="T6" s="18">
        <f t="shared" si="4"/>
        <v>1.9025500000000006</v>
      </c>
      <c r="U6" s="14">
        <v>5</v>
      </c>
      <c r="V6" s="14">
        <v>7</v>
      </c>
      <c r="W6" s="14">
        <v>8</v>
      </c>
      <c r="X6" s="14">
        <v>1000</v>
      </c>
      <c r="Z6" s="14">
        <f t="shared" si="5"/>
        <v>960</v>
      </c>
      <c r="AA6" s="14">
        <f t="shared" si="6"/>
        <v>1920</v>
      </c>
    </row>
    <row r="7" spans="1:29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M7" s="14">
        <v>30</v>
      </c>
      <c r="N7" s="14">
        <f t="shared" si="8"/>
        <v>0.25509999999999999</v>
      </c>
      <c r="O7" s="14">
        <v>8.2000000000000007E-3</v>
      </c>
      <c r="P7" s="18">
        <f t="shared" si="9"/>
        <v>3.0000500000000017</v>
      </c>
      <c r="Q7" s="14">
        <f t="shared" si="10"/>
        <v>1.9025500000000013</v>
      </c>
      <c r="S7" s="14">
        <v>4</v>
      </c>
      <c r="T7" s="18">
        <f t="shared" si="4"/>
        <v>3.0020000000000002</v>
      </c>
      <c r="U7" s="14">
        <v>5</v>
      </c>
      <c r="V7" s="14">
        <v>9</v>
      </c>
      <c r="W7" s="14">
        <v>9</v>
      </c>
      <c r="X7" s="14">
        <v>1000</v>
      </c>
      <c r="Z7" s="14">
        <f t="shared" si="5"/>
        <v>1080</v>
      </c>
      <c r="AA7" s="14">
        <f t="shared" si="6"/>
        <v>2160</v>
      </c>
      <c r="AC7">
        <f>W7*60</f>
        <v>540</v>
      </c>
    </row>
    <row r="8" spans="1:29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M8" s="14">
        <v>40</v>
      </c>
      <c r="N8" s="14">
        <f t="shared" si="8"/>
        <v>0.33710000000000001</v>
      </c>
      <c r="O8" s="14">
        <v>1.15E-2</v>
      </c>
      <c r="P8" s="18">
        <f t="shared" si="9"/>
        <v>6.0020500000000023</v>
      </c>
      <c r="Q8" s="14">
        <f t="shared" si="10"/>
        <v>3.0020000000000007</v>
      </c>
      <c r="S8" s="14">
        <v>5</v>
      </c>
      <c r="T8" s="18">
        <f t="shared" si="4"/>
        <v>4.0034999999999998</v>
      </c>
      <c r="U8" s="14">
        <v>5</v>
      </c>
      <c r="V8" s="14">
        <v>11</v>
      </c>
      <c r="W8" s="14">
        <v>10</v>
      </c>
      <c r="X8" s="14">
        <v>1000</v>
      </c>
      <c r="Z8" s="14">
        <f t="shared" si="5"/>
        <v>1200</v>
      </c>
      <c r="AA8" s="14">
        <f t="shared" si="6"/>
        <v>2400</v>
      </c>
    </row>
    <row r="9" spans="1:29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M9" s="14">
        <v>50</v>
      </c>
      <c r="N9" s="14">
        <f t="shared" si="8"/>
        <v>0.4521</v>
      </c>
      <c r="O9" s="14">
        <v>0.01</v>
      </c>
      <c r="P9" s="18">
        <f t="shared" si="9"/>
        <v>10.005550000000001</v>
      </c>
      <c r="Q9" s="14">
        <f t="shared" si="10"/>
        <v>4.0034999999999989</v>
      </c>
      <c r="S9" s="14">
        <v>6</v>
      </c>
      <c r="T9" s="18">
        <f t="shared" si="4"/>
        <v>5.0710000000000015</v>
      </c>
      <c r="U9" s="14">
        <v>5</v>
      </c>
      <c r="V9" s="14">
        <v>13</v>
      </c>
      <c r="W9" s="14">
        <v>12</v>
      </c>
      <c r="X9" s="14">
        <v>1000</v>
      </c>
      <c r="Z9" s="14">
        <f t="shared" si="5"/>
        <v>1440</v>
      </c>
      <c r="AA9" s="14">
        <f t="shared" si="6"/>
        <v>2880</v>
      </c>
      <c r="AC9">
        <f>W9*60</f>
        <v>720</v>
      </c>
    </row>
    <row r="10" spans="1:29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M10" s="14">
        <v>60</v>
      </c>
      <c r="N10" s="14">
        <f t="shared" si="8"/>
        <v>0.55210000000000004</v>
      </c>
      <c r="O10" s="14">
        <v>1.4999999999999999E-2</v>
      </c>
      <c r="P10" s="18">
        <f t="shared" si="9"/>
        <v>15.076550000000001</v>
      </c>
      <c r="Q10" s="14">
        <f t="shared" si="10"/>
        <v>5.0709999999999997</v>
      </c>
      <c r="S10" s="14">
        <v>7</v>
      </c>
      <c r="T10" s="18">
        <f t="shared" si="4"/>
        <v>6.3460000000000019</v>
      </c>
      <c r="U10" s="14">
        <v>5</v>
      </c>
      <c r="V10" s="14">
        <v>15</v>
      </c>
      <c r="W10" s="14">
        <v>14</v>
      </c>
      <c r="X10" s="14">
        <v>1000</v>
      </c>
      <c r="Z10" s="14">
        <f t="shared" si="5"/>
        <v>1680</v>
      </c>
      <c r="AA10" s="14">
        <f t="shared" si="6"/>
        <v>3360</v>
      </c>
    </row>
    <row r="11" spans="1:29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M11" s="14">
        <v>70</v>
      </c>
      <c r="N11" s="14">
        <f t="shared" si="8"/>
        <v>0.70210000000000006</v>
      </c>
      <c r="O11" s="14">
        <v>2.8299999999999999E-2</v>
      </c>
      <c r="P11" s="18">
        <f t="shared" si="9"/>
        <v>21.422550000000005</v>
      </c>
      <c r="Q11" s="14">
        <f t="shared" si="10"/>
        <v>6.3460000000000036</v>
      </c>
      <c r="S11" s="14">
        <v>8</v>
      </c>
      <c r="T11" s="18">
        <f t="shared" si="4"/>
        <v>8.5775000000000023</v>
      </c>
      <c r="U11" s="14">
        <v>5</v>
      </c>
      <c r="V11" s="14">
        <v>17</v>
      </c>
      <c r="W11" s="14">
        <v>16</v>
      </c>
      <c r="X11" s="14">
        <v>1000</v>
      </c>
      <c r="Z11" s="14">
        <f t="shared" si="5"/>
        <v>1920</v>
      </c>
      <c r="AA11" s="14">
        <f t="shared" si="6"/>
        <v>3840</v>
      </c>
      <c r="AC11">
        <f>W11*60</f>
        <v>960</v>
      </c>
    </row>
    <row r="12" spans="1:29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M12" s="14">
        <v>80</v>
      </c>
      <c r="N12" s="14">
        <f t="shared" si="8"/>
        <v>0.98510000000000009</v>
      </c>
      <c r="O12" s="14">
        <v>9.3700000000000006E-2</v>
      </c>
      <c r="P12" s="18">
        <f t="shared" si="9"/>
        <v>30.000050000000005</v>
      </c>
      <c r="Q12" s="14">
        <f t="shared" si="10"/>
        <v>8.5775000000000006</v>
      </c>
      <c r="S12" s="14">
        <v>9</v>
      </c>
      <c r="T12" s="18">
        <f t="shared" si="4"/>
        <v>15.004500000000007</v>
      </c>
      <c r="U12" s="14">
        <v>5</v>
      </c>
      <c r="V12" s="14">
        <v>19</v>
      </c>
      <c r="W12" s="14">
        <v>18</v>
      </c>
      <c r="X12" s="14">
        <v>1000</v>
      </c>
      <c r="Z12" s="14">
        <f t="shared" si="5"/>
        <v>2160</v>
      </c>
      <c r="AA12" s="14">
        <f t="shared" si="6"/>
        <v>4320</v>
      </c>
    </row>
    <row r="13" spans="1:29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M13" s="14">
        <v>90</v>
      </c>
      <c r="N13" s="14">
        <f t="shared" si="8"/>
        <v>1.9221000000000001</v>
      </c>
      <c r="O13" s="14">
        <v>0.19600000000000001</v>
      </c>
      <c r="P13" s="18">
        <f t="shared" si="9"/>
        <v>45.004550000000016</v>
      </c>
      <c r="Q13" s="14">
        <f t="shared" si="10"/>
        <v>15.004500000000011</v>
      </c>
      <c r="S13" s="14">
        <v>10</v>
      </c>
      <c r="T13" s="18">
        <f t="shared" si="4"/>
        <v>30.001000000000019</v>
      </c>
      <c r="U13" s="14">
        <v>5</v>
      </c>
      <c r="V13" s="14">
        <v>22</v>
      </c>
      <c r="W13" s="14">
        <v>20</v>
      </c>
      <c r="X13" s="14">
        <v>1000</v>
      </c>
      <c r="Z13" s="14">
        <f t="shared" si="5"/>
        <v>2400</v>
      </c>
      <c r="AA13" s="14">
        <f t="shared" si="6"/>
        <v>4800</v>
      </c>
      <c r="AC13">
        <f>W13*60</f>
        <v>1200</v>
      </c>
    </row>
    <row r="14" spans="1:29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M14" s="14">
        <v>100</v>
      </c>
      <c r="N14" s="14">
        <f t="shared" si="8"/>
        <v>3.8821000000000003</v>
      </c>
      <c r="O14" s="14">
        <v>0.2</v>
      </c>
      <c r="P14" s="18">
        <f t="shared" si="9"/>
        <v>75.005550000000028</v>
      </c>
      <c r="Q14" s="14">
        <f t="shared" si="10"/>
        <v>30.001000000000012</v>
      </c>
      <c r="S14" s="21"/>
      <c r="T14" s="21"/>
      <c r="U14" s="21"/>
      <c r="V14" s="21"/>
      <c r="W14" s="21"/>
    </row>
    <row r="15" spans="1:29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V15" s="21"/>
      <c r="W15" s="21"/>
    </row>
    <row r="16" spans="1:29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V16" s="21"/>
      <c r="W16" s="21"/>
    </row>
    <row r="17" spans="1:23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V17" s="21"/>
      <c r="W17" s="21"/>
    </row>
    <row r="18" spans="1:23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V18" s="21"/>
      <c r="W18" s="21"/>
    </row>
    <row r="19" spans="1:23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V19" s="21"/>
      <c r="W19" s="21"/>
    </row>
    <row r="20" spans="1:23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3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3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3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3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3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3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3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3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3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3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3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3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INDEX($O$4:$O$14,MATCH(A36,$M$4:$M$14,1))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INDEX($X$4:$X$13,E36)*D36</f>
        <v>279.70000000000005</v>
      </c>
      <c r="I36" s="18">
        <f t="shared" si="2"/>
        <v>671.28000000000009</v>
      </c>
      <c r="J36" s="18">
        <f t="shared" si="3"/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2"/>
        <v>690.96</v>
      </c>
      <c r="J37" s="18">
        <f t="shared" si="3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2"/>
        <v>710.64</v>
      </c>
      <c r="J38" s="18">
        <f t="shared" si="3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2"/>
        <v>730.32000000000016</v>
      </c>
      <c r="J39" s="18">
        <f t="shared" si="3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2"/>
        <v>750</v>
      </c>
      <c r="J40" s="18">
        <f t="shared" si="3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2"/>
        <v>769.67999999999984</v>
      </c>
      <c r="J41" s="18">
        <f t="shared" si="3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2"/>
        <v>789.36</v>
      </c>
      <c r="J42" s="18">
        <f t="shared" si="3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2"/>
        <v>809.04</v>
      </c>
      <c r="J43" s="18">
        <f t="shared" si="3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2"/>
        <v>836.63999999999987</v>
      </c>
      <c r="J44" s="18">
        <f t="shared" si="3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2"/>
        <v>864.24000000000012</v>
      </c>
      <c r="J45" s="18">
        <f t="shared" si="3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2"/>
        <v>891.84</v>
      </c>
      <c r="J46" s="18">
        <f t="shared" si="3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2"/>
        <v>919.44</v>
      </c>
      <c r="J47" s="18">
        <f t="shared" si="3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2"/>
        <v>947.04000000000008</v>
      </c>
      <c r="J48" s="18">
        <f t="shared" si="3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2"/>
        <v>974.64</v>
      </c>
      <c r="J49" s="18">
        <f t="shared" si="3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2"/>
        <v>1002.2400000000001</v>
      </c>
      <c r="J50" s="18">
        <f t="shared" si="3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2"/>
        <v>1029.8400000000001</v>
      </c>
      <c r="J51" s="18">
        <f t="shared" si="3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2"/>
        <v>1057.4400000000003</v>
      </c>
      <c r="J52" s="18">
        <f t="shared" si="3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2"/>
        <v>1627.5600000000004</v>
      </c>
      <c r="J53" s="18">
        <f t="shared" si="3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2"/>
        <v>1663.5600000000002</v>
      </c>
      <c r="J54" s="18">
        <f t="shared" si="3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2"/>
        <v>1699.5600000000004</v>
      </c>
      <c r="J55" s="18">
        <f t="shared" si="3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2"/>
        <v>1735.5600000000002</v>
      </c>
      <c r="J56" s="18">
        <f t="shared" si="3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2"/>
        <v>1771.5600000000004</v>
      </c>
      <c r="J57" s="18">
        <f t="shared" si="3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2"/>
        <v>1807.5600000000004</v>
      </c>
      <c r="J58" s="18">
        <f t="shared" si="3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2"/>
        <v>1843.5600000000004</v>
      </c>
      <c r="J59" s="18">
        <f t="shared" si="3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2"/>
        <v>1879.5600000000004</v>
      </c>
      <c r="J60" s="18">
        <f t="shared" si="3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2"/>
        <v>1915.5600000000004</v>
      </c>
      <c r="J61" s="18">
        <f t="shared" si="3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2"/>
        <v>1951.5600000000006</v>
      </c>
      <c r="J62" s="18">
        <f t="shared" si="3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2"/>
        <v>2650.0800000000008</v>
      </c>
      <c r="J63" s="18">
        <f t="shared" si="3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2"/>
        <v>2722.0800000000008</v>
      </c>
      <c r="J64" s="18">
        <f t="shared" si="3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2"/>
        <v>2794.0800000000004</v>
      </c>
      <c r="J65" s="18">
        <f t="shared" si="3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2"/>
        <v>2866.0800000000004</v>
      </c>
      <c r="J66" s="18">
        <f t="shared" si="3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2"/>
        <v>2938.0800000000013</v>
      </c>
      <c r="J67" s="18">
        <f t="shared" si="3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3">INDEX($O$4:$O$14,MATCH(A68,$M$4:$M$14,1))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4">INDEX($X$4:$X$13,E68)*D68</f>
        <v>627.10000000000025</v>
      </c>
      <c r="I68" s="18">
        <f t="shared" si="2"/>
        <v>3010.0800000000017</v>
      </c>
      <c r="J68" s="18">
        <f t="shared" si="3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3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4"/>
        <v>642.10000000000025</v>
      </c>
      <c r="I69" s="18">
        <f t="shared" ref="I69:I103" si="15">INDEX($U$4:$U$13,E69)*D69*G69*24*60/$U$2</f>
        <v>3082.0800000000004</v>
      </c>
      <c r="J69" s="18">
        <f t="shared" ref="J69:J103" si="16">INDEX($V$4:$V$13,E69)*G69*24*60/$V$2*D69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3"/>
        <v>1.4999999999999999E-2</v>
      </c>
      <c r="D70" s="18">
        <f t="shared" ref="D70:D103" si="17">D69+C69</f>
        <v>0.65710000000000024</v>
      </c>
      <c r="E70" s="14">
        <v>7</v>
      </c>
      <c r="F70" s="14">
        <v>6</v>
      </c>
      <c r="G70" s="14">
        <v>4</v>
      </c>
      <c r="H70" s="18">
        <f t="shared" si="14"/>
        <v>657.10000000000025</v>
      </c>
      <c r="I70" s="18">
        <f t="shared" si="15"/>
        <v>3154.0800000000013</v>
      </c>
      <c r="J70" s="18">
        <f t="shared" si="16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3"/>
        <v>1.4999999999999999E-2</v>
      </c>
      <c r="D71" s="18">
        <f t="shared" si="17"/>
        <v>0.67210000000000025</v>
      </c>
      <c r="E71" s="14">
        <v>7</v>
      </c>
      <c r="F71" s="14">
        <v>6</v>
      </c>
      <c r="G71" s="14">
        <v>4</v>
      </c>
      <c r="H71" s="18">
        <f t="shared" si="14"/>
        <v>672.10000000000025</v>
      </c>
      <c r="I71" s="18">
        <f t="shared" si="15"/>
        <v>3226.0800000000013</v>
      </c>
      <c r="J71" s="18">
        <f t="shared" si="16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3"/>
        <v>1.4999999999999999E-2</v>
      </c>
      <c r="D72" s="18">
        <f t="shared" si="17"/>
        <v>0.68710000000000027</v>
      </c>
      <c r="E72" s="14">
        <v>7</v>
      </c>
      <c r="F72" s="14">
        <v>6</v>
      </c>
      <c r="G72" s="14">
        <v>4</v>
      </c>
      <c r="H72" s="18">
        <f t="shared" si="14"/>
        <v>687.10000000000025</v>
      </c>
      <c r="I72" s="18">
        <f t="shared" si="15"/>
        <v>3298.0800000000013</v>
      </c>
      <c r="J72" s="18">
        <f t="shared" si="16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3"/>
        <v>2.8299999999999999E-2</v>
      </c>
      <c r="D73" s="18">
        <f t="shared" si="17"/>
        <v>0.70210000000000028</v>
      </c>
      <c r="E73" s="14">
        <v>7</v>
      </c>
      <c r="F73" s="14">
        <v>6</v>
      </c>
      <c r="G73" s="14">
        <v>5</v>
      </c>
      <c r="H73" s="18">
        <f t="shared" si="14"/>
        <v>702.10000000000025</v>
      </c>
      <c r="I73" s="18">
        <f t="shared" si="15"/>
        <v>4212.6000000000013</v>
      </c>
      <c r="J73" s="18">
        <f t="shared" si="16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3"/>
        <v>2.8299999999999999E-2</v>
      </c>
      <c r="D74" s="18">
        <f t="shared" si="17"/>
        <v>0.73040000000000027</v>
      </c>
      <c r="E74" s="14">
        <v>8</v>
      </c>
      <c r="F74" s="14">
        <v>7</v>
      </c>
      <c r="G74" s="14">
        <v>5</v>
      </c>
      <c r="H74" s="18">
        <f t="shared" si="14"/>
        <v>730.40000000000032</v>
      </c>
      <c r="I74" s="18">
        <f t="shared" si="15"/>
        <v>4382.4000000000024</v>
      </c>
      <c r="J74" s="18">
        <f t="shared" si="16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3"/>
        <v>2.8299999999999999E-2</v>
      </c>
      <c r="D75" s="18">
        <f t="shared" si="17"/>
        <v>0.75870000000000026</v>
      </c>
      <c r="E75" s="14">
        <v>8</v>
      </c>
      <c r="F75" s="14">
        <v>7</v>
      </c>
      <c r="G75" s="14">
        <v>5</v>
      </c>
      <c r="H75" s="18">
        <f t="shared" si="14"/>
        <v>758.70000000000027</v>
      </c>
      <c r="I75" s="18">
        <f t="shared" si="15"/>
        <v>4552.2000000000016</v>
      </c>
      <c r="J75" s="18">
        <f t="shared" si="16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3"/>
        <v>2.8299999999999999E-2</v>
      </c>
      <c r="D76" s="18">
        <f t="shared" si="17"/>
        <v>0.78700000000000025</v>
      </c>
      <c r="E76" s="14">
        <v>8</v>
      </c>
      <c r="F76" s="14">
        <v>7</v>
      </c>
      <c r="G76" s="14">
        <v>5</v>
      </c>
      <c r="H76" s="18">
        <f t="shared" si="14"/>
        <v>787.00000000000023</v>
      </c>
      <c r="I76" s="18">
        <f t="shared" si="15"/>
        <v>4722.0000000000018</v>
      </c>
      <c r="J76" s="18">
        <f t="shared" si="16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3"/>
        <v>2.8299999999999999E-2</v>
      </c>
      <c r="D77" s="18">
        <f t="shared" si="17"/>
        <v>0.81530000000000025</v>
      </c>
      <c r="E77" s="14">
        <v>8</v>
      </c>
      <c r="F77" s="14">
        <v>7</v>
      </c>
      <c r="G77" s="14">
        <v>5</v>
      </c>
      <c r="H77" s="18">
        <f t="shared" si="14"/>
        <v>815.3000000000003</v>
      </c>
      <c r="I77" s="18">
        <f t="shared" si="15"/>
        <v>4891.800000000002</v>
      </c>
      <c r="J77" s="18">
        <f t="shared" si="16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3"/>
        <v>2.8299999999999999E-2</v>
      </c>
      <c r="D78" s="18">
        <f t="shared" si="17"/>
        <v>0.84360000000000024</v>
      </c>
      <c r="E78" s="14">
        <v>8</v>
      </c>
      <c r="F78" s="14">
        <v>7</v>
      </c>
      <c r="G78" s="14">
        <v>5</v>
      </c>
      <c r="H78" s="18">
        <f t="shared" si="14"/>
        <v>843.60000000000025</v>
      </c>
      <c r="I78" s="18">
        <f t="shared" si="15"/>
        <v>5061.6000000000013</v>
      </c>
      <c r="J78" s="18">
        <f t="shared" si="16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3"/>
        <v>2.8299999999999999E-2</v>
      </c>
      <c r="D79" s="18">
        <f t="shared" si="17"/>
        <v>0.87190000000000023</v>
      </c>
      <c r="E79" s="14">
        <v>8</v>
      </c>
      <c r="F79" s="14">
        <v>7</v>
      </c>
      <c r="G79" s="14">
        <v>5</v>
      </c>
      <c r="H79" s="18">
        <f t="shared" si="14"/>
        <v>871.9000000000002</v>
      </c>
      <c r="I79" s="18">
        <f t="shared" si="15"/>
        <v>5231.4000000000005</v>
      </c>
      <c r="J79" s="18">
        <f t="shared" si="16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3"/>
        <v>2.8299999999999999E-2</v>
      </c>
      <c r="D80" s="18">
        <f t="shared" si="17"/>
        <v>0.90020000000000022</v>
      </c>
      <c r="E80" s="14">
        <v>8</v>
      </c>
      <c r="F80" s="14">
        <v>7</v>
      </c>
      <c r="G80" s="14">
        <v>5</v>
      </c>
      <c r="H80" s="18">
        <f t="shared" si="14"/>
        <v>900.20000000000027</v>
      </c>
      <c r="I80" s="18">
        <f t="shared" si="15"/>
        <v>5401.2000000000016</v>
      </c>
      <c r="J80" s="18">
        <f t="shared" si="16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3"/>
        <v>2.8299999999999999E-2</v>
      </c>
      <c r="D81" s="18">
        <f t="shared" si="17"/>
        <v>0.92850000000000021</v>
      </c>
      <c r="E81" s="14">
        <v>8</v>
      </c>
      <c r="F81" s="14">
        <v>7</v>
      </c>
      <c r="G81" s="14">
        <v>5</v>
      </c>
      <c r="H81" s="18">
        <f t="shared" si="14"/>
        <v>928.50000000000023</v>
      </c>
      <c r="I81" s="18">
        <f t="shared" si="15"/>
        <v>5571.0000000000009</v>
      </c>
      <c r="J81" s="18">
        <f t="shared" si="16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3"/>
        <v>2.8299999999999999E-2</v>
      </c>
      <c r="D82" s="18">
        <f t="shared" si="17"/>
        <v>0.95680000000000021</v>
      </c>
      <c r="E82" s="14">
        <v>8</v>
      </c>
      <c r="F82" s="14">
        <v>7</v>
      </c>
      <c r="G82" s="14">
        <v>5</v>
      </c>
      <c r="H82" s="18">
        <f t="shared" si="14"/>
        <v>956.80000000000018</v>
      </c>
      <c r="I82" s="18">
        <f t="shared" si="15"/>
        <v>5740.8</v>
      </c>
      <c r="J82" s="18">
        <f t="shared" si="16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3"/>
        <v>9.3700000000000006E-2</v>
      </c>
      <c r="D83" s="18">
        <f t="shared" si="17"/>
        <v>0.9851000000000002</v>
      </c>
      <c r="E83" s="14">
        <v>8</v>
      </c>
      <c r="F83" s="14">
        <v>7</v>
      </c>
      <c r="G83" s="14">
        <v>5</v>
      </c>
      <c r="H83" s="18">
        <f t="shared" si="14"/>
        <v>985.10000000000025</v>
      </c>
      <c r="I83" s="18">
        <f t="shared" si="15"/>
        <v>5910.6000000000022</v>
      </c>
      <c r="J83" s="18">
        <f t="shared" si="16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3"/>
        <v>9.3700000000000006E-2</v>
      </c>
      <c r="D84" s="18">
        <f t="shared" si="17"/>
        <v>1.0788000000000002</v>
      </c>
      <c r="E84" s="14">
        <v>9</v>
      </c>
      <c r="F84" s="14">
        <v>8</v>
      </c>
      <c r="G84" s="14">
        <v>5</v>
      </c>
      <c r="H84" s="18">
        <f t="shared" si="14"/>
        <v>1078.8000000000002</v>
      </c>
      <c r="I84" s="18">
        <f t="shared" si="15"/>
        <v>6472.800000000002</v>
      </c>
      <c r="J84" s="18">
        <f t="shared" si="16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3"/>
        <v>9.3700000000000006E-2</v>
      </c>
      <c r="D85" s="18">
        <f t="shared" si="17"/>
        <v>1.1725000000000003</v>
      </c>
      <c r="E85" s="14">
        <v>9</v>
      </c>
      <c r="F85" s="14">
        <v>8</v>
      </c>
      <c r="G85" s="14">
        <v>5</v>
      </c>
      <c r="H85" s="18">
        <f t="shared" si="14"/>
        <v>1172.5000000000002</v>
      </c>
      <c r="I85" s="18">
        <f t="shared" si="15"/>
        <v>7035.0000000000027</v>
      </c>
      <c r="J85" s="18">
        <f t="shared" si="16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3"/>
        <v>9.3700000000000006E-2</v>
      </c>
      <c r="D86" s="18">
        <f t="shared" si="17"/>
        <v>1.2662000000000004</v>
      </c>
      <c r="E86" s="14">
        <v>9</v>
      </c>
      <c r="F86" s="14">
        <v>8</v>
      </c>
      <c r="G86" s="14">
        <v>5</v>
      </c>
      <c r="H86" s="18">
        <f t="shared" si="14"/>
        <v>1266.2000000000005</v>
      </c>
      <c r="I86" s="18">
        <f t="shared" si="15"/>
        <v>7597.2000000000016</v>
      </c>
      <c r="J86" s="18">
        <f t="shared" si="16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3"/>
        <v>9.3700000000000006E-2</v>
      </c>
      <c r="D87" s="18">
        <f t="shared" si="17"/>
        <v>1.3599000000000006</v>
      </c>
      <c r="E87" s="14">
        <v>9</v>
      </c>
      <c r="F87" s="14">
        <v>8</v>
      </c>
      <c r="G87" s="14">
        <v>5</v>
      </c>
      <c r="H87" s="18">
        <f t="shared" si="14"/>
        <v>1359.9000000000005</v>
      </c>
      <c r="I87" s="18">
        <f t="shared" si="15"/>
        <v>8159.4000000000042</v>
      </c>
      <c r="J87" s="18">
        <f t="shared" si="16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3"/>
        <v>9.3700000000000006E-2</v>
      </c>
      <c r="D88" s="18">
        <f t="shared" si="17"/>
        <v>1.4536000000000007</v>
      </c>
      <c r="E88" s="14">
        <v>9</v>
      </c>
      <c r="F88" s="14">
        <v>8</v>
      </c>
      <c r="G88" s="14">
        <v>5</v>
      </c>
      <c r="H88" s="18">
        <f t="shared" si="14"/>
        <v>1453.6000000000006</v>
      </c>
      <c r="I88" s="18">
        <f t="shared" si="15"/>
        <v>8721.600000000004</v>
      </c>
      <c r="J88" s="18">
        <f t="shared" si="16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3"/>
        <v>9.3700000000000006E-2</v>
      </c>
      <c r="D89" s="18">
        <f t="shared" si="17"/>
        <v>1.5473000000000008</v>
      </c>
      <c r="E89" s="14">
        <v>9</v>
      </c>
      <c r="F89" s="14">
        <v>8</v>
      </c>
      <c r="G89" s="14">
        <v>5</v>
      </c>
      <c r="H89" s="18">
        <f t="shared" si="14"/>
        <v>1547.3000000000009</v>
      </c>
      <c r="I89" s="18">
        <f t="shared" si="15"/>
        <v>9283.8000000000047</v>
      </c>
      <c r="J89" s="18">
        <f t="shared" si="16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3"/>
        <v>9.3700000000000006E-2</v>
      </c>
      <c r="D90" s="18">
        <f t="shared" si="17"/>
        <v>1.6410000000000009</v>
      </c>
      <c r="E90" s="14">
        <v>9</v>
      </c>
      <c r="F90" s="14">
        <v>8</v>
      </c>
      <c r="G90" s="14">
        <v>5</v>
      </c>
      <c r="H90" s="18">
        <f t="shared" si="14"/>
        <v>1641.0000000000009</v>
      </c>
      <c r="I90" s="18">
        <f t="shared" si="15"/>
        <v>9846.0000000000055</v>
      </c>
      <c r="J90" s="18">
        <f t="shared" si="16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3"/>
        <v>9.3700000000000006E-2</v>
      </c>
      <c r="D91" s="18">
        <f t="shared" si="17"/>
        <v>1.734700000000001</v>
      </c>
      <c r="E91" s="14">
        <v>9</v>
      </c>
      <c r="F91" s="14">
        <v>8</v>
      </c>
      <c r="G91" s="14">
        <v>5</v>
      </c>
      <c r="H91" s="18">
        <f t="shared" si="14"/>
        <v>1734.700000000001</v>
      </c>
      <c r="I91" s="18">
        <f t="shared" si="15"/>
        <v>10408.200000000006</v>
      </c>
      <c r="J91" s="18">
        <f t="shared" si="16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3"/>
        <v>9.3700000000000006E-2</v>
      </c>
      <c r="D92" s="18">
        <f t="shared" si="17"/>
        <v>1.8284000000000011</v>
      </c>
      <c r="E92" s="14">
        <v>9</v>
      </c>
      <c r="F92" s="14">
        <v>8</v>
      </c>
      <c r="G92" s="14">
        <v>5</v>
      </c>
      <c r="H92" s="18">
        <f t="shared" si="14"/>
        <v>1828.4000000000012</v>
      </c>
      <c r="I92" s="18">
        <f t="shared" si="15"/>
        <v>10970.400000000009</v>
      </c>
      <c r="J92" s="18">
        <f t="shared" si="16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3"/>
        <v>0.19600000000000001</v>
      </c>
      <c r="D93" s="18">
        <f t="shared" si="17"/>
        <v>1.9221000000000013</v>
      </c>
      <c r="E93" s="14">
        <v>9</v>
      </c>
      <c r="F93" s="14">
        <v>8</v>
      </c>
      <c r="G93" s="14">
        <v>5</v>
      </c>
      <c r="H93" s="18">
        <f t="shared" si="14"/>
        <v>1922.1000000000013</v>
      </c>
      <c r="I93" s="18">
        <f t="shared" si="15"/>
        <v>11532.600000000006</v>
      </c>
      <c r="J93" s="18">
        <f t="shared" si="16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3"/>
        <v>0.19600000000000001</v>
      </c>
      <c r="D94" s="18">
        <f t="shared" si="17"/>
        <v>2.1181000000000014</v>
      </c>
      <c r="E94" s="14">
        <v>10</v>
      </c>
      <c r="F94" s="14">
        <v>9</v>
      </c>
      <c r="G94" s="14">
        <v>5</v>
      </c>
      <c r="H94" s="18">
        <f t="shared" si="14"/>
        <v>2118.1000000000013</v>
      </c>
      <c r="I94" s="18">
        <f t="shared" si="15"/>
        <v>12708.600000000008</v>
      </c>
      <c r="J94" s="18">
        <f t="shared" si="16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3"/>
        <v>0.19600000000000001</v>
      </c>
      <c r="D95" s="18">
        <f t="shared" si="17"/>
        <v>2.3141000000000016</v>
      </c>
      <c r="E95" s="14">
        <v>10</v>
      </c>
      <c r="F95" s="14">
        <v>9</v>
      </c>
      <c r="G95" s="14">
        <v>5</v>
      </c>
      <c r="H95" s="18">
        <f t="shared" si="14"/>
        <v>2314.1000000000017</v>
      </c>
      <c r="I95" s="18">
        <f t="shared" si="15"/>
        <v>13884.600000000011</v>
      </c>
      <c r="J95" s="18">
        <f t="shared" si="16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3"/>
        <v>0.19600000000000001</v>
      </c>
      <c r="D96" s="18">
        <f t="shared" si="17"/>
        <v>2.5101000000000018</v>
      </c>
      <c r="E96" s="14">
        <v>10</v>
      </c>
      <c r="F96" s="14">
        <v>9</v>
      </c>
      <c r="G96" s="14">
        <v>5</v>
      </c>
      <c r="H96" s="18">
        <f t="shared" si="14"/>
        <v>2510.1000000000017</v>
      </c>
      <c r="I96" s="18">
        <f t="shared" si="15"/>
        <v>15060.600000000008</v>
      </c>
      <c r="J96" s="18">
        <f t="shared" si="16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3"/>
        <v>0.19600000000000001</v>
      </c>
      <c r="D97" s="18">
        <f t="shared" si="17"/>
        <v>2.7061000000000019</v>
      </c>
      <c r="E97" s="14">
        <v>10</v>
      </c>
      <c r="F97" s="14">
        <v>9</v>
      </c>
      <c r="G97" s="14">
        <v>5</v>
      </c>
      <c r="H97" s="18">
        <f t="shared" si="14"/>
        <v>2706.1000000000017</v>
      </c>
      <c r="I97" s="18">
        <f t="shared" si="15"/>
        <v>16236.600000000015</v>
      </c>
      <c r="J97" s="18">
        <f t="shared" si="16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3"/>
        <v>0.19600000000000001</v>
      </c>
      <c r="D98" s="18">
        <f t="shared" si="17"/>
        <v>2.9021000000000021</v>
      </c>
      <c r="E98" s="14">
        <v>10</v>
      </c>
      <c r="F98" s="14">
        <v>9</v>
      </c>
      <c r="G98" s="14">
        <v>5</v>
      </c>
      <c r="H98" s="18">
        <f t="shared" si="14"/>
        <v>2902.1000000000022</v>
      </c>
      <c r="I98" s="18">
        <f t="shared" si="15"/>
        <v>17412.600000000009</v>
      </c>
      <c r="J98" s="18">
        <f t="shared" si="16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3"/>
        <v>0.19600000000000001</v>
      </c>
      <c r="D99" s="18">
        <f t="shared" si="17"/>
        <v>3.0981000000000023</v>
      </c>
      <c r="E99" s="14">
        <v>10</v>
      </c>
      <c r="F99" s="14">
        <v>9</v>
      </c>
      <c r="G99" s="14">
        <v>5</v>
      </c>
      <c r="H99" s="18">
        <f t="shared" si="14"/>
        <v>3098.1000000000022</v>
      </c>
      <c r="I99" s="18">
        <f t="shared" si="15"/>
        <v>18588.600000000017</v>
      </c>
      <c r="J99" s="18">
        <f t="shared" si="16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3"/>
        <v>0.19600000000000001</v>
      </c>
      <c r="D100" s="18">
        <f t="shared" si="17"/>
        <v>3.2941000000000025</v>
      </c>
      <c r="E100" s="14">
        <v>10</v>
      </c>
      <c r="F100" s="14">
        <v>9</v>
      </c>
      <c r="G100" s="14">
        <v>5</v>
      </c>
      <c r="H100" s="18">
        <f t="shared" si="14"/>
        <v>3294.1000000000026</v>
      </c>
      <c r="I100" s="18">
        <f t="shared" si="15"/>
        <v>19764.600000000013</v>
      </c>
      <c r="J100" s="18">
        <f t="shared" si="16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3"/>
        <v>0.19600000000000001</v>
      </c>
      <c r="D101" s="18">
        <f t="shared" si="17"/>
        <v>3.4901000000000026</v>
      </c>
      <c r="E101" s="14">
        <v>10</v>
      </c>
      <c r="F101" s="14">
        <v>9</v>
      </c>
      <c r="G101" s="14">
        <v>5</v>
      </c>
      <c r="H101" s="18">
        <f t="shared" si="14"/>
        <v>3490.1000000000026</v>
      </c>
      <c r="I101" s="18">
        <f t="shared" si="15"/>
        <v>20940.600000000013</v>
      </c>
      <c r="J101" s="18">
        <f t="shared" si="16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3"/>
        <v>0.19600000000000001</v>
      </c>
      <c r="D102" s="18">
        <f t="shared" si="17"/>
        <v>3.6861000000000028</v>
      </c>
      <c r="E102" s="14">
        <v>10</v>
      </c>
      <c r="F102" s="14">
        <v>9</v>
      </c>
      <c r="G102" s="14">
        <v>5</v>
      </c>
      <c r="H102" s="18">
        <f t="shared" si="14"/>
        <v>3686.1000000000026</v>
      </c>
      <c r="I102" s="18">
        <f t="shared" si="15"/>
        <v>22116.600000000017</v>
      </c>
      <c r="J102" s="18">
        <f t="shared" si="16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3"/>
        <v>0.2</v>
      </c>
      <c r="D103" s="18">
        <f t="shared" si="17"/>
        <v>3.882100000000003</v>
      </c>
      <c r="E103" s="14">
        <v>10</v>
      </c>
      <c r="F103" s="14">
        <v>9</v>
      </c>
      <c r="G103" s="14">
        <v>5</v>
      </c>
      <c r="H103" s="18">
        <f t="shared" si="14"/>
        <v>3882.1000000000031</v>
      </c>
      <c r="I103" s="18">
        <f t="shared" si="15"/>
        <v>23292.600000000017</v>
      </c>
      <c r="J103" s="18">
        <f t="shared" si="16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41"/>
  <sheetViews>
    <sheetView workbookViewId="0">
      <selection activeCell="L26" sqref="L26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4" ht="20.25" x14ac:dyDescent="0.2">
      <c r="D2">
        <v>0.85</v>
      </c>
      <c r="F2" s="53" t="s">
        <v>476</v>
      </c>
      <c r="G2" s="53"/>
      <c r="H2" s="53"/>
      <c r="I2" s="53"/>
      <c r="J2" s="53"/>
      <c r="K2" s="53"/>
      <c r="L2" s="53" t="s">
        <v>475</v>
      </c>
      <c r="M2" s="53"/>
      <c r="N2" s="53"/>
      <c r="O2" s="53"/>
      <c r="P2" s="53"/>
      <c r="Q2" s="53"/>
      <c r="R2" s="53"/>
      <c r="S2" s="53"/>
    </row>
    <row r="3" spans="1:24" ht="17.25" x14ac:dyDescent="0.2">
      <c r="A3" s="13" t="s">
        <v>472</v>
      </c>
      <c r="B3" s="13" t="s">
        <v>473</v>
      </c>
      <c r="C3" s="13" t="s">
        <v>477</v>
      </c>
      <c r="D3" s="13" t="s">
        <v>474</v>
      </c>
      <c r="E3" s="13" t="s">
        <v>316</v>
      </c>
      <c r="F3" s="13" t="s">
        <v>419</v>
      </c>
      <c r="G3" s="13" t="s">
        <v>420</v>
      </c>
      <c r="H3" s="13" t="s">
        <v>421</v>
      </c>
      <c r="I3" s="13" t="s">
        <v>422</v>
      </c>
      <c r="J3" s="13" t="s">
        <v>423</v>
      </c>
      <c r="K3" s="13" t="s">
        <v>424</v>
      </c>
      <c r="L3" s="13" t="s">
        <v>419</v>
      </c>
      <c r="M3" s="13" t="s">
        <v>420</v>
      </c>
      <c r="N3" s="13" t="s">
        <v>421</v>
      </c>
      <c r="O3" s="13" t="s">
        <v>422</v>
      </c>
      <c r="P3" s="13" t="s">
        <v>423</v>
      </c>
      <c r="Q3" s="13" t="s">
        <v>424</v>
      </c>
      <c r="R3" s="13" t="s">
        <v>503</v>
      </c>
      <c r="S3" s="13"/>
      <c r="V3" s="13" t="s">
        <v>498</v>
      </c>
      <c r="W3" s="13" t="s">
        <v>499</v>
      </c>
    </row>
    <row r="4" spans="1:24" ht="17.2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3"/>
      <c r="W4" s="13"/>
    </row>
    <row r="5" spans="1:24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760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1</v>
      </c>
      <c r="W5" s="14">
        <v>0.5</v>
      </c>
    </row>
    <row r="6" spans="1:24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4172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2</v>
      </c>
      <c r="W6" s="14">
        <v>0.8</v>
      </c>
    </row>
    <row r="7" spans="1:24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5611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3</v>
      </c>
      <c r="W7" s="14">
        <v>1</v>
      </c>
    </row>
    <row r="8" spans="1:24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8040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  <c r="V8" s="14">
        <v>4</v>
      </c>
      <c r="W8" s="14">
        <v>1.25</v>
      </c>
    </row>
    <row r="9" spans="1:24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11059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4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12686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4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23339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4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45713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4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95038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4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4" ht="20.25" x14ac:dyDescent="0.2">
      <c r="A16" s="53" t="s">
        <v>479</v>
      </c>
      <c r="B16" s="53"/>
      <c r="C16" s="53"/>
      <c r="D16" s="53"/>
      <c r="E16" s="53"/>
      <c r="F16" s="53"/>
      <c r="G16" s="53"/>
      <c r="H16" s="53"/>
      <c r="I16" s="53"/>
      <c r="X16">
        <v>36</v>
      </c>
    </row>
    <row r="17" spans="1:28" ht="17.25" x14ac:dyDescent="0.2">
      <c r="A17" s="13" t="s">
        <v>478</v>
      </c>
      <c r="B17" s="13" t="s">
        <v>482</v>
      </c>
      <c r="C17" s="13" t="s">
        <v>483</v>
      </c>
      <c r="D17" s="13" t="s">
        <v>480</v>
      </c>
      <c r="E17" s="13" t="s">
        <v>481</v>
      </c>
      <c r="F17" s="13" t="s">
        <v>484</v>
      </c>
      <c r="G17" s="13" t="s">
        <v>485</v>
      </c>
      <c r="H17" s="13" t="s">
        <v>486</v>
      </c>
      <c r="I17" s="13" t="s">
        <v>487</v>
      </c>
      <c r="J17" s="13" t="s">
        <v>530</v>
      </c>
      <c r="L17" s="13" t="s">
        <v>488</v>
      </c>
      <c r="M17" s="13" t="s">
        <v>489</v>
      </c>
      <c r="N17" s="13" t="s">
        <v>490</v>
      </c>
      <c r="O17" s="13" t="s">
        <v>491</v>
      </c>
      <c r="P17" s="13" t="s">
        <v>492</v>
      </c>
      <c r="Q17" s="13" t="s">
        <v>495</v>
      </c>
      <c r="R17" s="13" t="s">
        <v>493</v>
      </c>
      <c r="S17" s="13" t="s">
        <v>496</v>
      </c>
      <c r="T17" s="13" t="s">
        <v>494</v>
      </c>
      <c r="U17" s="13" t="s">
        <v>497</v>
      </c>
      <c r="V17" s="13" t="s">
        <v>622</v>
      </c>
      <c r="X17" s="20" t="s">
        <v>644</v>
      </c>
      <c r="Y17" s="25" t="s">
        <v>489</v>
      </c>
      <c r="Z17" s="25" t="s">
        <v>490</v>
      </c>
      <c r="AA17" s="25" t="s">
        <v>643</v>
      </c>
      <c r="AB17" s="13" t="s">
        <v>622</v>
      </c>
    </row>
    <row r="18" spans="1:28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</row>
    <row r="19" spans="1:28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762</v>
      </c>
      <c r="Q19" s="18">
        <f>ROUND(INDEX(挂机派遣!$AW$3:$BD$10,卡牌值!O19-1,1)*INDEX($W$5:$W$8,N19)/10,0)*10</f>
        <v>60</v>
      </c>
      <c r="V19" s="18">
        <f>ROUND(INDEX($E$5:$E$13,O19-1)*INDEX($W$5:$W$8,N19)/50,0)*50</f>
        <v>750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</row>
    <row r="20" spans="1:28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762</v>
      </c>
      <c r="Q20" s="18">
        <f>ROUND(INDEX(挂机派遣!$AW$3:$BD$10,卡牌值!O20-1,1)*INDEX($W$5:$W$8,N20)/10,0)*10</f>
        <v>150</v>
      </c>
      <c r="R20" s="14" t="s">
        <v>805</v>
      </c>
      <c r="S20" s="18">
        <f>ROUND(INDEX(挂机派遣!$BA$3:$BC$10,O20-1,1) * INDEX($W$5:$W$8,N20)  /5,0)*5</f>
        <v>25</v>
      </c>
      <c r="V20" s="18">
        <f>ROUND(INDEX($E$5:$E$13,O20-1)*INDEX($W$5:$W$8,N20)/500,0)*500</f>
        <v>4000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</row>
    <row r="21" spans="1:28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800</v>
      </c>
      <c r="Q21" s="18">
        <f>ROUND(INDEX(挂机派遣!$AW$3:$BD$10,卡牌值!O21-1,2)*INDEX($W$5:$W$8,N21)/10,0)*10</f>
        <v>90</v>
      </c>
      <c r="R21" s="14" t="s">
        <v>805</v>
      </c>
      <c r="S21" s="18">
        <f>ROUND(INDEX(挂机派遣!$BA$3:$BC$10,O21-1,1) * INDEX($W$5:$W$8,N21)  /5,0)*5</f>
        <v>60</v>
      </c>
      <c r="V21" s="18">
        <f t="shared" ref="V21:V23" si="5">ROUND(INDEX($E$5:$E$13,O21-1)*INDEX($W$5:$W$8,N21)/500,0)*500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</row>
    <row r="22" spans="1:28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763</v>
      </c>
      <c r="Q22" s="18">
        <f>ROUND(INDEX(挂机派遣!$AW$3:$BD$10,卡牌值!O22-1,2)*INDEX($W$5:$W$8,N22)/10,0)*10</f>
        <v>210</v>
      </c>
      <c r="R22" s="14" t="s">
        <v>806</v>
      </c>
      <c r="S22" s="18">
        <f>ROUND(INDEX(挂机派遣!$BA$3:$BC$10,O22-1,2) * INDEX($W$5:$W$8,N22)  /5,0)*5</f>
        <v>45</v>
      </c>
      <c r="V22" s="18">
        <f t="shared" si="5"/>
        <v>8000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</row>
    <row r="23" spans="1:28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801</v>
      </c>
      <c r="Q23" s="18">
        <f>ROUND(INDEX(挂机派遣!$AW$3:$BD$10,卡牌值!O23-1,3)*INDEX($W$5:$W$8,N23)/10,0)*10</f>
        <v>130</v>
      </c>
      <c r="R23" s="14" t="s">
        <v>807</v>
      </c>
      <c r="S23" s="18">
        <f>ROUND(INDEX(挂机派遣!$BA$3:$BC$10,O23-1,2) * INDEX($W$5:$W$8,N23)  /5,0)*5</f>
        <v>110</v>
      </c>
      <c r="V23" s="18">
        <f t="shared" si="5"/>
        <v>11000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</row>
    <row r="24" spans="1:28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802</v>
      </c>
      <c r="Q24" s="18">
        <f>ROUND(INDEX(挂机派遣!$AW$3:$BD$10,卡牌值!O24-1,3)*INDEX($W$5:$W$8,N24)/10,0)*10</f>
        <v>310</v>
      </c>
      <c r="R24" s="14" t="s">
        <v>808</v>
      </c>
      <c r="S24" s="18">
        <f>ROUND(INDEX(挂机派遣!$BA$3:$BC$10,O24-1,3) * INDEX($W$5:$W$8,N24)  /5,0)*5</f>
        <v>50</v>
      </c>
      <c r="V24" s="18">
        <f>ROUND(INDEX($E$5:$E$13,O24-1)*INDEX($W$5:$W$8,N24)/1000,0)*1000</f>
        <v>13000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</row>
    <row r="25" spans="1:28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803</v>
      </c>
      <c r="Q25" s="18">
        <f>ROUND(INDEX(挂机派遣!$AW$3:$BD$10,卡牌值!O25-1,4)*INDEX($W$5:$W$8,N25)/10,0)*10</f>
        <v>110</v>
      </c>
      <c r="R25" s="14" t="s">
        <v>808</v>
      </c>
      <c r="S25" s="18">
        <f>ROUND(INDEX(挂机派遣!$BA$3:$BC$10,O25-1,3) * INDEX($W$5:$W$8,N25)  /5,0)*5</f>
        <v>70</v>
      </c>
      <c r="T25" s="18" t="str">
        <f>INDEX(卡牌!$H$4:$H$39,MATCH(卡牌值!M25,卡牌!$A$4:$A$39,0))</f>
        <v>火修身材料</v>
      </c>
      <c r="U25" s="18">
        <f>ROUND(INDEX(挂机派遣!$BD$3:$BD$10,O25-1)  *  INDEX($W$5:$W$8,N25)  /5,0)*5</f>
        <v>20</v>
      </c>
      <c r="V25" s="18">
        <f t="shared" ref="V25:V26" si="6">ROUND(INDEX($E$5:$E$13,O25-1)*INDEX($W$5:$W$8,N25)/1000,0)*1000</f>
        <v>23000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</row>
    <row r="26" spans="1:28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804</v>
      </c>
      <c r="Q26" s="18">
        <f>ROUND(INDEX(挂机派遣!$AW$3:$BD$10,卡牌值!O26-1,4)*INDEX($W$5:$W$8,N26)/10,0)*10</f>
        <v>240</v>
      </c>
      <c r="R26" s="14" t="s">
        <v>808</v>
      </c>
      <c r="S26" s="18">
        <f>ROUND(INDEX(挂机派遣!$BA$3:$BC$10,O26-1,3) * INDEX($W$5:$W$8,N26)  /5,0)*5</f>
        <v>85</v>
      </c>
      <c r="T26" s="18" t="str">
        <f>INDEX(卡牌!$H$4:$H$39,MATCH(卡牌值!M26,卡牌!$A$4:$A$39,0))</f>
        <v>火修身材料</v>
      </c>
      <c r="U26" s="18">
        <f>ROUND(INDEX(挂机派遣!$BD$3:$BD$10,O26-1)  *  INDEX($W$5:$W$8,N26)  /5,0)*5</f>
        <v>75</v>
      </c>
      <c r="V26" s="18">
        <f t="shared" si="6"/>
        <v>46000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</row>
    <row r="27" spans="1:28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</row>
    <row r="28" spans="1:28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762</v>
      </c>
      <c r="Q28" s="18">
        <f>ROUND(INDEX(挂机派遣!$AW$3:$BD$10,卡牌值!O28-1,1)*INDEX($W$5:$W$8,N28)/10,0)*10</f>
        <v>50</v>
      </c>
      <c r="V28" s="18">
        <f>ROUND(INDEX($E$5:$E$13,O28-1)*INDEX($W$5:$W$8,N28)/50,0)*50</f>
        <v>600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</row>
    <row r="29" spans="1:28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762</v>
      </c>
      <c r="Q29" s="18">
        <f>ROUND(INDEX(挂机派遣!$AW$3:$BD$10,卡牌值!O29-1,1)*INDEX($W$5:$W$8,N29)/10,0)*10</f>
        <v>120</v>
      </c>
      <c r="R29" s="14" t="s">
        <v>805</v>
      </c>
      <c r="S29" s="18">
        <f>ROUND(INDEX(挂机派遣!$BA$3:$BC$10,O29-1,1) * INDEX($W$5:$W$8,N29)  /5,0)*5</f>
        <v>20</v>
      </c>
      <c r="V29" s="18">
        <f>ROUND(INDEX($E$5:$E$13,O29-1)*INDEX($W$5:$W$8,N29)/500,0)*500</f>
        <v>3500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</row>
    <row r="30" spans="1:28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800</v>
      </c>
      <c r="Q30" s="18">
        <f>ROUND(INDEX(挂机派遣!$AW$3:$BD$10,卡牌值!O30-1,2)*INDEX($W$5:$W$8,N30)/10,0)*10</f>
        <v>70</v>
      </c>
      <c r="R30" s="14" t="s">
        <v>805</v>
      </c>
      <c r="S30" s="18">
        <f>ROUND(INDEX(挂机派遣!$BA$3:$BC$10,O30-1,1) * INDEX($W$5:$W$8,N30)  /5,0)*5</f>
        <v>50</v>
      </c>
      <c r="V30" s="18">
        <f t="shared" ref="V30:V32" si="7">ROUND(INDEX($E$5:$E$13,O30-1)*INDEX($W$5:$W$8,N30)/500,0)*500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</row>
    <row r="31" spans="1:28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763</v>
      </c>
      <c r="Q31" s="18">
        <f>ROUND(INDEX(挂机派遣!$AW$3:$BD$10,卡牌值!O31-1,2)*INDEX($W$5:$W$8,N31)/10,0)*10</f>
        <v>160</v>
      </c>
      <c r="R31" s="14" t="s">
        <v>806</v>
      </c>
      <c r="S31" s="18">
        <f>ROUND(INDEX(挂机派遣!$BA$3:$BC$10,O31-1,2) * INDEX($W$5:$W$8,N31)  /5,0)*5</f>
        <v>35</v>
      </c>
      <c r="V31" s="18">
        <f t="shared" si="7"/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</row>
    <row r="32" spans="1:28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801</v>
      </c>
      <c r="Q32" s="18">
        <f>ROUND(INDEX(挂机派遣!$AW$3:$BD$10,卡牌值!O32-1,3)*INDEX($W$5:$W$8,N32)/10,0)*10</f>
        <v>100</v>
      </c>
      <c r="R32" s="14" t="s">
        <v>807</v>
      </c>
      <c r="S32" s="18">
        <f>ROUND(INDEX(挂机派遣!$BA$3:$BC$10,O32-1,2) * INDEX($W$5:$W$8,N32)  /5,0)*5</f>
        <v>90</v>
      </c>
      <c r="V32" s="18">
        <f t="shared" si="7"/>
        <v>9000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</row>
    <row r="33" spans="1:28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802</v>
      </c>
      <c r="Q33" s="18">
        <f>ROUND(INDEX(挂机派遣!$AW$3:$BD$10,卡牌值!O33-1,3)*INDEX($W$5:$W$8,N33)/10,0)*10</f>
        <v>240</v>
      </c>
      <c r="R33" s="14" t="s">
        <v>808</v>
      </c>
      <c r="S33" s="18">
        <f>ROUND(INDEX(挂机派遣!$BA$3:$BC$10,O33-1,3) * INDEX($W$5:$W$8,N33)  /5,0)*5</f>
        <v>40</v>
      </c>
      <c r="V33" s="18">
        <f>ROUND(INDEX($E$5:$E$13,O33-1)*INDEX($W$5:$W$8,N33)/1000,0)*1000</f>
        <v>10000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</row>
    <row r="34" spans="1:28" ht="16.5" x14ac:dyDescent="0.2">
      <c r="A34" s="14">
        <v>17</v>
      </c>
      <c r="B34" s="14"/>
      <c r="C34" s="14">
        <v>21</v>
      </c>
      <c r="D34" s="26">
        <f t="shared" ref="D34:D47" si="8">C34/B$33</f>
        <v>5.185185185185185E-2</v>
      </c>
      <c r="E34" s="14">
        <f t="shared" ref="E34:E47" si="9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803</v>
      </c>
      <c r="Q34" s="18">
        <f>ROUND(INDEX(挂机派遣!$AW$3:$BD$10,卡牌值!O34-1,4)*INDEX($W$5:$W$8,N34)/10,0)*10</f>
        <v>80</v>
      </c>
      <c r="R34" s="14" t="s">
        <v>808</v>
      </c>
      <c r="S34" s="18">
        <f>ROUND(INDEX(挂机派遣!$BA$3:$BC$10,O34-1,3) * INDEX($W$5:$W$8,N34)  /5,0)*5</f>
        <v>55</v>
      </c>
      <c r="T34" s="18" t="str">
        <f>INDEX(卡牌!$H$4:$H$39,MATCH(卡牌值!M34,卡牌!$A$4:$A$39,0))</f>
        <v>雷修身材料</v>
      </c>
      <c r="U34" s="18">
        <f>ROUND(INDEX(挂机派遣!$BD$3:$BD$10,O34-1)  *  INDEX($W$5:$W$8,N34)  /5,0)*5</f>
        <v>15</v>
      </c>
      <c r="V34" s="18">
        <f t="shared" ref="V34:V35" si="10">ROUND(INDEX($E$5:$E$13,O34-1)*INDEX($W$5:$W$8,N34)/1000,0)*1000</f>
        <v>19000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</row>
    <row r="35" spans="1:28" ht="16.5" x14ac:dyDescent="0.2">
      <c r="A35" s="14">
        <v>18</v>
      </c>
      <c r="B35" s="14"/>
      <c r="C35" s="14">
        <v>22</v>
      </c>
      <c r="D35" s="26">
        <f t="shared" si="8"/>
        <v>5.4320987654320987E-2</v>
      </c>
      <c r="E35" s="14">
        <f t="shared" si="9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804</v>
      </c>
      <c r="Q35" s="18">
        <f>ROUND(INDEX(挂机派遣!$AW$3:$BD$10,卡牌值!O35-1,4)*INDEX($W$5:$W$8,N35)/10,0)*10</f>
        <v>190</v>
      </c>
      <c r="R35" s="14" t="s">
        <v>808</v>
      </c>
      <c r="S35" s="18">
        <f>ROUND(INDEX(挂机派遣!$BA$3:$BC$10,O35-1,3) * INDEX($W$5:$W$8,N35)  /5,0)*5</f>
        <v>70</v>
      </c>
      <c r="T35" s="18" t="str">
        <f>INDEX(卡牌!$H$4:$H$39,MATCH(卡牌值!M35,卡牌!$A$4:$A$39,0))</f>
        <v>雷修身材料</v>
      </c>
      <c r="U35" s="18">
        <f>ROUND(INDEX(挂机派遣!$BD$3:$BD$10,O35-1)  *  INDEX($W$5:$W$8,N35)  /5,0)*5</f>
        <v>60</v>
      </c>
      <c r="V35" s="18">
        <f t="shared" si="10"/>
        <v>37000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</row>
    <row r="36" spans="1:28" ht="16.5" x14ac:dyDescent="0.2">
      <c r="A36" s="14">
        <v>19</v>
      </c>
      <c r="B36" s="14"/>
      <c r="C36" s="14">
        <v>23</v>
      </c>
      <c r="D36" s="26">
        <f t="shared" si="8"/>
        <v>5.6790123456790124E-2</v>
      </c>
      <c r="E36" s="14">
        <f t="shared" si="9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</row>
    <row r="37" spans="1:28" ht="16.5" x14ac:dyDescent="0.2">
      <c r="A37" s="14">
        <v>20</v>
      </c>
      <c r="B37" s="14"/>
      <c r="C37" s="14">
        <v>24</v>
      </c>
      <c r="D37" s="26">
        <f t="shared" si="8"/>
        <v>5.9259259259259262E-2</v>
      </c>
      <c r="E37" s="14">
        <f t="shared" si="9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762</v>
      </c>
      <c r="Q37" s="18">
        <f>ROUND(INDEX(挂机派遣!$AW$3:$BD$10,卡牌值!O37-1,1)*INDEX($W$5:$W$8,N37)/10,0)*10</f>
        <v>60</v>
      </c>
      <c r="V37" s="18">
        <f>ROUND(INDEX($E$5:$E$13,O37-1)*INDEX($W$5:$W$8,N37)/50,0)*50</f>
        <v>750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</row>
    <row r="38" spans="1:28" ht="16.5" x14ac:dyDescent="0.2">
      <c r="A38" s="14">
        <v>21</v>
      </c>
      <c r="B38" s="14"/>
      <c r="C38" s="14">
        <v>25</v>
      </c>
      <c r="D38" s="26">
        <f t="shared" si="8"/>
        <v>6.1728395061728392E-2</v>
      </c>
      <c r="E38" s="14">
        <f t="shared" si="9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762</v>
      </c>
      <c r="Q38" s="18">
        <f>ROUND(INDEX(挂机派遣!$AW$3:$BD$10,卡牌值!O38-1,1)*INDEX($W$5:$W$8,N38)/10,0)*10</f>
        <v>150</v>
      </c>
      <c r="R38" s="14" t="s">
        <v>805</v>
      </c>
      <c r="S38" s="18">
        <f>ROUND(INDEX(挂机派遣!$BA$3:$BC$10,O38-1,1) * INDEX($W$5:$W$8,N38)  /5,0)*5</f>
        <v>25</v>
      </c>
      <c r="V38" s="18">
        <f>ROUND(INDEX($E$5:$E$13,O38-1)*INDEX($W$5:$W$8,N38)/500,0)*500</f>
        <v>4000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</row>
    <row r="39" spans="1:28" ht="16.5" x14ac:dyDescent="0.2">
      <c r="A39" s="14">
        <v>22</v>
      </c>
      <c r="B39" s="14"/>
      <c r="C39" s="14">
        <v>26</v>
      </c>
      <c r="D39" s="26">
        <f t="shared" si="8"/>
        <v>6.4197530864197536E-2</v>
      </c>
      <c r="E39" s="14">
        <f t="shared" si="9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800</v>
      </c>
      <c r="Q39" s="18">
        <f>ROUND(INDEX(挂机派遣!$AW$3:$BD$10,卡牌值!O39-1,2)*INDEX($W$5:$W$8,N39)/10,0)*10</f>
        <v>90</v>
      </c>
      <c r="R39" s="14" t="s">
        <v>805</v>
      </c>
      <c r="S39" s="18">
        <f>ROUND(INDEX(挂机派遣!$BA$3:$BC$10,O39-1,1) * INDEX($W$5:$W$8,N39)  /5,0)*5</f>
        <v>60</v>
      </c>
      <c r="V39" s="18">
        <f t="shared" ref="V39:V41" si="11">ROUND(INDEX($E$5:$E$13,O39-1)*INDEX($W$5:$W$8,N39)/500,0)*500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</row>
    <row r="40" spans="1:28" ht="16.5" x14ac:dyDescent="0.2">
      <c r="A40" s="14">
        <v>23</v>
      </c>
      <c r="B40" s="14"/>
      <c r="C40" s="14">
        <v>27</v>
      </c>
      <c r="D40" s="26">
        <f t="shared" si="8"/>
        <v>6.6666666666666666E-2</v>
      </c>
      <c r="E40" s="14">
        <f t="shared" si="9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763</v>
      </c>
      <c r="Q40" s="18">
        <f>ROUND(INDEX(挂机派遣!$AW$3:$BD$10,卡牌值!O40-1,2)*INDEX($W$5:$W$8,N40)/10,0)*10</f>
        <v>210</v>
      </c>
      <c r="R40" s="14" t="s">
        <v>806</v>
      </c>
      <c r="S40" s="18">
        <f>ROUND(INDEX(挂机派遣!$BA$3:$BC$10,O40-1,2) * INDEX($W$5:$W$8,N40)  /5,0)*5</f>
        <v>45</v>
      </c>
      <c r="V40" s="18">
        <f t="shared" si="11"/>
        <v>8000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</row>
    <row r="41" spans="1:28" ht="16.5" x14ac:dyDescent="0.2">
      <c r="A41" s="14">
        <v>24</v>
      </c>
      <c r="B41" s="14"/>
      <c r="C41" s="14">
        <v>28</v>
      </c>
      <c r="D41" s="26">
        <f t="shared" si="8"/>
        <v>6.9135802469135796E-2</v>
      </c>
      <c r="E41" s="14">
        <f t="shared" si="9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801</v>
      </c>
      <c r="Q41" s="18">
        <f>ROUND(INDEX(挂机派遣!$AW$3:$BD$10,卡牌值!O41-1,3)*INDEX($W$5:$W$8,N41)/10,0)*10</f>
        <v>130</v>
      </c>
      <c r="R41" s="14" t="s">
        <v>807</v>
      </c>
      <c r="S41" s="18">
        <f>ROUND(INDEX(挂机派遣!$BA$3:$BC$10,O41-1,2) * INDEX($W$5:$W$8,N41)  /5,0)*5</f>
        <v>110</v>
      </c>
      <c r="V41" s="18">
        <f t="shared" si="11"/>
        <v>11000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</row>
    <row r="42" spans="1:28" ht="16.5" x14ac:dyDescent="0.2">
      <c r="A42" s="14">
        <v>25</v>
      </c>
      <c r="B42" s="14"/>
      <c r="C42" s="14">
        <v>29</v>
      </c>
      <c r="D42" s="26">
        <f t="shared" si="8"/>
        <v>7.160493827160494E-2</v>
      </c>
      <c r="E42" s="14">
        <f t="shared" si="9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802</v>
      </c>
      <c r="Q42" s="18">
        <f>ROUND(INDEX(挂机派遣!$AW$3:$BD$10,卡牌值!O42-1,3)*INDEX($W$5:$W$8,N42)/10,0)*10</f>
        <v>310</v>
      </c>
      <c r="R42" s="14" t="s">
        <v>808</v>
      </c>
      <c r="S42" s="18">
        <f>ROUND(INDEX(挂机派遣!$BA$3:$BC$10,O42-1,3) * INDEX($W$5:$W$8,N42)  /5,0)*5</f>
        <v>50</v>
      </c>
      <c r="V42" s="18">
        <f>ROUND(INDEX($E$5:$E$13,O42-1)*INDEX($W$5:$W$8,N42)/1000,0)*1000</f>
        <v>13000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</row>
    <row r="43" spans="1:28" ht="16.5" x14ac:dyDescent="0.2">
      <c r="A43" s="14">
        <v>26</v>
      </c>
      <c r="B43" s="14"/>
      <c r="C43" s="14">
        <v>30</v>
      </c>
      <c r="D43" s="26">
        <f t="shared" si="8"/>
        <v>7.407407407407407E-2</v>
      </c>
      <c r="E43" s="14">
        <f t="shared" si="9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803</v>
      </c>
      <c r="Q43" s="18">
        <f>ROUND(INDEX(挂机派遣!$AW$3:$BD$10,卡牌值!O43-1,4)*INDEX($W$5:$W$8,N43)/10,0)*10</f>
        <v>110</v>
      </c>
      <c r="R43" s="14" t="s">
        <v>808</v>
      </c>
      <c r="S43" s="18">
        <f>ROUND(INDEX(挂机派遣!$BA$3:$BC$10,O43-1,3) * INDEX($W$5:$W$8,N43)  /5,0)*5</f>
        <v>70</v>
      </c>
      <c r="T43" s="18" t="str">
        <f>INDEX(卡牌!$H$4:$H$39,MATCH(卡牌值!M43,卡牌!$A$4:$A$39,0))</f>
        <v>水修身材料</v>
      </c>
      <c r="U43" s="18">
        <f>ROUND(INDEX(挂机派遣!$BD$3:$BD$10,O43-1)  *  INDEX($W$5:$W$8,N43)  /5,0)*5</f>
        <v>20</v>
      </c>
      <c r="V43" s="18">
        <f t="shared" ref="V43:V44" si="12">ROUND(INDEX($E$5:$E$13,O43-1)*INDEX($W$5:$W$8,N43)/1000,0)*1000</f>
        <v>23000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</row>
    <row r="44" spans="1:28" ht="16.5" x14ac:dyDescent="0.2">
      <c r="A44" s="14">
        <v>27</v>
      </c>
      <c r="B44" s="14"/>
      <c r="C44" s="14">
        <v>31</v>
      </c>
      <c r="D44" s="26">
        <f t="shared" si="8"/>
        <v>7.6543209876543214E-2</v>
      </c>
      <c r="E44" s="14">
        <f t="shared" si="9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804</v>
      </c>
      <c r="Q44" s="18">
        <f>ROUND(INDEX(挂机派遣!$AW$3:$BD$10,卡牌值!O44-1,4)*INDEX($W$5:$W$8,N44)/10,0)*10</f>
        <v>240</v>
      </c>
      <c r="R44" s="14" t="s">
        <v>808</v>
      </c>
      <c r="S44" s="18">
        <f>ROUND(INDEX(挂机派遣!$BA$3:$BC$10,O44-1,3) * INDEX($W$5:$W$8,N44)  /5,0)*5</f>
        <v>85</v>
      </c>
      <c r="T44" s="18" t="str">
        <f>INDEX(卡牌!$H$4:$H$39,MATCH(卡牌值!M44,卡牌!$A$4:$A$39,0))</f>
        <v>水修身材料</v>
      </c>
      <c r="U44" s="18">
        <f>ROUND(INDEX(挂机派遣!$BD$3:$BD$10,O44-1)  *  INDEX($W$5:$W$8,N44)  /5,0)*5</f>
        <v>75</v>
      </c>
      <c r="V44" s="18">
        <f t="shared" si="12"/>
        <v>46000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</row>
    <row r="45" spans="1:28" ht="16.5" x14ac:dyDescent="0.2">
      <c r="A45" s="14">
        <v>28</v>
      </c>
      <c r="B45" s="14"/>
      <c r="C45" s="14">
        <v>32</v>
      </c>
      <c r="D45" s="26">
        <f t="shared" si="8"/>
        <v>7.9012345679012344E-2</v>
      </c>
      <c r="E45" s="14">
        <f t="shared" si="9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</row>
    <row r="46" spans="1:28" ht="16.5" x14ac:dyDescent="0.2">
      <c r="A46" s="14">
        <v>29</v>
      </c>
      <c r="B46" s="14"/>
      <c r="C46" s="14">
        <v>33</v>
      </c>
      <c r="D46" s="26">
        <f t="shared" si="8"/>
        <v>8.1481481481481488E-2</v>
      </c>
      <c r="E46" s="14">
        <f t="shared" si="9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762</v>
      </c>
      <c r="Q46" s="18">
        <f>ROUND(INDEX(挂机派遣!$AW$3:$BD$10,卡牌值!O46-1,1)*INDEX($W$5:$W$8,N46)/10,0)*10</f>
        <v>80</v>
      </c>
      <c r="V46" s="18">
        <f>ROUND(INDEX($E$5:$E$13,O46-1)*INDEX($W$5:$W$8,N46)/50,0)*50</f>
        <v>950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</row>
    <row r="47" spans="1:28" ht="16.5" x14ac:dyDescent="0.2">
      <c r="A47" s="14">
        <v>30</v>
      </c>
      <c r="B47" s="18">
        <f>D6</f>
        <v>6045</v>
      </c>
      <c r="C47" s="14">
        <v>34</v>
      </c>
      <c r="D47" s="26">
        <f t="shared" si="8"/>
        <v>8.3950617283950618E-2</v>
      </c>
      <c r="E47" s="14">
        <f t="shared" si="9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762</v>
      </c>
      <c r="Q47" s="18">
        <f>ROUND(INDEX(挂机派遣!$AW$3:$BD$10,卡牌值!O47-1,1)*INDEX($W$5:$W$8,N47)/10,0)*10</f>
        <v>180</v>
      </c>
      <c r="R47" s="14" t="s">
        <v>805</v>
      </c>
      <c r="S47" s="18">
        <f>ROUND(INDEX(挂机派遣!$BA$3:$BC$10,O47-1,1) * INDEX($W$5:$W$8,N47)  /5,0)*5</f>
        <v>30</v>
      </c>
      <c r="V47" s="18">
        <f>ROUND(INDEX($E$5:$E$13,O47-1)*INDEX($W$5:$W$8,N47)/500,0)*500</f>
        <v>5000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</row>
    <row r="48" spans="1:28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800</v>
      </c>
      <c r="Q48" s="18">
        <f>ROUND(INDEX(挂机派遣!$AW$3:$BD$10,卡牌值!O48-1,2)*INDEX($W$5:$W$8,N48)/10,0)*10</f>
        <v>110</v>
      </c>
      <c r="R48" s="14" t="s">
        <v>805</v>
      </c>
      <c r="S48" s="18">
        <f>ROUND(INDEX(挂机派遣!$BA$3:$BC$10,O48-1,1) * INDEX($W$5:$W$8,N48)  /5,0)*5</f>
        <v>75</v>
      </c>
      <c r="V48" s="18">
        <f t="shared" ref="V48:V50" si="13">ROUND(INDEX($E$5:$E$13,O48-1)*INDEX($W$5:$W$8,N48)/500,0)*500</f>
        <v>7000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</row>
    <row r="49" spans="1:28" ht="16.5" x14ac:dyDescent="0.2">
      <c r="A49" s="14">
        <v>32</v>
      </c>
      <c r="B49" s="14"/>
      <c r="C49" s="14">
        <v>32</v>
      </c>
      <c r="D49" s="26">
        <f t="shared" ref="D49:D57" si="14">C49/B$48</f>
        <v>9.014084507042254E-2</v>
      </c>
      <c r="E49" s="14">
        <f t="shared" ref="E49:E57" si="15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763</v>
      </c>
      <c r="Q49" s="18">
        <f>ROUND(INDEX(挂机派遣!$AW$3:$BD$10,卡牌值!O49-1,2)*INDEX($W$5:$W$8,N49)/10,0)*10</f>
        <v>260</v>
      </c>
      <c r="R49" s="14" t="s">
        <v>806</v>
      </c>
      <c r="S49" s="18">
        <f>ROUND(INDEX(挂机派遣!$BA$3:$BC$10,O49-1,2) * INDEX($W$5:$W$8,N49)  /5,0)*5</f>
        <v>55</v>
      </c>
      <c r="V49" s="18">
        <f t="shared" si="13"/>
        <v>10000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</row>
    <row r="50" spans="1:28" ht="16.5" x14ac:dyDescent="0.2">
      <c r="A50" s="14">
        <v>33</v>
      </c>
      <c r="B50" s="14"/>
      <c r="C50" s="14">
        <v>33</v>
      </c>
      <c r="D50" s="26">
        <f t="shared" si="14"/>
        <v>9.295774647887324E-2</v>
      </c>
      <c r="E50" s="14">
        <f t="shared" si="15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801</v>
      </c>
      <c r="Q50" s="18">
        <f>ROUND(INDEX(挂机派遣!$AW$3:$BD$10,卡牌值!O50-1,3)*INDEX($W$5:$W$8,N50)/10,0)*10</f>
        <v>160</v>
      </c>
      <c r="R50" s="14" t="s">
        <v>807</v>
      </c>
      <c r="S50" s="18">
        <f>ROUND(INDEX(挂机派遣!$BA$3:$BC$10,O50-1,2) * INDEX($W$5:$W$8,N50)  /5,0)*5</f>
        <v>140</v>
      </c>
      <c r="V50" s="18">
        <f t="shared" si="13"/>
        <v>14000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</row>
    <row r="51" spans="1:28" ht="16.5" x14ac:dyDescent="0.2">
      <c r="A51" s="14">
        <v>34</v>
      </c>
      <c r="B51" s="14"/>
      <c r="C51" s="14">
        <v>34</v>
      </c>
      <c r="D51" s="26">
        <f t="shared" si="14"/>
        <v>9.5774647887323941E-2</v>
      </c>
      <c r="E51" s="14">
        <f t="shared" si="15"/>
        <v>1360</v>
      </c>
      <c r="F51" s="14">
        <f t="shared" ref="F51:I82" si="16">ROUND($E51*F$15,0)</f>
        <v>680</v>
      </c>
      <c r="G51" s="14">
        <f t="shared" si="16"/>
        <v>1088</v>
      </c>
      <c r="H51" s="14">
        <f t="shared" si="16"/>
        <v>1360</v>
      </c>
      <c r="I51" s="14">
        <f t="shared" si="16"/>
        <v>1700</v>
      </c>
      <c r="M51">
        <v>1101004</v>
      </c>
      <c r="N51" s="18">
        <f>VLOOKUP(M51,卡牌!$A$4:$C$39,3)</f>
        <v>4</v>
      </c>
      <c r="O51">
        <v>7</v>
      </c>
      <c r="P51" s="14" t="s">
        <v>802</v>
      </c>
      <c r="Q51" s="18">
        <f>ROUND(INDEX(挂机派遣!$AW$3:$BD$10,卡牌值!O51-1,3)*INDEX($W$5:$W$8,N51)/10,0)*10</f>
        <v>380</v>
      </c>
      <c r="R51" s="14" t="s">
        <v>808</v>
      </c>
      <c r="S51" s="18">
        <f>ROUND(INDEX(挂机派遣!$BA$3:$BC$10,O51-1,3) * INDEX($W$5:$W$8,N51)  /5,0)*5</f>
        <v>65</v>
      </c>
      <c r="V51" s="18">
        <f>ROUND(INDEX($E$5:$E$13,O51-1)*INDEX($W$5:$W$8,N51)/1000,0)*1000</f>
        <v>16000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</row>
    <row r="52" spans="1:28" ht="16.5" x14ac:dyDescent="0.2">
      <c r="A52" s="14">
        <v>35</v>
      </c>
      <c r="B52" s="14"/>
      <c r="C52" s="14">
        <v>35</v>
      </c>
      <c r="D52" s="26">
        <f t="shared" si="14"/>
        <v>9.8591549295774641E-2</v>
      </c>
      <c r="E52" s="14">
        <f t="shared" si="15"/>
        <v>1400</v>
      </c>
      <c r="F52" s="14">
        <f t="shared" si="16"/>
        <v>700</v>
      </c>
      <c r="G52" s="14">
        <f t="shared" si="16"/>
        <v>1120</v>
      </c>
      <c r="H52" s="14">
        <f t="shared" si="16"/>
        <v>1400</v>
      </c>
      <c r="I52" s="14">
        <f t="shared" si="16"/>
        <v>1750</v>
      </c>
      <c r="M52">
        <v>1101004</v>
      </c>
      <c r="N52" s="18">
        <f>VLOOKUP(M52,卡牌!$A$4:$C$39,3)</f>
        <v>4</v>
      </c>
      <c r="O52">
        <v>8</v>
      </c>
      <c r="P52" s="14" t="s">
        <v>803</v>
      </c>
      <c r="Q52" s="18">
        <f>ROUND(INDEX(挂机派遣!$AW$3:$BD$10,卡牌值!O52-1,4)*INDEX($W$5:$W$8,N52)/10,0)*10</f>
        <v>130</v>
      </c>
      <c r="R52" s="14" t="s">
        <v>808</v>
      </c>
      <c r="S52" s="18">
        <f>ROUND(INDEX(挂机派遣!$BA$3:$BC$10,O52-1,3) * INDEX($W$5:$W$8,N52)  /5,0)*5</f>
        <v>90</v>
      </c>
      <c r="T52" s="18" t="str">
        <f>INDEX(卡牌!$H$4:$H$39,MATCH(卡牌值!M52,卡牌!$A$4:$A$39,0))</f>
        <v>土修身材料</v>
      </c>
      <c r="U52" s="18">
        <f>ROUND(INDEX(挂机派遣!$BD$3:$BD$10,O52-1)  *  INDEX($W$5:$W$8,N52)  /5,0)*5</f>
        <v>25</v>
      </c>
      <c r="V52" s="18">
        <f t="shared" ref="V52:V53" si="17">ROUND(INDEX($E$5:$E$13,O52-1)*INDEX($W$5:$W$8,N52)/1000,0)*1000</f>
        <v>29000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</row>
    <row r="53" spans="1:28" ht="16.5" x14ac:dyDescent="0.2">
      <c r="A53" s="14">
        <v>36</v>
      </c>
      <c r="B53" s="14"/>
      <c r="C53" s="14">
        <v>36</v>
      </c>
      <c r="D53" s="26">
        <f t="shared" si="14"/>
        <v>0.10140845070422536</v>
      </c>
      <c r="E53" s="14">
        <f t="shared" si="15"/>
        <v>1440</v>
      </c>
      <c r="F53" s="14">
        <f t="shared" si="16"/>
        <v>720</v>
      </c>
      <c r="G53" s="14">
        <f t="shared" si="16"/>
        <v>1152</v>
      </c>
      <c r="H53" s="14">
        <f t="shared" si="16"/>
        <v>1440</v>
      </c>
      <c r="I53" s="14">
        <f t="shared" si="16"/>
        <v>1800</v>
      </c>
      <c r="M53">
        <v>1101004</v>
      </c>
      <c r="N53" s="18">
        <f>VLOOKUP(M53,卡牌!$A$4:$C$39,3)</f>
        <v>4</v>
      </c>
      <c r="O53">
        <v>9</v>
      </c>
      <c r="P53" s="14" t="s">
        <v>804</v>
      </c>
      <c r="Q53" s="18">
        <f>ROUND(INDEX(挂机派遣!$AW$3:$BD$10,卡牌值!O53-1,4)*INDEX($W$5:$W$8,N53)/10,0)*10</f>
        <v>300</v>
      </c>
      <c r="R53" s="14" t="s">
        <v>808</v>
      </c>
      <c r="S53" s="18">
        <f>ROUND(INDEX(挂机派遣!$BA$3:$BC$10,O53-1,3) * INDEX($W$5:$W$8,N53)  /5,0)*5</f>
        <v>105</v>
      </c>
      <c r="T53" s="18" t="str">
        <f>INDEX(卡牌!$H$4:$H$39,MATCH(卡牌值!M53,卡牌!$A$4:$A$39,0))</f>
        <v>土修身材料</v>
      </c>
      <c r="U53" s="18">
        <f>ROUND(INDEX(挂机派遣!$BD$3:$BD$10,O53-1)  *  INDEX($W$5:$W$8,N53)  /5,0)*5</f>
        <v>95</v>
      </c>
      <c r="V53" s="18">
        <f t="shared" si="17"/>
        <v>57000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</row>
    <row r="54" spans="1:28" ht="16.5" x14ac:dyDescent="0.2">
      <c r="A54" s="14">
        <v>37</v>
      </c>
      <c r="B54" s="14"/>
      <c r="C54" s="14">
        <v>37</v>
      </c>
      <c r="D54" s="26">
        <f t="shared" si="14"/>
        <v>0.10422535211267606</v>
      </c>
      <c r="E54" s="14">
        <f t="shared" si="15"/>
        <v>1480</v>
      </c>
      <c r="F54" s="14">
        <f t="shared" si="16"/>
        <v>740</v>
      </c>
      <c r="G54" s="14">
        <f t="shared" si="16"/>
        <v>1184</v>
      </c>
      <c r="H54" s="14">
        <f t="shared" si="16"/>
        <v>1480</v>
      </c>
      <c r="I54" s="14">
        <f t="shared" si="16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</row>
    <row r="55" spans="1:28" ht="16.5" x14ac:dyDescent="0.2">
      <c r="A55" s="14">
        <v>38</v>
      </c>
      <c r="B55" s="14"/>
      <c r="C55" s="14">
        <v>38</v>
      </c>
      <c r="D55" s="26">
        <f t="shared" si="14"/>
        <v>0.10704225352112676</v>
      </c>
      <c r="E55" s="14">
        <f t="shared" si="15"/>
        <v>1520</v>
      </c>
      <c r="F55" s="14">
        <f t="shared" si="16"/>
        <v>760</v>
      </c>
      <c r="G55" s="14">
        <f t="shared" si="16"/>
        <v>1216</v>
      </c>
      <c r="H55" s="14">
        <f t="shared" si="16"/>
        <v>1520</v>
      </c>
      <c r="I55" s="14">
        <f t="shared" si="16"/>
        <v>1900</v>
      </c>
      <c r="M55">
        <v>1101005</v>
      </c>
      <c r="N55" s="18">
        <f>VLOOKUP(M55,卡牌!$A$4:$C$39,3)</f>
        <v>4</v>
      </c>
      <c r="O55">
        <v>2</v>
      </c>
      <c r="P55" s="14" t="s">
        <v>762</v>
      </c>
      <c r="Q55" s="18">
        <f>ROUND(INDEX(挂机派遣!$AW$3:$BD$10,卡牌值!O55-1,1)*INDEX($W$5:$W$8,N55)/10,0)*10</f>
        <v>80</v>
      </c>
      <c r="V55" s="18">
        <f>ROUND(INDEX($E$5:$E$13,O55-1)*INDEX($W$5:$W$8,N55)/50,0)*50</f>
        <v>950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</row>
    <row r="56" spans="1:28" ht="16.5" x14ac:dyDescent="0.2">
      <c r="A56" s="14">
        <v>39</v>
      </c>
      <c r="B56" s="14"/>
      <c r="C56" s="14">
        <v>39</v>
      </c>
      <c r="D56" s="26">
        <f t="shared" si="14"/>
        <v>0.10985915492957747</v>
      </c>
      <c r="E56" s="14">
        <f t="shared" si="15"/>
        <v>1560</v>
      </c>
      <c r="F56" s="14">
        <f t="shared" si="16"/>
        <v>780</v>
      </c>
      <c r="G56" s="14">
        <f t="shared" si="16"/>
        <v>1248</v>
      </c>
      <c r="H56" s="14">
        <f t="shared" si="16"/>
        <v>1560</v>
      </c>
      <c r="I56" s="14">
        <f t="shared" si="16"/>
        <v>1950</v>
      </c>
      <c r="M56">
        <v>1101005</v>
      </c>
      <c r="N56" s="18">
        <f>VLOOKUP(M56,卡牌!$A$4:$C$39,3)</f>
        <v>4</v>
      </c>
      <c r="O56">
        <v>3</v>
      </c>
      <c r="P56" s="14" t="s">
        <v>762</v>
      </c>
      <c r="Q56" s="18">
        <f>ROUND(INDEX(挂机派遣!$AW$3:$BD$10,卡牌值!O56-1,1)*INDEX($W$5:$W$8,N56)/10,0)*10</f>
        <v>180</v>
      </c>
      <c r="R56" s="14" t="s">
        <v>805</v>
      </c>
      <c r="S56" s="18">
        <f>ROUND(INDEX(挂机派遣!$BA$3:$BC$10,O56-1,1) * INDEX($W$5:$W$8,N56)  /5,0)*5</f>
        <v>30</v>
      </c>
      <c r="V56" s="18">
        <f>ROUND(INDEX($E$5:$E$13,O56-1)*INDEX($W$5:$W$8,N56)/500,0)*500</f>
        <v>5000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</row>
    <row r="57" spans="1:28" ht="16.5" x14ac:dyDescent="0.2">
      <c r="A57" s="14">
        <v>40</v>
      </c>
      <c r="B57" s="18">
        <f>D7</f>
        <v>14201</v>
      </c>
      <c r="C57" s="14">
        <v>40</v>
      </c>
      <c r="D57" s="26">
        <f t="shared" si="14"/>
        <v>0.11267605633802817</v>
      </c>
      <c r="E57" s="14">
        <f t="shared" si="15"/>
        <v>1600</v>
      </c>
      <c r="F57" s="14">
        <f t="shared" si="16"/>
        <v>800</v>
      </c>
      <c r="G57" s="14">
        <f t="shared" si="16"/>
        <v>1280</v>
      </c>
      <c r="H57" s="14">
        <f t="shared" si="16"/>
        <v>1600</v>
      </c>
      <c r="I57" s="14">
        <f t="shared" si="16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800</v>
      </c>
      <c r="Q57" s="18">
        <f>ROUND(INDEX(挂机派遣!$AW$3:$BD$10,卡牌值!O57-1,2)*INDEX($W$5:$W$8,N57)/10,0)*10</f>
        <v>110</v>
      </c>
      <c r="R57" s="14" t="s">
        <v>805</v>
      </c>
      <c r="S57" s="18">
        <f>ROUND(INDEX(挂机派遣!$BA$3:$BC$10,O57-1,1) * INDEX($W$5:$W$8,N57)  /5,0)*5</f>
        <v>75</v>
      </c>
      <c r="V57" s="18">
        <f t="shared" ref="V57:V59" si="18">ROUND(INDEX($E$5:$E$13,O57-1)*INDEX($W$5:$W$8,N57)/500,0)*500</f>
        <v>7000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</row>
    <row r="58" spans="1:28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6"/>
        <v>1072</v>
      </c>
      <c r="G58" s="14">
        <f t="shared" si="16"/>
        <v>1714</v>
      </c>
      <c r="H58" s="14">
        <f t="shared" si="16"/>
        <v>2143</v>
      </c>
      <c r="I58" s="14">
        <f t="shared" si="16"/>
        <v>2679</v>
      </c>
      <c r="M58">
        <v>1101005</v>
      </c>
      <c r="N58" s="18">
        <f>VLOOKUP(M58,卡牌!$A$4:$C$39,3)</f>
        <v>4</v>
      </c>
      <c r="O58">
        <v>5</v>
      </c>
      <c r="P58" s="14" t="s">
        <v>763</v>
      </c>
      <c r="Q58" s="18">
        <f>ROUND(INDEX(挂机派遣!$AW$3:$BD$10,卡牌值!O58-1,2)*INDEX($W$5:$W$8,N58)/10,0)*10</f>
        <v>260</v>
      </c>
      <c r="R58" s="14" t="s">
        <v>806</v>
      </c>
      <c r="S58" s="18">
        <f>ROUND(INDEX(挂机派遣!$BA$3:$BC$10,O58-1,2) * INDEX($W$5:$W$8,N58)  /5,0)*5</f>
        <v>55</v>
      </c>
      <c r="V58" s="18">
        <f t="shared" si="18"/>
        <v>10000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</row>
    <row r="59" spans="1:28" ht="16.5" x14ac:dyDescent="0.2">
      <c r="A59" s="14">
        <v>42</v>
      </c>
      <c r="B59" s="14"/>
      <c r="C59" s="14">
        <v>42</v>
      </c>
      <c r="D59" s="26">
        <f t="shared" ref="D59:D67" si="19">C59/B$58</f>
        <v>9.2307692307692313E-2</v>
      </c>
      <c r="E59" s="14">
        <f t="shared" ref="E59:E67" si="20">ROUND(B$67*D59,0)</f>
        <v>2196</v>
      </c>
      <c r="F59" s="14">
        <f t="shared" si="16"/>
        <v>1098</v>
      </c>
      <c r="G59" s="14">
        <f t="shared" si="16"/>
        <v>1757</v>
      </c>
      <c r="H59" s="14">
        <f t="shared" si="16"/>
        <v>2196</v>
      </c>
      <c r="I59" s="14">
        <f t="shared" si="16"/>
        <v>2745</v>
      </c>
      <c r="M59">
        <v>1101005</v>
      </c>
      <c r="N59" s="18">
        <f>VLOOKUP(M59,卡牌!$A$4:$C$39,3)</f>
        <v>4</v>
      </c>
      <c r="O59">
        <v>6</v>
      </c>
      <c r="P59" s="14" t="s">
        <v>801</v>
      </c>
      <c r="Q59" s="18">
        <f>ROUND(INDEX(挂机派遣!$AW$3:$BD$10,卡牌值!O59-1,3)*INDEX($W$5:$W$8,N59)/10,0)*10</f>
        <v>160</v>
      </c>
      <c r="R59" s="14" t="s">
        <v>807</v>
      </c>
      <c r="S59" s="18">
        <f>ROUND(INDEX(挂机派遣!$BA$3:$BC$10,O59-1,2) * INDEX($W$5:$W$8,N59)  /5,0)*5</f>
        <v>140</v>
      </c>
      <c r="V59" s="18">
        <f t="shared" si="18"/>
        <v>14000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</row>
    <row r="60" spans="1:28" ht="16.5" x14ac:dyDescent="0.2">
      <c r="A60" s="14">
        <v>43</v>
      </c>
      <c r="B60" s="14"/>
      <c r="C60" s="14">
        <v>43</v>
      </c>
      <c r="D60" s="26">
        <f t="shared" si="19"/>
        <v>9.4505494505494503E-2</v>
      </c>
      <c r="E60" s="14">
        <f t="shared" si="20"/>
        <v>2248</v>
      </c>
      <c r="F60" s="14">
        <f t="shared" si="16"/>
        <v>1124</v>
      </c>
      <c r="G60" s="14">
        <f t="shared" si="16"/>
        <v>1798</v>
      </c>
      <c r="H60" s="14">
        <f t="shared" si="16"/>
        <v>2248</v>
      </c>
      <c r="I60" s="14">
        <f t="shared" si="16"/>
        <v>2810</v>
      </c>
      <c r="M60">
        <v>1101005</v>
      </c>
      <c r="N60" s="18">
        <f>VLOOKUP(M60,卡牌!$A$4:$C$39,3)</f>
        <v>4</v>
      </c>
      <c r="O60">
        <v>7</v>
      </c>
      <c r="P60" s="14" t="s">
        <v>802</v>
      </c>
      <c r="Q60" s="18">
        <f>ROUND(INDEX(挂机派遣!$AW$3:$BD$10,卡牌值!O60-1,3)*INDEX($W$5:$W$8,N60)/10,0)*10</f>
        <v>380</v>
      </c>
      <c r="R60" s="14" t="s">
        <v>808</v>
      </c>
      <c r="S60" s="18">
        <f>ROUND(INDEX(挂机派遣!$BA$3:$BC$10,O60-1,3) * INDEX($W$5:$W$8,N60)  /5,0)*5</f>
        <v>65</v>
      </c>
      <c r="V60" s="18">
        <f>ROUND(INDEX($E$5:$E$13,O60-1)*INDEX($W$5:$W$8,N60)/1000,0)*1000</f>
        <v>16000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</row>
    <row r="61" spans="1:28" ht="16.5" x14ac:dyDescent="0.2">
      <c r="A61" s="14">
        <v>44</v>
      </c>
      <c r="B61" s="14"/>
      <c r="C61" s="14">
        <v>44</v>
      </c>
      <c r="D61" s="26">
        <f t="shared" si="19"/>
        <v>9.6703296703296707E-2</v>
      </c>
      <c r="E61" s="14">
        <f t="shared" si="20"/>
        <v>2300</v>
      </c>
      <c r="F61" s="14">
        <f t="shared" si="16"/>
        <v>1150</v>
      </c>
      <c r="G61" s="14">
        <f t="shared" si="16"/>
        <v>1840</v>
      </c>
      <c r="H61" s="14">
        <f t="shared" si="16"/>
        <v>2300</v>
      </c>
      <c r="I61" s="14">
        <f t="shared" si="16"/>
        <v>2875</v>
      </c>
      <c r="M61">
        <v>1101005</v>
      </c>
      <c r="N61" s="18">
        <f>VLOOKUP(M61,卡牌!$A$4:$C$39,3)</f>
        <v>4</v>
      </c>
      <c r="O61">
        <v>8</v>
      </c>
      <c r="P61" s="14" t="s">
        <v>803</v>
      </c>
      <c r="Q61" s="18">
        <f>ROUND(INDEX(挂机派遣!$AW$3:$BD$10,卡牌值!O61-1,4)*INDEX($W$5:$W$8,N61)/10,0)*10</f>
        <v>130</v>
      </c>
      <c r="R61" s="14" t="s">
        <v>808</v>
      </c>
      <c r="S61" s="18">
        <f>ROUND(INDEX(挂机派遣!$BA$3:$BC$10,O61-1,3) * INDEX($W$5:$W$8,N61)  /5,0)*5</f>
        <v>90</v>
      </c>
      <c r="T61" s="18" t="str">
        <f>INDEX(卡牌!$H$4:$H$39,MATCH(卡牌值!M61,卡牌!$A$4:$A$39,0))</f>
        <v>水修身材料</v>
      </c>
      <c r="U61" s="18">
        <f>ROUND(INDEX(挂机派遣!$BD$3:$BD$10,O61-1)  *  INDEX($W$5:$W$8,N61)  /5,0)*5</f>
        <v>25</v>
      </c>
      <c r="V61" s="18">
        <f t="shared" ref="V61:V62" si="21">ROUND(INDEX($E$5:$E$13,O61-1)*INDEX($W$5:$W$8,N61)/1000,0)*1000</f>
        <v>29000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</row>
    <row r="62" spans="1:28" ht="16.5" x14ac:dyDescent="0.2">
      <c r="A62" s="14">
        <v>45</v>
      </c>
      <c r="B62" s="14"/>
      <c r="C62" s="14">
        <v>45</v>
      </c>
      <c r="D62" s="26">
        <f t="shared" si="19"/>
        <v>9.8901098901098897E-2</v>
      </c>
      <c r="E62" s="14">
        <f t="shared" si="20"/>
        <v>2353</v>
      </c>
      <c r="F62" s="14">
        <f t="shared" si="16"/>
        <v>1177</v>
      </c>
      <c r="G62" s="14">
        <f t="shared" si="16"/>
        <v>1882</v>
      </c>
      <c r="H62" s="14">
        <f t="shared" si="16"/>
        <v>2353</v>
      </c>
      <c r="I62" s="14">
        <f t="shared" si="16"/>
        <v>2941</v>
      </c>
      <c r="M62">
        <v>1101005</v>
      </c>
      <c r="N62" s="18">
        <f>VLOOKUP(M62,卡牌!$A$4:$C$39,3)</f>
        <v>4</v>
      </c>
      <c r="O62">
        <v>9</v>
      </c>
      <c r="P62" s="14" t="s">
        <v>804</v>
      </c>
      <c r="Q62" s="18">
        <f>ROUND(INDEX(挂机派遣!$AW$3:$BD$10,卡牌值!O62-1,4)*INDEX($W$5:$W$8,N62)/10,0)*10</f>
        <v>300</v>
      </c>
      <c r="R62" s="14" t="s">
        <v>808</v>
      </c>
      <c r="S62" s="18">
        <f>ROUND(INDEX(挂机派遣!$BA$3:$BC$10,O62-1,3) * INDEX($W$5:$W$8,N62)  /5,0)*5</f>
        <v>105</v>
      </c>
      <c r="T62" s="18" t="str">
        <f>INDEX(卡牌!$H$4:$H$39,MATCH(卡牌值!M62,卡牌!$A$4:$A$39,0))</f>
        <v>水修身材料</v>
      </c>
      <c r="U62" s="18">
        <f>ROUND(INDEX(挂机派遣!$BD$3:$BD$10,O62-1)  *  INDEX($W$5:$W$8,N62)  /5,0)*5</f>
        <v>95</v>
      </c>
      <c r="V62" s="18">
        <f t="shared" si="21"/>
        <v>57000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</row>
    <row r="63" spans="1:28" ht="16.5" x14ac:dyDescent="0.2">
      <c r="A63" s="14">
        <v>46</v>
      </c>
      <c r="B63" s="14"/>
      <c r="C63" s="14">
        <v>46</v>
      </c>
      <c r="D63" s="26">
        <f t="shared" si="19"/>
        <v>0.1010989010989011</v>
      </c>
      <c r="E63" s="14">
        <f t="shared" si="20"/>
        <v>2405</v>
      </c>
      <c r="F63" s="14">
        <f t="shared" si="16"/>
        <v>1203</v>
      </c>
      <c r="G63" s="14">
        <f t="shared" si="16"/>
        <v>1924</v>
      </c>
      <c r="H63" s="14">
        <f t="shared" si="16"/>
        <v>2405</v>
      </c>
      <c r="I63" s="14">
        <f t="shared" si="16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</row>
    <row r="64" spans="1:28" ht="16.5" x14ac:dyDescent="0.2">
      <c r="A64" s="14">
        <v>47</v>
      </c>
      <c r="B64" s="14"/>
      <c r="C64" s="14">
        <v>47</v>
      </c>
      <c r="D64" s="26">
        <f t="shared" si="19"/>
        <v>0.10329670329670329</v>
      </c>
      <c r="E64" s="14">
        <f t="shared" si="20"/>
        <v>2457</v>
      </c>
      <c r="F64" s="14">
        <f t="shared" si="16"/>
        <v>1229</v>
      </c>
      <c r="G64" s="14">
        <f t="shared" si="16"/>
        <v>1966</v>
      </c>
      <c r="H64" s="14">
        <f t="shared" si="16"/>
        <v>2457</v>
      </c>
      <c r="I64" s="14">
        <f t="shared" si="16"/>
        <v>3071</v>
      </c>
      <c r="M64">
        <v>1101006</v>
      </c>
      <c r="N64" s="18">
        <f>VLOOKUP(M64,卡牌!$A$4:$C$39,3)</f>
        <v>3</v>
      </c>
      <c r="O64">
        <v>2</v>
      </c>
      <c r="P64" s="14" t="s">
        <v>762</v>
      </c>
      <c r="Q64" s="18">
        <f>ROUND(INDEX(挂机派遣!$AW$3:$BD$10,卡牌值!O64-1,1)*INDEX($W$5:$W$8,N64)/10,0)*10</f>
        <v>60</v>
      </c>
      <c r="V64" s="18">
        <f>ROUND(INDEX($E$5:$E$13,O64-1)*INDEX($W$5:$W$8,N64)/50,0)*50</f>
        <v>750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</row>
    <row r="65" spans="1:28" ht="16.5" x14ac:dyDescent="0.2">
      <c r="A65" s="14">
        <v>48</v>
      </c>
      <c r="B65" s="14"/>
      <c r="C65" s="14">
        <v>48</v>
      </c>
      <c r="D65" s="26">
        <f t="shared" si="19"/>
        <v>0.10549450549450549</v>
      </c>
      <c r="E65" s="14">
        <f t="shared" si="20"/>
        <v>2509</v>
      </c>
      <c r="F65" s="14">
        <f t="shared" si="16"/>
        <v>1255</v>
      </c>
      <c r="G65" s="14">
        <f t="shared" si="16"/>
        <v>2007</v>
      </c>
      <c r="H65" s="14">
        <f t="shared" si="16"/>
        <v>2509</v>
      </c>
      <c r="I65" s="14">
        <f t="shared" si="16"/>
        <v>3136</v>
      </c>
      <c r="M65">
        <v>1101006</v>
      </c>
      <c r="N65" s="18">
        <f>VLOOKUP(M65,卡牌!$A$4:$C$39,3)</f>
        <v>3</v>
      </c>
      <c r="O65">
        <v>3</v>
      </c>
      <c r="P65" s="14" t="s">
        <v>762</v>
      </c>
      <c r="Q65" s="18">
        <f>ROUND(INDEX(挂机派遣!$AW$3:$BD$10,卡牌值!O65-1,1)*INDEX($W$5:$W$8,N65)/10,0)*10</f>
        <v>150</v>
      </c>
      <c r="R65" s="14" t="s">
        <v>805</v>
      </c>
      <c r="S65" s="18">
        <f>ROUND(INDEX(挂机派遣!$BA$3:$BC$10,O65-1,1) * INDEX($W$5:$W$8,N65)  /5,0)*5</f>
        <v>25</v>
      </c>
      <c r="V65" s="18">
        <f>ROUND(INDEX($E$5:$E$13,O65-1)*INDEX($W$5:$W$8,N65)/500,0)*500</f>
        <v>4000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</row>
    <row r="66" spans="1:28" ht="16.5" x14ac:dyDescent="0.2">
      <c r="A66" s="14">
        <v>49</v>
      </c>
      <c r="B66" s="14"/>
      <c r="C66" s="14">
        <v>49</v>
      </c>
      <c r="D66" s="26">
        <f t="shared" si="19"/>
        <v>0.1076923076923077</v>
      </c>
      <c r="E66" s="14">
        <f t="shared" si="20"/>
        <v>2562</v>
      </c>
      <c r="F66" s="14">
        <f t="shared" si="16"/>
        <v>1281</v>
      </c>
      <c r="G66" s="14">
        <f t="shared" si="16"/>
        <v>2050</v>
      </c>
      <c r="H66" s="14">
        <f t="shared" si="16"/>
        <v>2562</v>
      </c>
      <c r="I66" s="14">
        <f t="shared" si="16"/>
        <v>3203</v>
      </c>
      <c r="M66">
        <v>1101006</v>
      </c>
      <c r="N66" s="18">
        <f>VLOOKUP(M66,卡牌!$A$4:$C$39,3)</f>
        <v>3</v>
      </c>
      <c r="O66">
        <v>4</v>
      </c>
      <c r="P66" s="14" t="s">
        <v>800</v>
      </c>
      <c r="Q66" s="18">
        <f>ROUND(INDEX(挂机派遣!$AW$3:$BD$10,卡牌值!O66-1,2)*INDEX($W$5:$W$8,N66)/10,0)*10</f>
        <v>90</v>
      </c>
      <c r="R66" s="14" t="s">
        <v>805</v>
      </c>
      <c r="S66" s="18">
        <f>ROUND(INDEX(挂机派遣!$BA$3:$BC$10,O66-1,1) * INDEX($W$5:$W$8,N66)  /5,0)*5</f>
        <v>60</v>
      </c>
      <c r="V66" s="18">
        <f t="shared" ref="V66:V68" si="22">ROUND(INDEX($E$5:$E$13,O66-1)*INDEX($W$5:$W$8,N66)/500,0)*500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</row>
    <row r="67" spans="1:28" ht="16.5" x14ac:dyDescent="0.2">
      <c r="A67" s="14">
        <v>50</v>
      </c>
      <c r="B67" s="18">
        <f>D8</f>
        <v>23787</v>
      </c>
      <c r="C67" s="14">
        <v>50</v>
      </c>
      <c r="D67" s="26">
        <f t="shared" si="19"/>
        <v>0.10989010989010989</v>
      </c>
      <c r="E67" s="14">
        <f t="shared" si="20"/>
        <v>2614</v>
      </c>
      <c r="F67" s="14">
        <f t="shared" si="16"/>
        <v>1307</v>
      </c>
      <c r="G67" s="14">
        <f t="shared" si="16"/>
        <v>2091</v>
      </c>
      <c r="H67" s="14">
        <f t="shared" si="16"/>
        <v>2614</v>
      </c>
      <c r="I67" s="14">
        <f t="shared" si="16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763</v>
      </c>
      <c r="Q67" s="18">
        <f>ROUND(INDEX(挂机派遣!$AW$3:$BD$10,卡牌值!O67-1,2)*INDEX($W$5:$W$8,N67)/10,0)*10</f>
        <v>210</v>
      </c>
      <c r="R67" s="14" t="s">
        <v>806</v>
      </c>
      <c r="S67" s="18">
        <f>ROUND(INDEX(挂机派遣!$BA$3:$BC$10,O67-1,2) * INDEX($W$5:$W$8,N67)  /5,0)*5</f>
        <v>45</v>
      </c>
      <c r="V67" s="18">
        <f t="shared" si="22"/>
        <v>8000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</row>
    <row r="68" spans="1:28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6"/>
        <v>1737</v>
      </c>
      <c r="G68" s="14">
        <f t="shared" si="16"/>
        <v>2778</v>
      </c>
      <c r="H68" s="14">
        <f t="shared" si="16"/>
        <v>3473</v>
      </c>
      <c r="I68" s="14">
        <f t="shared" si="16"/>
        <v>4341</v>
      </c>
      <c r="M68">
        <v>1101006</v>
      </c>
      <c r="N68" s="18">
        <f>VLOOKUP(M68,卡牌!$A$4:$C$39,3)</f>
        <v>3</v>
      </c>
      <c r="O68">
        <v>6</v>
      </c>
      <c r="P68" s="14" t="s">
        <v>801</v>
      </c>
      <c r="Q68" s="18">
        <f>ROUND(INDEX(挂机派遣!$AW$3:$BD$10,卡牌值!O68-1,3)*INDEX($W$5:$W$8,N68)/10,0)*10</f>
        <v>130</v>
      </c>
      <c r="R68" s="14" t="s">
        <v>807</v>
      </c>
      <c r="S68" s="18">
        <f>ROUND(INDEX(挂机派遣!$BA$3:$BC$10,O68-1,2) * INDEX($W$5:$W$8,N68)  /5,0)*5</f>
        <v>110</v>
      </c>
      <c r="V68" s="18">
        <f t="shared" si="22"/>
        <v>11000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</row>
    <row r="69" spans="1:28" ht="16.5" x14ac:dyDescent="0.2">
      <c r="A69" s="14">
        <v>52</v>
      </c>
      <c r="B69" s="14"/>
      <c r="C69" s="14">
        <v>22</v>
      </c>
      <c r="D69" s="26">
        <f t="shared" ref="D69:D77" si="23">C69/B$68</f>
        <v>8.6274509803921567E-2</v>
      </c>
      <c r="E69" s="14">
        <f t="shared" ref="E69:E77" si="24">ROUND(B$77*D69,0)</f>
        <v>3639</v>
      </c>
      <c r="F69" s="14">
        <f t="shared" si="16"/>
        <v>1820</v>
      </c>
      <c r="G69" s="14">
        <f t="shared" si="16"/>
        <v>2911</v>
      </c>
      <c r="H69" s="14">
        <f t="shared" si="16"/>
        <v>3639</v>
      </c>
      <c r="I69" s="14">
        <f t="shared" si="16"/>
        <v>4549</v>
      </c>
      <c r="M69">
        <v>1101006</v>
      </c>
      <c r="N69" s="18">
        <f>VLOOKUP(M69,卡牌!$A$4:$C$39,3)</f>
        <v>3</v>
      </c>
      <c r="O69">
        <v>7</v>
      </c>
      <c r="P69" s="14" t="s">
        <v>802</v>
      </c>
      <c r="Q69" s="18">
        <f>ROUND(INDEX(挂机派遣!$AW$3:$BD$10,卡牌值!O69-1,3)*INDEX($W$5:$W$8,N69)/10,0)*10</f>
        <v>310</v>
      </c>
      <c r="R69" s="14" t="s">
        <v>808</v>
      </c>
      <c r="S69" s="18">
        <f>ROUND(INDEX(挂机派遣!$BA$3:$BC$10,O69-1,3) * INDEX($W$5:$W$8,N69)  /5,0)*5</f>
        <v>50</v>
      </c>
      <c r="V69" s="18">
        <f>ROUND(INDEX($E$5:$E$13,O69-1)*INDEX($W$5:$W$8,N69)/1000,0)*1000</f>
        <v>13000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</row>
    <row r="70" spans="1:28" ht="16.5" x14ac:dyDescent="0.2">
      <c r="A70" s="14">
        <v>53</v>
      </c>
      <c r="B70" s="14"/>
      <c r="C70" s="14">
        <v>23</v>
      </c>
      <c r="D70" s="26">
        <f t="shared" si="23"/>
        <v>9.0196078431372548E-2</v>
      </c>
      <c r="E70" s="14">
        <f t="shared" si="24"/>
        <v>3804</v>
      </c>
      <c r="F70" s="14">
        <f t="shared" si="16"/>
        <v>1902</v>
      </c>
      <c r="G70" s="14">
        <f t="shared" si="16"/>
        <v>3043</v>
      </c>
      <c r="H70" s="14">
        <f t="shared" si="16"/>
        <v>3804</v>
      </c>
      <c r="I70" s="14">
        <f t="shared" si="16"/>
        <v>4755</v>
      </c>
      <c r="M70">
        <v>1101006</v>
      </c>
      <c r="N70" s="18">
        <f>VLOOKUP(M70,卡牌!$A$4:$C$39,3)</f>
        <v>3</v>
      </c>
      <c r="O70">
        <v>8</v>
      </c>
      <c r="P70" s="14" t="s">
        <v>803</v>
      </c>
      <c r="Q70" s="18">
        <f>ROUND(INDEX(挂机派遣!$AW$3:$BD$10,卡牌值!O70-1,4)*INDEX($W$5:$W$8,N70)/10,0)*10</f>
        <v>110</v>
      </c>
      <c r="R70" s="14" t="s">
        <v>808</v>
      </c>
      <c r="S70" s="18">
        <f>ROUND(INDEX(挂机派遣!$BA$3:$BC$10,O70-1,3) * INDEX($W$5:$W$8,N70)  /5,0)*5</f>
        <v>70</v>
      </c>
      <c r="T70" s="18" t="str">
        <f>INDEX(卡牌!$H$4:$H$39,MATCH(卡牌值!M70,卡牌!$A$4:$A$39,0))</f>
        <v>火修身材料</v>
      </c>
      <c r="U70" s="18">
        <f>ROUND(INDEX(挂机派遣!$BD$3:$BD$10,O70-1)  *  INDEX($W$5:$W$8,N70)  /5,0)*5</f>
        <v>20</v>
      </c>
      <c r="V70" s="18">
        <f t="shared" ref="V70:V71" si="25">ROUND(INDEX($E$5:$E$13,O70-1)*INDEX($W$5:$W$8,N70)/1000,0)*1000</f>
        <v>23000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</row>
    <row r="71" spans="1:28" ht="16.5" x14ac:dyDescent="0.2">
      <c r="A71" s="14">
        <v>54</v>
      </c>
      <c r="B71" s="14"/>
      <c r="C71" s="14">
        <v>24</v>
      </c>
      <c r="D71" s="26">
        <f t="shared" si="23"/>
        <v>9.4117647058823528E-2</v>
      </c>
      <c r="E71" s="14">
        <f t="shared" si="24"/>
        <v>3970</v>
      </c>
      <c r="F71" s="14">
        <f t="shared" si="16"/>
        <v>1985</v>
      </c>
      <c r="G71" s="14">
        <f t="shared" si="16"/>
        <v>3176</v>
      </c>
      <c r="H71" s="14">
        <f t="shared" si="16"/>
        <v>3970</v>
      </c>
      <c r="I71" s="14">
        <f t="shared" si="16"/>
        <v>4963</v>
      </c>
      <c r="M71">
        <v>1101006</v>
      </c>
      <c r="N71" s="18">
        <f>VLOOKUP(M71,卡牌!$A$4:$C$39,3)</f>
        <v>3</v>
      </c>
      <c r="O71">
        <v>9</v>
      </c>
      <c r="P71" s="14" t="s">
        <v>804</v>
      </c>
      <c r="Q71" s="18">
        <f>ROUND(INDEX(挂机派遣!$AW$3:$BD$10,卡牌值!O71-1,4)*INDEX($W$5:$W$8,N71)/10,0)*10</f>
        <v>240</v>
      </c>
      <c r="R71" s="14" t="s">
        <v>808</v>
      </c>
      <c r="S71" s="18">
        <f>ROUND(INDEX(挂机派遣!$BA$3:$BC$10,O71-1,3) * INDEX($W$5:$W$8,N71)  /5,0)*5</f>
        <v>85</v>
      </c>
      <c r="T71" s="18" t="str">
        <f>INDEX(卡牌!$H$4:$H$39,MATCH(卡牌值!M71,卡牌!$A$4:$A$39,0))</f>
        <v>火修身材料</v>
      </c>
      <c r="U71" s="18">
        <f>ROUND(INDEX(挂机派遣!$BD$3:$BD$10,O71-1)  *  INDEX($W$5:$W$8,N71)  /5,0)*5</f>
        <v>75</v>
      </c>
      <c r="V71" s="18">
        <f t="shared" si="25"/>
        <v>46000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</row>
    <row r="72" spans="1:28" ht="16.5" x14ac:dyDescent="0.2">
      <c r="A72" s="14">
        <v>55</v>
      </c>
      <c r="B72" s="14"/>
      <c r="C72" s="14">
        <v>25</v>
      </c>
      <c r="D72" s="26">
        <f t="shared" si="23"/>
        <v>9.8039215686274508E-2</v>
      </c>
      <c r="E72" s="14">
        <f t="shared" si="24"/>
        <v>4135</v>
      </c>
      <c r="F72" s="14">
        <f t="shared" si="16"/>
        <v>2068</v>
      </c>
      <c r="G72" s="14">
        <f t="shared" si="16"/>
        <v>3308</v>
      </c>
      <c r="H72" s="14">
        <f t="shared" si="16"/>
        <v>4135</v>
      </c>
      <c r="I72" s="14">
        <f t="shared" si="16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</row>
    <row r="73" spans="1:28" ht="16.5" x14ac:dyDescent="0.2">
      <c r="A73" s="14">
        <v>56</v>
      </c>
      <c r="B73" s="14"/>
      <c r="C73" s="14">
        <v>26</v>
      </c>
      <c r="D73" s="26">
        <f t="shared" si="23"/>
        <v>0.10196078431372549</v>
      </c>
      <c r="E73" s="14">
        <f t="shared" si="24"/>
        <v>4300</v>
      </c>
      <c r="F73" s="14">
        <f t="shared" si="16"/>
        <v>2150</v>
      </c>
      <c r="G73" s="14">
        <f t="shared" si="16"/>
        <v>3440</v>
      </c>
      <c r="H73" s="14">
        <f t="shared" si="16"/>
        <v>4300</v>
      </c>
      <c r="I73" s="14">
        <f t="shared" si="16"/>
        <v>5375</v>
      </c>
      <c r="M73">
        <v>1101007</v>
      </c>
      <c r="N73" s="18">
        <f>VLOOKUP(M73,卡牌!$A$4:$C$39,3)</f>
        <v>4</v>
      </c>
      <c r="O73">
        <v>2</v>
      </c>
      <c r="P73" s="14" t="s">
        <v>762</v>
      </c>
      <c r="Q73" s="18">
        <f>ROUND(INDEX(挂机派遣!$AW$3:$BD$10,卡牌值!O73-1,1)*INDEX($W$5:$W$8,N73)/10,0)*10</f>
        <v>80</v>
      </c>
      <c r="V73" s="18">
        <f>ROUND(INDEX($E$5:$E$13,O73-1)*INDEX($W$5:$W$8,N73)/50,0)*50</f>
        <v>950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</row>
    <row r="74" spans="1:28" ht="16.5" x14ac:dyDescent="0.2">
      <c r="A74" s="14">
        <v>57</v>
      </c>
      <c r="B74" s="14"/>
      <c r="C74" s="14">
        <v>27</v>
      </c>
      <c r="D74" s="26">
        <f t="shared" si="23"/>
        <v>0.10588235294117647</v>
      </c>
      <c r="E74" s="14">
        <f t="shared" si="24"/>
        <v>4466</v>
      </c>
      <c r="F74" s="14">
        <f t="shared" si="16"/>
        <v>2233</v>
      </c>
      <c r="G74" s="14">
        <f t="shared" si="16"/>
        <v>3573</v>
      </c>
      <c r="H74" s="14">
        <f t="shared" si="16"/>
        <v>4466</v>
      </c>
      <c r="I74" s="14">
        <f t="shared" si="16"/>
        <v>5583</v>
      </c>
      <c r="M74">
        <v>1101007</v>
      </c>
      <c r="N74" s="18">
        <f>VLOOKUP(M74,卡牌!$A$4:$C$39,3)</f>
        <v>4</v>
      </c>
      <c r="O74">
        <v>3</v>
      </c>
      <c r="P74" s="14" t="s">
        <v>762</v>
      </c>
      <c r="Q74" s="18">
        <f>ROUND(INDEX(挂机派遣!$AW$3:$BD$10,卡牌值!O74-1,1)*INDEX($W$5:$W$8,N74)/10,0)*10</f>
        <v>180</v>
      </c>
      <c r="R74" s="14" t="s">
        <v>805</v>
      </c>
      <c r="S74" s="18">
        <f>ROUND(INDEX(挂机派遣!$BA$3:$BC$10,O74-1,1) * INDEX($W$5:$W$8,N74)  /5,0)*5</f>
        <v>30</v>
      </c>
      <c r="V74" s="18">
        <f>ROUND(INDEX($E$5:$E$13,O74-1)*INDEX($W$5:$W$8,N74)/500,0)*500</f>
        <v>5000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</row>
    <row r="75" spans="1:28" ht="16.5" x14ac:dyDescent="0.2">
      <c r="A75" s="14">
        <v>58</v>
      </c>
      <c r="B75" s="14"/>
      <c r="C75" s="14">
        <v>28</v>
      </c>
      <c r="D75" s="26">
        <f t="shared" si="23"/>
        <v>0.10980392156862745</v>
      </c>
      <c r="E75" s="14">
        <f t="shared" si="24"/>
        <v>4631</v>
      </c>
      <c r="F75" s="14">
        <f t="shared" si="16"/>
        <v>2316</v>
      </c>
      <c r="G75" s="14">
        <f t="shared" si="16"/>
        <v>3705</v>
      </c>
      <c r="H75" s="14">
        <f t="shared" si="16"/>
        <v>4631</v>
      </c>
      <c r="I75" s="14">
        <f t="shared" si="16"/>
        <v>5789</v>
      </c>
      <c r="M75">
        <v>1101007</v>
      </c>
      <c r="N75" s="18">
        <f>VLOOKUP(M75,卡牌!$A$4:$C$39,3)</f>
        <v>4</v>
      </c>
      <c r="O75">
        <v>4</v>
      </c>
      <c r="P75" s="14" t="s">
        <v>800</v>
      </c>
      <c r="Q75" s="18">
        <f>ROUND(INDEX(挂机派遣!$AW$3:$BD$10,卡牌值!O75-1,2)*INDEX($W$5:$W$8,N75)/10,0)*10</f>
        <v>110</v>
      </c>
      <c r="R75" s="14" t="s">
        <v>805</v>
      </c>
      <c r="S75" s="18">
        <f>ROUND(INDEX(挂机派遣!$BA$3:$BC$10,O75-1,1) * INDEX($W$5:$W$8,N75)  /5,0)*5</f>
        <v>75</v>
      </c>
      <c r="V75" s="18">
        <f t="shared" ref="V75:V77" si="26">ROUND(INDEX($E$5:$E$13,O75-1)*INDEX($W$5:$W$8,N75)/500,0)*500</f>
        <v>7000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</row>
    <row r="76" spans="1:28" ht="16.5" x14ac:dyDescent="0.2">
      <c r="A76" s="14">
        <v>59</v>
      </c>
      <c r="B76" s="14"/>
      <c r="C76" s="14">
        <v>29</v>
      </c>
      <c r="D76" s="26">
        <f t="shared" si="23"/>
        <v>0.11372549019607843</v>
      </c>
      <c r="E76" s="14">
        <f t="shared" si="24"/>
        <v>4797</v>
      </c>
      <c r="F76" s="14">
        <f t="shared" si="16"/>
        <v>2399</v>
      </c>
      <c r="G76" s="14">
        <f t="shared" si="16"/>
        <v>3838</v>
      </c>
      <c r="H76" s="14">
        <f t="shared" si="16"/>
        <v>4797</v>
      </c>
      <c r="I76" s="14">
        <f t="shared" si="16"/>
        <v>5996</v>
      </c>
      <c r="M76">
        <v>1101007</v>
      </c>
      <c r="N76" s="18">
        <f>VLOOKUP(M76,卡牌!$A$4:$C$39,3)</f>
        <v>4</v>
      </c>
      <c r="O76">
        <v>5</v>
      </c>
      <c r="P76" s="14" t="s">
        <v>763</v>
      </c>
      <c r="Q76" s="18">
        <f>ROUND(INDEX(挂机派遣!$AW$3:$BD$10,卡牌值!O76-1,2)*INDEX($W$5:$W$8,N76)/10,0)*10</f>
        <v>260</v>
      </c>
      <c r="R76" s="14" t="s">
        <v>806</v>
      </c>
      <c r="S76" s="18">
        <f>ROUND(INDEX(挂机派遣!$BA$3:$BC$10,O76-1,2) * INDEX($W$5:$W$8,N76)  /5,0)*5</f>
        <v>55</v>
      </c>
      <c r="V76" s="18">
        <f t="shared" si="26"/>
        <v>10000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</row>
    <row r="77" spans="1:28" ht="16.5" x14ac:dyDescent="0.2">
      <c r="A77" s="14">
        <v>60</v>
      </c>
      <c r="B77" s="18">
        <f>D9</f>
        <v>42177</v>
      </c>
      <c r="C77" s="14">
        <v>30</v>
      </c>
      <c r="D77" s="26">
        <f t="shared" si="23"/>
        <v>0.11764705882352941</v>
      </c>
      <c r="E77" s="14">
        <f t="shared" si="24"/>
        <v>4962</v>
      </c>
      <c r="F77" s="14">
        <f t="shared" si="16"/>
        <v>2481</v>
      </c>
      <c r="G77" s="14">
        <f t="shared" si="16"/>
        <v>3970</v>
      </c>
      <c r="H77" s="14">
        <f t="shared" si="16"/>
        <v>4962</v>
      </c>
      <c r="I77" s="14">
        <f t="shared" si="16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801</v>
      </c>
      <c r="Q77" s="18">
        <f>ROUND(INDEX(挂机派遣!$AW$3:$BD$10,卡牌值!O77-1,3)*INDEX($W$5:$W$8,N77)/10,0)*10</f>
        <v>160</v>
      </c>
      <c r="R77" s="14" t="s">
        <v>807</v>
      </c>
      <c r="S77" s="18">
        <f>ROUND(INDEX(挂机派遣!$BA$3:$BC$10,O77-1,2) * INDEX($W$5:$W$8,N77)  /5,0)*5</f>
        <v>140</v>
      </c>
      <c r="V77" s="18">
        <f t="shared" si="26"/>
        <v>14000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</row>
    <row r="78" spans="1:28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6"/>
        <v>3143</v>
      </c>
      <c r="G78" s="14">
        <f t="shared" si="16"/>
        <v>5028</v>
      </c>
      <c r="H78" s="14">
        <f t="shared" si="16"/>
        <v>6285</v>
      </c>
      <c r="I78" s="14">
        <f t="shared" si="16"/>
        <v>7856</v>
      </c>
      <c r="M78">
        <v>1101007</v>
      </c>
      <c r="N78" s="18">
        <f>VLOOKUP(M78,卡牌!$A$4:$C$39,3)</f>
        <v>4</v>
      </c>
      <c r="O78">
        <v>7</v>
      </c>
      <c r="P78" s="14" t="s">
        <v>802</v>
      </c>
      <c r="Q78" s="18">
        <f>ROUND(INDEX(挂机派遣!$AW$3:$BD$10,卡牌值!O78-1,3)*INDEX($W$5:$W$8,N78)/10,0)*10</f>
        <v>380</v>
      </c>
      <c r="R78" s="14" t="s">
        <v>808</v>
      </c>
      <c r="S78" s="18">
        <f>ROUND(INDEX(挂机派遣!$BA$3:$BC$10,O78-1,3) * INDEX($W$5:$W$8,N78)  /5,0)*5</f>
        <v>65</v>
      </c>
      <c r="V78" s="18">
        <f>ROUND(INDEX($E$5:$E$13,O78-1)*INDEX($W$5:$W$8,N78)/1000,0)*1000</f>
        <v>16000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</row>
    <row r="79" spans="1:28" ht="16.5" x14ac:dyDescent="0.2">
      <c r="A79" s="14">
        <v>62</v>
      </c>
      <c r="B79" s="14"/>
      <c r="C79" s="14">
        <v>32</v>
      </c>
      <c r="D79" s="26">
        <f t="shared" ref="D79:D87" si="27">C79/B$78</f>
        <v>9.014084507042254E-2</v>
      </c>
      <c r="E79" s="14">
        <f t="shared" ref="E79:E87" si="28">ROUND(B$87*D79,0)</f>
        <v>6488</v>
      </c>
      <c r="F79" s="14">
        <f t="shared" si="16"/>
        <v>3244</v>
      </c>
      <c r="G79" s="14">
        <f t="shared" si="16"/>
        <v>5190</v>
      </c>
      <c r="H79" s="14">
        <f t="shared" si="16"/>
        <v>6488</v>
      </c>
      <c r="I79" s="14">
        <f t="shared" si="16"/>
        <v>8110</v>
      </c>
      <c r="M79">
        <v>1101007</v>
      </c>
      <c r="N79" s="18">
        <f>VLOOKUP(M79,卡牌!$A$4:$C$39,3)</f>
        <v>4</v>
      </c>
      <c r="O79">
        <v>8</v>
      </c>
      <c r="P79" s="14" t="s">
        <v>803</v>
      </c>
      <c r="Q79" s="18">
        <f>ROUND(INDEX(挂机派遣!$AW$3:$BD$10,卡牌值!O79-1,4)*INDEX($W$5:$W$8,N79)/10,0)*10</f>
        <v>130</v>
      </c>
      <c r="R79" s="14" t="s">
        <v>808</v>
      </c>
      <c r="S79" s="18">
        <f>ROUND(INDEX(挂机派遣!$BA$3:$BC$10,O79-1,3) * INDEX($W$5:$W$8,N79)  /5,0)*5</f>
        <v>90</v>
      </c>
      <c r="T79" s="18" t="str">
        <f>INDEX(卡牌!$H$4:$H$39,MATCH(卡牌值!M79,卡牌!$A$4:$A$39,0))</f>
        <v>火修身材料</v>
      </c>
      <c r="U79" s="18">
        <f>ROUND(INDEX(挂机派遣!$BD$3:$BD$10,O79-1)  *  INDEX($W$5:$W$8,N79)  /5,0)*5</f>
        <v>25</v>
      </c>
      <c r="V79" s="18">
        <f t="shared" ref="V79:V80" si="29">ROUND(INDEX($E$5:$E$13,O79-1)*INDEX($W$5:$W$8,N79)/1000,0)*1000</f>
        <v>29000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</row>
    <row r="80" spans="1:28" ht="16.5" x14ac:dyDescent="0.2">
      <c r="A80" s="14">
        <v>63</v>
      </c>
      <c r="B80" s="14"/>
      <c r="C80" s="14">
        <v>33</v>
      </c>
      <c r="D80" s="26">
        <f t="shared" si="27"/>
        <v>9.295774647887324E-2</v>
      </c>
      <c r="E80" s="14">
        <f t="shared" si="28"/>
        <v>6691</v>
      </c>
      <c r="F80" s="14">
        <f t="shared" si="16"/>
        <v>3346</v>
      </c>
      <c r="G80" s="14">
        <f t="shared" si="16"/>
        <v>5353</v>
      </c>
      <c r="H80" s="14">
        <f t="shared" si="16"/>
        <v>6691</v>
      </c>
      <c r="I80" s="14">
        <f t="shared" si="16"/>
        <v>8364</v>
      </c>
      <c r="M80">
        <v>1101007</v>
      </c>
      <c r="N80" s="18">
        <f>VLOOKUP(M80,卡牌!$A$4:$C$39,3)</f>
        <v>4</v>
      </c>
      <c r="O80">
        <v>9</v>
      </c>
      <c r="P80" s="14" t="s">
        <v>804</v>
      </c>
      <c r="Q80" s="18">
        <f>ROUND(INDEX(挂机派遣!$AW$3:$BD$10,卡牌值!O80-1,4)*INDEX($W$5:$W$8,N80)/10,0)*10</f>
        <v>300</v>
      </c>
      <c r="R80" s="14" t="s">
        <v>808</v>
      </c>
      <c r="S80" s="18">
        <f>ROUND(INDEX(挂机派遣!$BA$3:$BC$10,O80-1,3) * INDEX($W$5:$W$8,N80)  /5,0)*5</f>
        <v>105</v>
      </c>
      <c r="T80" s="18" t="str">
        <f>INDEX(卡牌!$H$4:$H$39,MATCH(卡牌值!M80,卡牌!$A$4:$A$39,0))</f>
        <v>火修身材料</v>
      </c>
      <c r="U80" s="18">
        <f>ROUND(INDEX(挂机派遣!$BD$3:$BD$10,O80-1)  *  INDEX($W$5:$W$8,N80)  /5,0)*5</f>
        <v>95</v>
      </c>
      <c r="V80" s="18">
        <f t="shared" si="29"/>
        <v>57000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</row>
    <row r="81" spans="1:28" ht="16.5" x14ac:dyDescent="0.2">
      <c r="A81" s="14">
        <v>64</v>
      </c>
      <c r="B81" s="14"/>
      <c r="C81" s="14">
        <v>34</v>
      </c>
      <c r="D81" s="26">
        <f t="shared" si="27"/>
        <v>9.5774647887323941E-2</v>
      </c>
      <c r="E81" s="14">
        <f t="shared" si="28"/>
        <v>6893</v>
      </c>
      <c r="F81" s="14">
        <f t="shared" si="16"/>
        <v>3447</v>
      </c>
      <c r="G81" s="14">
        <f t="shared" si="16"/>
        <v>5514</v>
      </c>
      <c r="H81" s="14">
        <f t="shared" si="16"/>
        <v>6893</v>
      </c>
      <c r="I81" s="14">
        <f t="shared" si="16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</row>
    <row r="82" spans="1:28" ht="16.5" x14ac:dyDescent="0.2">
      <c r="A82" s="14">
        <v>65</v>
      </c>
      <c r="B82" s="14"/>
      <c r="C82" s="14">
        <v>35</v>
      </c>
      <c r="D82" s="26">
        <f t="shared" si="27"/>
        <v>9.8591549295774641E-2</v>
      </c>
      <c r="E82" s="14">
        <f t="shared" si="28"/>
        <v>7096</v>
      </c>
      <c r="F82" s="14">
        <f t="shared" si="16"/>
        <v>3548</v>
      </c>
      <c r="G82" s="14">
        <f t="shared" si="16"/>
        <v>5677</v>
      </c>
      <c r="H82" s="14">
        <f t="shared" si="16"/>
        <v>7096</v>
      </c>
      <c r="I82" s="14">
        <f t="shared" si="16"/>
        <v>8870</v>
      </c>
      <c r="M82">
        <v>1101008</v>
      </c>
      <c r="N82" s="18">
        <f>VLOOKUP(M82,卡牌!$A$4:$C$39,3)</f>
        <v>2</v>
      </c>
      <c r="O82">
        <v>2</v>
      </c>
      <c r="P82" s="14" t="s">
        <v>762</v>
      </c>
      <c r="Q82" s="18">
        <f>ROUND(INDEX(挂机派遣!$AW$3:$BD$10,卡牌值!O82-1,1)*INDEX($W$5:$W$8,N82)/10,0)*10</f>
        <v>50</v>
      </c>
      <c r="V82" s="18">
        <f>ROUND(INDEX($E$5:$E$13,O82-1)*INDEX($W$5:$W$8,N82)/50,0)*50</f>
        <v>600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</row>
    <row r="83" spans="1:28" ht="16.5" x14ac:dyDescent="0.2">
      <c r="A83" s="14">
        <v>66</v>
      </c>
      <c r="B83" s="14"/>
      <c r="C83" s="14">
        <v>36</v>
      </c>
      <c r="D83" s="26">
        <f t="shared" si="27"/>
        <v>0.10140845070422536</v>
      </c>
      <c r="E83" s="14">
        <f t="shared" si="28"/>
        <v>7299</v>
      </c>
      <c r="F83" s="14">
        <f t="shared" ref="F83:I108" si="30">ROUND($E83*F$15,0)</f>
        <v>3650</v>
      </c>
      <c r="G83" s="14">
        <f t="shared" si="30"/>
        <v>5839</v>
      </c>
      <c r="H83" s="14">
        <f t="shared" si="30"/>
        <v>7299</v>
      </c>
      <c r="I83" s="14">
        <f t="shared" si="30"/>
        <v>9124</v>
      </c>
      <c r="M83">
        <v>1101008</v>
      </c>
      <c r="N83" s="18">
        <f>VLOOKUP(M83,卡牌!$A$4:$C$39,3)</f>
        <v>2</v>
      </c>
      <c r="O83">
        <v>3</v>
      </c>
      <c r="P83" s="14" t="s">
        <v>762</v>
      </c>
      <c r="Q83" s="18">
        <f>ROUND(INDEX(挂机派遣!$AW$3:$BD$10,卡牌值!O83-1,1)*INDEX($W$5:$W$8,N83)/10,0)*10</f>
        <v>120</v>
      </c>
      <c r="R83" s="14" t="s">
        <v>805</v>
      </c>
      <c r="S83" s="18">
        <f>ROUND(INDEX(挂机派遣!$BA$3:$BC$10,O83-1,1) * INDEX($W$5:$W$8,N83)  /5,0)*5</f>
        <v>20</v>
      </c>
      <c r="V83" s="18">
        <f>ROUND(INDEX($E$5:$E$13,O83-1)*INDEX($W$5:$W$8,N83)/500,0)*500</f>
        <v>3500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31">MOD(X83-1,5)+1</f>
        <v>1</v>
      </c>
      <c r="AB83" s="18">
        <f>INDEX(金币汇总!$W$8:$Z$12,卡牌值!AA83,卡牌值!Z83)</f>
        <v>1000</v>
      </c>
    </row>
    <row r="84" spans="1:28" ht="16.5" x14ac:dyDescent="0.2">
      <c r="A84" s="14">
        <v>67</v>
      </c>
      <c r="B84" s="14"/>
      <c r="C84" s="14">
        <v>37</v>
      </c>
      <c r="D84" s="26">
        <f t="shared" si="27"/>
        <v>0.10422535211267606</v>
      </c>
      <c r="E84" s="14">
        <f t="shared" si="28"/>
        <v>7502</v>
      </c>
      <c r="F84" s="14">
        <f t="shared" si="30"/>
        <v>3751</v>
      </c>
      <c r="G84" s="14">
        <f t="shared" si="30"/>
        <v>6002</v>
      </c>
      <c r="H84" s="14">
        <f t="shared" si="30"/>
        <v>7502</v>
      </c>
      <c r="I84" s="14">
        <f t="shared" si="30"/>
        <v>9378</v>
      </c>
      <c r="M84">
        <v>1101008</v>
      </c>
      <c r="N84" s="18">
        <f>VLOOKUP(M84,卡牌!$A$4:$C$39,3)</f>
        <v>2</v>
      </c>
      <c r="O84">
        <v>4</v>
      </c>
      <c r="P84" s="14" t="s">
        <v>800</v>
      </c>
      <c r="Q84" s="18">
        <f>ROUND(INDEX(挂机派遣!$AW$3:$BD$10,卡牌值!O84-1,2)*INDEX($W$5:$W$8,N84)/10,0)*10</f>
        <v>70</v>
      </c>
      <c r="R84" s="14" t="s">
        <v>805</v>
      </c>
      <c r="S84" s="18">
        <f>ROUND(INDEX(挂机派遣!$BA$3:$BC$10,O84-1,1) * INDEX($W$5:$W$8,N84)  /5,0)*5</f>
        <v>50</v>
      </c>
      <c r="V84" s="18">
        <f t="shared" ref="V84:V86" si="32">ROUND(INDEX($E$5:$E$13,O84-1)*INDEX($W$5:$W$8,N84)/500,0)*500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31"/>
        <v>2</v>
      </c>
      <c r="AB84" s="18">
        <f>INDEX(金币汇总!$W$8:$Z$12,卡牌值!AA84,卡牌值!Z84)</f>
        <v>2500</v>
      </c>
    </row>
    <row r="85" spans="1:28" ht="16.5" x14ac:dyDescent="0.2">
      <c r="A85" s="14">
        <v>68</v>
      </c>
      <c r="B85" s="14"/>
      <c r="C85" s="14">
        <v>38</v>
      </c>
      <c r="D85" s="26">
        <f t="shared" si="27"/>
        <v>0.10704225352112676</v>
      </c>
      <c r="E85" s="14">
        <f t="shared" si="28"/>
        <v>7704</v>
      </c>
      <c r="F85" s="14">
        <f t="shared" si="30"/>
        <v>3852</v>
      </c>
      <c r="G85" s="14">
        <f t="shared" si="30"/>
        <v>6163</v>
      </c>
      <c r="H85" s="14">
        <f t="shared" si="30"/>
        <v>7704</v>
      </c>
      <c r="I85" s="14">
        <f t="shared" si="30"/>
        <v>9630</v>
      </c>
      <c r="M85">
        <v>1101008</v>
      </c>
      <c r="N85" s="18">
        <f>VLOOKUP(M85,卡牌!$A$4:$C$39,3)</f>
        <v>2</v>
      </c>
      <c r="O85">
        <v>5</v>
      </c>
      <c r="P85" s="14" t="s">
        <v>763</v>
      </c>
      <c r="Q85" s="18">
        <f>ROUND(INDEX(挂机派遣!$AW$3:$BD$10,卡牌值!O85-1,2)*INDEX($W$5:$W$8,N85)/10,0)*10</f>
        <v>160</v>
      </c>
      <c r="R85" s="14" t="s">
        <v>806</v>
      </c>
      <c r="S85" s="18">
        <f>ROUND(INDEX(挂机派遣!$BA$3:$BC$10,O85-1,2) * INDEX($W$5:$W$8,N85)  /5,0)*5</f>
        <v>35</v>
      </c>
      <c r="V85" s="18">
        <f t="shared" si="32"/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31"/>
        <v>3</v>
      </c>
      <c r="AB85" s="18">
        <f>INDEX(金币汇总!$W$8:$Z$12,卡牌值!AA85,卡牌值!Z85)</f>
        <v>4500</v>
      </c>
    </row>
    <row r="86" spans="1:28" ht="16.5" x14ac:dyDescent="0.2">
      <c r="A86" s="14">
        <v>69</v>
      </c>
      <c r="C86" s="14">
        <v>39</v>
      </c>
      <c r="D86" s="26">
        <f t="shared" si="27"/>
        <v>0.10985915492957747</v>
      </c>
      <c r="E86" s="14">
        <f t="shared" si="28"/>
        <v>7907</v>
      </c>
      <c r="F86" s="14">
        <f t="shared" si="30"/>
        <v>3954</v>
      </c>
      <c r="G86" s="14">
        <f t="shared" si="30"/>
        <v>6326</v>
      </c>
      <c r="H86" s="14">
        <f t="shared" si="30"/>
        <v>7907</v>
      </c>
      <c r="I86" s="14">
        <f t="shared" si="30"/>
        <v>9884</v>
      </c>
      <c r="M86">
        <v>1101008</v>
      </c>
      <c r="N86" s="18">
        <f>VLOOKUP(M86,卡牌!$A$4:$C$39,3)</f>
        <v>2</v>
      </c>
      <c r="O86">
        <v>6</v>
      </c>
      <c r="P86" s="14" t="s">
        <v>801</v>
      </c>
      <c r="Q86" s="18">
        <f>ROUND(INDEX(挂机派遣!$AW$3:$BD$10,卡牌值!O86-1,3)*INDEX($W$5:$W$8,N86)/10,0)*10</f>
        <v>100</v>
      </c>
      <c r="R86" s="14" t="s">
        <v>807</v>
      </c>
      <c r="S86" s="18">
        <f>ROUND(INDEX(挂机派遣!$BA$3:$BC$10,O86-1,2) * INDEX($W$5:$W$8,N86)  /5,0)*5</f>
        <v>90</v>
      </c>
      <c r="V86" s="18">
        <f t="shared" si="32"/>
        <v>9000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31"/>
        <v>4</v>
      </c>
      <c r="AB86" s="18">
        <f>INDEX(金币汇总!$W$8:$Z$12,卡牌值!AA86,卡牌值!Z86)</f>
        <v>7000</v>
      </c>
    </row>
    <row r="87" spans="1:28" ht="16.5" x14ac:dyDescent="0.2">
      <c r="A87" s="14">
        <v>70</v>
      </c>
      <c r="B87" s="18">
        <f>D10</f>
        <v>71975</v>
      </c>
      <c r="C87" s="14">
        <v>40</v>
      </c>
      <c r="D87" s="26">
        <f t="shared" si="27"/>
        <v>0.11267605633802817</v>
      </c>
      <c r="E87" s="14">
        <f t="shared" si="28"/>
        <v>8110</v>
      </c>
      <c r="F87" s="14">
        <f t="shared" si="30"/>
        <v>4055</v>
      </c>
      <c r="G87" s="14">
        <f t="shared" si="30"/>
        <v>6488</v>
      </c>
      <c r="H87" s="14">
        <f t="shared" si="30"/>
        <v>8110</v>
      </c>
      <c r="I87" s="14">
        <f t="shared" si="30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802</v>
      </c>
      <c r="Q87" s="18">
        <f>ROUND(INDEX(挂机派遣!$AW$3:$BD$10,卡牌值!O87-1,3)*INDEX($W$5:$W$8,N87)/10,0)*10</f>
        <v>240</v>
      </c>
      <c r="R87" s="14" t="s">
        <v>808</v>
      </c>
      <c r="S87" s="18">
        <f>ROUND(INDEX(挂机派遣!$BA$3:$BC$10,O87-1,3) * INDEX($W$5:$W$8,N87)  /5,0)*5</f>
        <v>40</v>
      </c>
      <c r="V87" s="18">
        <f>ROUND(INDEX($E$5:$E$13,O87-1)*INDEX($W$5:$W$8,N87)/1000,0)*1000</f>
        <v>10000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31"/>
        <v>5</v>
      </c>
      <c r="AB87" s="18">
        <f>INDEX(金币汇总!$W$8:$Z$12,卡牌值!AA87,卡牌值!Z87)</f>
        <v>9000</v>
      </c>
    </row>
    <row r="88" spans="1:28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30"/>
        <v>4989</v>
      </c>
      <c r="G88" s="14">
        <f t="shared" si="30"/>
        <v>7982</v>
      </c>
      <c r="H88" s="14">
        <f t="shared" si="30"/>
        <v>9978</v>
      </c>
      <c r="I88" s="14">
        <f t="shared" si="30"/>
        <v>12473</v>
      </c>
      <c r="M88">
        <v>1101008</v>
      </c>
      <c r="N88" s="18">
        <f>VLOOKUP(M88,卡牌!$A$4:$C$39,3)</f>
        <v>2</v>
      </c>
      <c r="O88">
        <v>8</v>
      </c>
      <c r="P88" s="14" t="s">
        <v>803</v>
      </c>
      <c r="Q88" s="18">
        <f>ROUND(INDEX(挂机派遣!$AW$3:$BD$10,卡牌值!O88-1,4)*INDEX($W$5:$W$8,N88)/10,0)*10</f>
        <v>80</v>
      </c>
      <c r="R88" s="14" t="s">
        <v>808</v>
      </c>
      <c r="S88" s="18">
        <f>ROUND(INDEX(挂机派遣!$BA$3:$BC$10,O88-1,3) * INDEX($W$5:$W$8,N88)  /5,0)*5</f>
        <v>55</v>
      </c>
      <c r="T88" s="18" t="str">
        <f>INDEX(卡牌!$H$4:$H$39,MATCH(卡牌值!M88,卡牌!$A$4:$A$39,0))</f>
        <v>土修身材料</v>
      </c>
      <c r="U88" s="18">
        <f>ROUND(INDEX(挂机派遣!$BD$3:$BD$10,O88-1)  *  INDEX($W$5:$W$8,N88)  /5,0)*5</f>
        <v>15</v>
      </c>
      <c r="V88" s="18">
        <f t="shared" ref="V88:V89" si="33">ROUND(INDEX($E$5:$E$13,O88-1)*INDEX($W$5:$W$8,N88)/1000,0)*1000</f>
        <v>19000</v>
      </c>
      <c r="X88">
        <v>71</v>
      </c>
      <c r="Y88" s="18">
        <f>INDEX(卡牌!$A$4:$A$39,(卡牌值!X88-1)/5+1)</f>
        <v>1101015</v>
      </c>
      <c r="Z88" s="18">
        <f>VLOOKUP(Y88,卡牌!$A$4:$C$39,3)</f>
        <v>2</v>
      </c>
      <c r="AA88" s="18">
        <f t="shared" si="31"/>
        <v>1</v>
      </c>
      <c r="AB88" s="18">
        <f>INDEX(金币汇总!$W$8:$Z$12,卡牌值!AA88,卡牌值!Z88)</f>
        <v>1000</v>
      </c>
    </row>
    <row r="89" spans="1:28" ht="16.5" x14ac:dyDescent="0.2">
      <c r="A89" s="14">
        <v>72</v>
      </c>
      <c r="B89" s="14"/>
      <c r="C89" s="14">
        <v>12</v>
      </c>
      <c r="D89" s="26">
        <f t="shared" ref="D89:D97" si="34">C89/B$88</f>
        <v>7.7419354838709681E-2</v>
      </c>
      <c r="E89" s="14">
        <f t="shared" ref="E89:E97" si="35">ROUND(B$97*D89,0)</f>
        <v>10885</v>
      </c>
      <c r="F89" s="14">
        <f t="shared" si="30"/>
        <v>5443</v>
      </c>
      <c r="G89" s="14">
        <f t="shared" si="30"/>
        <v>8708</v>
      </c>
      <c r="H89" s="14">
        <f t="shared" si="30"/>
        <v>10885</v>
      </c>
      <c r="I89" s="14">
        <f t="shared" si="30"/>
        <v>13606</v>
      </c>
      <c r="M89">
        <v>1101008</v>
      </c>
      <c r="N89" s="18">
        <f>VLOOKUP(M89,卡牌!$A$4:$C$39,3)</f>
        <v>2</v>
      </c>
      <c r="O89">
        <v>9</v>
      </c>
      <c r="P89" s="14" t="s">
        <v>804</v>
      </c>
      <c r="Q89" s="18">
        <f>ROUND(INDEX(挂机派遣!$AW$3:$BD$10,卡牌值!O89-1,4)*INDEX($W$5:$W$8,N89)/10,0)*10</f>
        <v>190</v>
      </c>
      <c r="R89" s="14" t="s">
        <v>808</v>
      </c>
      <c r="S89" s="18">
        <f>ROUND(INDEX(挂机派遣!$BA$3:$BC$10,O89-1,3) * INDEX($W$5:$W$8,N89)  /5,0)*5</f>
        <v>70</v>
      </c>
      <c r="T89" s="18" t="str">
        <f>INDEX(卡牌!$H$4:$H$39,MATCH(卡牌值!M89,卡牌!$A$4:$A$39,0))</f>
        <v>土修身材料</v>
      </c>
      <c r="U89" s="18">
        <f>ROUND(INDEX(挂机派遣!$BD$3:$BD$10,O89-1)  *  INDEX($W$5:$W$8,N89)  /5,0)*5</f>
        <v>60</v>
      </c>
      <c r="V89" s="18">
        <f t="shared" si="33"/>
        <v>37000</v>
      </c>
      <c r="X89">
        <v>72</v>
      </c>
      <c r="Y89" s="18">
        <f>INDEX(卡牌!$A$4:$A$39,(卡牌值!X89-1)/5+1)</f>
        <v>1101015</v>
      </c>
      <c r="Z89" s="18">
        <f>VLOOKUP(Y89,卡牌!$A$4:$C$39,3)</f>
        <v>2</v>
      </c>
      <c r="AA89" s="18">
        <f t="shared" si="31"/>
        <v>2</v>
      </c>
      <c r="AB89" s="18">
        <f>INDEX(金币汇总!$W$8:$Z$12,卡牌值!AA89,卡牌值!Z89)</f>
        <v>1500</v>
      </c>
    </row>
    <row r="90" spans="1:28" ht="16.5" x14ac:dyDescent="0.2">
      <c r="A90" s="14">
        <v>73</v>
      </c>
      <c r="B90" s="14"/>
      <c r="C90" s="14">
        <v>13</v>
      </c>
      <c r="D90" s="26">
        <f t="shared" si="34"/>
        <v>8.387096774193549E-2</v>
      </c>
      <c r="E90" s="14">
        <f t="shared" si="35"/>
        <v>11792</v>
      </c>
      <c r="F90" s="14">
        <f t="shared" si="30"/>
        <v>5896</v>
      </c>
      <c r="G90" s="14">
        <f t="shared" si="30"/>
        <v>9434</v>
      </c>
      <c r="H90" s="14">
        <f t="shared" si="30"/>
        <v>11792</v>
      </c>
      <c r="I90" s="14">
        <f t="shared" si="30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2</v>
      </c>
      <c r="AA90" s="18">
        <f t="shared" si="31"/>
        <v>3</v>
      </c>
      <c r="AB90" s="18">
        <f>INDEX(金币汇总!$W$8:$Z$12,卡牌值!AA90,卡牌值!Z90)</f>
        <v>3250</v>
      </c>
    </row>
    <row r="91" spans="1:28" ht="16.5" x14ac:dyDescent="0.2">
      <c r="A91" s="14">
        <v>74</v>
      </c>
      <c r="B91" s="14"/>
      <c r="C91" s="14">
        <v>14</v>
      </c>
      <c r="D91" s="26">
        <f t="shared" si="34"/>
        <v>9.0322580645161285E-2</v>
      </c>
      <c r="E91" s="14">
        <f t="shared" si="35"/>
        <v>12699</v>
      </c>
      <c r="F91" s="14">
        <f t="shared" si="30"/>
        <v>6350</v>
      </c>
      <c r="G91" s="14">
        <f t="shared" si="30"/>
        <v>10159</v>
      </c>
      <c r="H91" s="14">
        <f t="shared" si="30"/>
        <v>12699</v>
      </c>
      <c r="I91" s="14">
        <f t="shared" si="30"/>
        <v>15874</v>
      </c>
      <c r="M91">
        <v>1101009</v>
      </c>
      <c r="N91" s="18">
        <f>VLOOKUP(M91,卡牌!$A$4:$C$39,3)</f>
        <v>3</v>
      </c>
      <c r="O91">
        <v>2</v>
      </c>
      <c r="P91" s="14" t="s">
        <v>762</v>
      </c>
      <c r="Q91" s="18">
        <f>ROUND(INDEX(挂机派遣!$AW$3:$BD$10,卡牌值!O91-1,1)*INDEX($W$5:$W$8,N91)/10,0)*10</f>
        <v>60</v>
      </c>
      <c r="V91" s="18">
        <f>ROUND(INDEX($E$5:$E$13,O91-1)*INDEX($W$5:$W$8,N91)/50,0)*50</f>
        <v>750</v>
      </c>
      <c r="X91">
        <v>74</v>
      </c>
      <c r="Y91" s="18">
        <f>INDEX(卡牌!$A$4:$A$39,(卡牌值!X91-1)/5+1)</f>
        <v>1101015</v>
      </c>
      <c r="Z91" s="18">
        <f>VLOOKUP(Y91,卡牌!$A$4:$C$39,3)</f>
        <v>2</v>
      </c>
      <c r="AA91" s="18">
        <f t="shared" si="31"/>
        <v>4</v>
      </c>
      <c r="AB91" s="18">
        <f>INDEX(金币汇总!$W$8:$Z$12,卡牌值!AA91,卡牌值!Z91)</f>
        <v>5000</v>
      </c>
    </row>
    <row r="92" spans="1:28" ht="16.5" x14ac:dyDescent="0.2">
      <c r="A92" s="14">
        <v>75</v>
      </c>
      <c r="B92" s="14"/>
      <c r="C92" s="14">
        <v>15</v>
      </c>
      <c r="D92" s="26">
        <f t="shared" si="34"/>
        <v>9.6774193548387094E-2</v>
      </c>
      <c r="E92" s="14">
        <f t="shared" si="35"/>
        <v>13606</v>
      </c>
      <c r="F92" s="14">
        <f t="shared" si="30"/>
        <v>6803</v>
      </c>
      <c r="G92" s="14">
        <f t="shared" si="30"/>
        <v>10885</v>
      </c>
      <c r="H92" s="14">
        <f t="shared" si="30"/>
        <v>13606</v>
      </c>
      <c r="I92" s="14">
        <f t="shared" si="30"/>
        <v>17008</v>
      </c>
      <c r="M92">
        <v>1101009</v>
      </c>
      <c r="N92" s="18">
        <f>VLOOKUP(M92,卡牌!$A$4:$C$39,3)</f>
        <v>3</v>
      </c>
      <c r="O92">
        <v>3</v>
      </c>
      <c r="P92" s="14" t="s">
        <v>762</v>
      </c>
      <c r="Q92" s="18">
        <f>ROUND(INDEX(挂机派遣!$AW$3:$BD$10,卡牌值!O92-1,1)*INDEX($W$5:$W$8,N92)/10,0)*10</f>
        <v>150</v>
      </c>
      <c r="R92" s="14" t="s">
        <v>805</v>
      </c>
      <c r="S92" s="18">
        <f>ROUND(INDEX(挂机派遣!$BA$3:$BC$10,O92-1,1) * INDEX($W$5:$W$8,N92)  /5,0)*5</f>
        <v>25</v>
      </c>
      <c r="V92" s="18">
        <f>ROUND(INDEX($E$5:$E$13,O92-1)*INDEX($W$5:$W$8,N92)/500,0)*500</f>
        <v>4000</v>
      </c>
      <c r="X92">
        <v>75</v>
      </c>
      <c r="Y92" s="18">
        <f>INDEX(卡牌!$A$4:$A$39,(卡牌值!X92-1)/5+1)</f>
        <v>1101015</v>
      </c>
      <c r="Z92" s="18">
        <f>VLOOKUP(Y92,卡牌!$A$4:$C$39,3)</f>
        <v>2</v>
      </c>
      <c r="AA92" s="18">
        <f t="shared" si="31"/>
        <v>5</v>
      </c>
      <c r="AB92" s="18">
        <f>INDEX(金币汇总!$W$8:$Z$12,卡牌值!AA92,卡牌值!Z92)</f>
        <v>6000</v>
      </c>
    </row>
    <row r="93" spans="1:28" ht="16.5" x14ac:dyDescent="0.2">
      <c r="A93" s="14">
        <v>76</v>
      </c>
      <c r="B93" s="14"/>
      <c r="C93" s="14">
        <v>16</v>
      </c>
      <c r="D93" s="26">
        <f t="shared" si="34"/>
        <v>0.1032258064516129</v>
      </c>
      <c r="E93" s="14">
        <f t="shared" si="35"/>
        <v>14513</v>
      </c>
      <c r="F93" s="14">
        <f t="shared" si="30"/>
        <v>7257</v>
      </c>
      <c r="G93" s="14">
        <f t="shared" si="30"/>
        <v>11610</v>
      </c>
      <c r="H93" s="14">
        <f t="shared" si="30"/>
        <v>14513</v>
      </c>
      <c r="I93" s="14">
        <f t="shared" si="30"/>
        <v>18141</v>
      </c>
      <c r="M93">
        <v>1101009</v>
      </c>
      <c r="N93" s="18">
        <f>VLOOKUP(M93,卡牌!$A$4:$C$39,3)</f>
        <v>3</v>
      </c>
      <c r="O93">
        <v>4</v>
      </c>
      <c r="P93" s="14" t="s">
        <v>800</v>
      </c>
      <c r="Q93" s="18">
        <f>ROUND(INDEX(挂机派遣!$AW$3:$BD$10,卡牌值!O93-1,2)*INDEX($W$5:$W$8,N93)/10,0)*10</f>
        <v>90</v>
      </c>
      <c r="R93" s="14" t="s">
        <v>805</v>
      </c>
      <c r="S93" s="18">
        <f>ROUND(INDEX(挂机派遣!$BA$3:$BC$10,O93-1,1) * INDEX($W$5:$W$8,N93)  /5,0)*5</f>
        <v>60</v>
      </c>
      <c r="V93" s="18">
        <f t="shared" ref="V93:V95" si="36">ROUND(INDEX($E$5:$E$13,O93-1)*INDEX($W$5:$W$8,N93)/500,0)*500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31"/>
        <v>1</v>
      </c>
      <c r="AB93" s="18">
        <f>INDEX(金币汇总!$W$8:$Z$12,卡牌值!AA93,卡牌值!Z93)</f>
        <v>1000</v>
      </c>
    </row>
    <row r="94" spans="1:28" ht="16.5" x14ac:dyDescent="0.2">
      <c r="A94" s="14">
        <v>77</v>
      </c>
      <c r="B94" s="14"/>
      <c r="C94" s="14">
        <v>17</v>
      </c>
      <c r="D94" s="26">
        <f t="shared" si="34"/>
        <v>0.10967741935483871</v>
      </c>
      <c r="E94" s="14">
        <f t="shared" si="35"/>
        <v>15420</v>
      </c>
      <c r="F94" s="14">
        <f t="shared" si="30"/>
        <v>7710</v>
      </c>
      <c r="G94" s="14">
        <f t="shared" si="30"/>
        <v>12336</v>
      </c>
      <c r="H94" s="14">
        <f t="shared" si="30"/>
        <v>15420</v>
      </c>
      <c r="I94" s="14">
        <f t="shared" si="30"/>
        <v>19275</v>
      </c>
      <c r="M94">
        <v>1101009</v>
      </c>
      <c r="N94" s="18">
        <f>VLOOKUP(M94,卡牌!$A$4:$C$39,3)</f>
        <v>3</v>
      </c>
      <c r="O94">
        <v>5</v>
      </c>
      <c r="P94" s="14" t="s">
        <v>763</v>
      </c>
      <c r="Q94" s="18">
        <f>ROUND(INDEX(挂机派遣!$AW$3:$BD$10,卡牌值!O94-1,2)*INDEX($W$5:$W$8,N94)/10,0)*10</f>
        <v>210</v>
      </c>
      <c r="R94" s="14" t="s">
        <v>806</v>
      </c>
      <c r="S94" s="18">
        <f>ROUND(INDEX(挂机派遣!$BA$3:$BC$10,O94-1,2) * INDEX($W$5:$W$8,N94)  /5,0)*5</f>
        <v>45</v>
      </c>
      <c r="V94" s="18">
        <f t="shared" si="36"/>
        <v>8000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31"/>
        <v>2</v>
      </c>
      <c r="AB94" s="18">
        <f>INDEX(金币汇总!$W$8:$Z$12,卡牌值!AA94,卡牌值!Z94)</f>
        <v>3000</v>
      </c>
    </row>
    <row r="95" spans="1:28" ht="16.5" x14ac:dyDescent="0.2">
      <c r="A95" s="14">
        <v>78</v>
      </c>
      <c r="B95" s="14"/>
      <c r="C95" s="14">
        <v>18</v>
      </c>
      <c r="D95" s="26">
        <f t="shared" si="34"/>
        <v>0.11612903225806452</v>
      </c>
      <c r="E95" s="14">
        <f t="shared" si="35"/>
        <v>16327</v>
      </c>
      <c r="F95" s="14">
        <f t="shared" si="30"/>
        <v>8164</v>
      </c>
      <c r="G95" s="14">
        <f t="shared" si="30"/>
        <v>13062</v>
      </c>
      <c r="H95" s="14">
        <f t="shared" si="30"/>
        <v>16327</v>
      </c>
      <c r="I95" s="14">
        <f t="shared" si="30"/>
        <v>20409</v>
      </c>
      <c r="M95">
        <v>1101009</v>
      </c>
      <c r="N95" s="18">
        <f>VLOOKUP(M95,卡牌!$A$4:$C$39,3)</f>
        <v>3</v>
      </c>
      <c r="O95">
        <v>6</v>
      </c>
      <c r="P95" s="14" t="s">
        <v>801</v>
      </c>
      <c r="Q95" s="18">
        <f>ROUND(INDEX(挂机派遣!$AW$3:$BD$10,卡牌值!O95-1,3)*INDEX($W$5:$W$8,N95)/10,0)*10</f>
        <v>130</v>
      </c>
      <c r="R95" s="14" t="s">
        <v>807</v>
      </c>
      <c r="S95" s="18">
        <f>ROUND(INDEX(挂机派遣!$BA$3:$BC$10,O95-1,2) * INDEX($W$5:$W$8,N95)  /5,0)*5</f>
        <v>110</v>
      </c>
      <c r="V95" s="18">
        <f t="shared" si="36"/>
        <v>11000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31"/>
        <v>3</v>
      </c>
      <c r="AB95" s="18">
        <f>INDEX(金币汇总!$W$8:$Z$12,卡牌值!AA95,卡牌值!Z95)</f>
        <v>6000</v>
      </c>
    </row>
    <row r="96" spans="1:28" ht="16.5" x14ac:dyDescent="0.2">
      <c r="A96" s="14">
        <v>79</v>
      </c>
      <c r="B96" s="14"/>
      <c r="C96" s="14">
        <v>19</v>
      </c>
      <c r="D96" s="26">
        <f t="shared" si="34"/>
        <v>0.12258064516129032</v>
      </c>
      <c r="E96" s="14">
        <f t="shared" si="35"/>
        <v>17234</v>
      </c>
      <c r="F96" s="14">
        <f t="shared" si="30"/>
        <v>8617</v>
      </c>
      <c r="G96" s="14">
        <f t="shared" si="30"/>
        <v>13787</v>
      </c>
      <c r="H96" s="14">
        <f t="shared" si="30"/>
        <v>17234</v>
      </c>
      <c r="I96" s="14">
        <f t="shared" si="30"/>
        <v>21543</v>
      </c>
      <c r="M96">
        <v>1101009</v>
      </c>
      <c r="N96" s="18">
        <f>VLOOKUP(M96,卡牌!$A$4:$C$39,3)</f>
        <v>3</v>
      </c>
      <c r="O96">
        <v>7</v>
      </c>
      <c r="P96" s="14" t="s">
        <v>802</v>
      </c>
      <c r="Q96" s="18">
        <f>ROUND(INDEX(挂机派遣!$AW$3:$BD$10,卡牌值!O96-1,3)*INDEX($W$5:$W$8,N96)/10,0)*10</f>
        <v>310</v>
      </c>
      <c r="R96" s="14" t="s">
        <v>808</v>
      </c>
      <c r="S96" s="18">
        <f>ROUND(INDEX(挂机派遣!$BA$3:$BC$10,O96-1,3) * INDEX($W$5:$W$8,N96)  /5,0)*5</f>
        <v>50</v>
      </c>
      <c r="V96" s="18">
        <f>ROUND(INDEX($E$5:$E$13,O96-1)*INDEX($W$5:$W$8,N96)/1000,0)*1000</f>
        <v>13000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31"/>
        <v>4</v>
      </c>
      <c r="AB96" s="18">
        <f>INDEX(金币汇总!$W$8:$Z$12,卡牌值!AA96,卡牌值!Z96)</f>
        <v>9000</v>
      </c>
    </row>
    <row r="97" spans="1:28" ht="16.5" x14ac:dyDescent="0.2">
      <c r="A97" s="14">
        <v>80</v>
      </c>
      <c r="B97" s="18">
        <f>D11</f>
        <v>140595</v>
      </c>
      <c r="C97" s="14">
        <v>20</v>
      </c>
      <c r="D97" s="26">
        <f t="shared" si="34"/>
        <v>0.12903225806451613</v>
      </c>
      <c r="E97" s="14">
        <f t="shared" si="35"/>
        <v>18141</v>
      </c>
      <c r="F97" s="14">
        <f t="shared" si="30"/>
        <v>9071</v>
      </c>
      <c r="G97" s="14">
        <f t="shared" si="30"/>
        <v>14513</v>
      </c>
      <c r="H97" s="14">
        <f t="shared" si="30"/>
        <v>18141</v>
      </c>
      <c r="I97" s="14">
        <f t="shared" si="30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803</v>
      </c>
      <c r="Q97" s="18">
        <f>ROUND(INDEX(挂机派遣!$AW$3:$BD$10,卡牌值!O97-1,4)*INDEX($W$5:$W$8,N97)/10,0)*10</f>
        <v>110</v>
      </c>
      <c r="R97" s="14" t="s">
        <v>808</v>
      </c>
      <c r="S97" s="18">
        <f>ROUND(INDEX(挂机派遣!$BA$3:$BC$10,O97-1,3) * INDEX($W$5:$W$8,N97)  /5,0)*5</f>
        <v>70</v>
      </c>
      <c r="T97" s="18" t="str">
        <f>INDEX(卡牌!$H$4:$H$39,MATCH(卡牌值!M97,卡牌!$A$4:$A$39,0))</f>
        <v>雷修身材料</v>
      </c>
      <c r="U97" s="18">
        <f>ROUND(INDEX(挂机派遣!$BD$3:$BD$10,O97-1)  *  INDEX($W$5:$W$8,N97)  /5,0)*5</f>
        <v>20</v>
      </c>
      <c r="V97" s="18">
        <f t="shared" ref="V97:V98" si="37">ROUND(INDEX($E$5:$E$13,O97-1)*INDEX($W$5:$W$8,N97)/1000,0)*1000</f>
        <v>23000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31"/>
        <v>5</v>
      </c>
      <c r="AB97" s="18">
        <f>INDEX(金币汇总!$W$8:$Z$12,卡牌值!AA97,卡牌值!Z97)</f>
        <v>12000</v>
      </c>
    </row>
    <row r="98" spans="1:28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30"/>
        <v>11314</v>
      </c>
      <c r="G98" s="14">
        <f t="shared" si="30"/>
        <v>18102</v>
      </c>
      <c r="H98" s="14">
        <f t="shared" si="30"/>
        <v>22627</v>
      </c>
      <c r="I98" s="14">
        <f t="shared" si="30"/>
        <v>28284</v>
      </c>
      <c r="M98">
        <v>1101009</v>
      </c>
      <c r="N98" s="18">
        <f>VLOOKUP(M98,卡牌!$A$4:$C$39,3)</f>
        <v>3</v>
      </c>
      <c r="O98">
        <v>9</v>
      </c>
      <c r="P98" s="14" t="s">
        <v>804</v>
      </c>
      <c r="Q98" s="18">
        <f>ROUND(INDEX(挂机派遣!$AW$3:$BD$10,卡牌值!O98-1,4)*INDEX($W$5:$W$8,N98)/10,0)*10</f>
        <v>240</v>
      </c>
      <c r="R98" s="14" t="s">
        <v>808</v>
      </c>
      <c r="S98" s="18">
        <f>ROUND(INDEX(挂机派遣!$BA$3:$BC$10,O98-1,3) * INDEX($W$5:$W$8,N98)  /5,0)*5</f>
        <v>85</v>
      </c>
      <c r="T98" s="18" t="str">
        <f>INDEX(卡牌!$H$4:$H$39,MATCH(卡牌值!M98,卡牌!$A$4:$A$39,0))</f>
        <v>雷修身材料</v>
      </c>
      <c r="U98" s="18">
        <f>ROUND(INDEX(挂机派遣!$BD$3:$BD$10,O98-1)  *  INDEX($W$5:$W$8,N98)  /5,0)*5</f>
        <v>75</v>
      </c>
      <c r="V98" s="18">
        <f t="shared" si="37"/>
        <v>46000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31"/>
        <v>1</v>
      </c>
      <c r="AB98" s="18">
        <f>INDEX(金币汇总!$W$8:$Z$12,卡牌值!AA98,卡牌值!Z98)</f>
        <v>1000</v>
      </c>
    </row>
    <row r="99" spans="1:28" ht="16.5" x14ac:dyDescent="0.2">
      <c r="A99" s="14">
        <v>82</v>
      </c>
      <c r="B99" s="14"/>
      <c r="C99" s="14">
        <v>22</v>
      </c>
      <c r="D99" s="26">
        <f t="shared" ref="D99:D107" si="38">C99/B$98</f>
        <v>8.6274509803921567E-2</v>
      </c>
      <c r="E99" s="14">
        <f t="shared" ref="E99:E107" si="39">ROUND(B$107*D99,0)</f>
        <v>23704</v>
      </c>
      <c r="F99" s="14">
        <f t="shared" si="30"/>
        <v>11852</v>
      </c>
      <c r="G99" s="14">
        <f t="shared" si="30"/>
        <v>18963</v>
      </c>
      <c r="H99" s="14">
        <f t="shared" si="30"/>
        <v>23704</v>
      </c>
      <c r="I99" s="14">
        <f t="shared" si="30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31"/>
        <v>2</v>
      </c>
      <c r="AB99" s="18">
        <f>INDEX(金币汇总!$W$8:$Z$12,卡牌值!AA99,卡牌值!Z99)</f>
        <v>2500</v>
      </c>
    </row>
    <row r="100" spans="1:28" ht="16.5" x14ac:dyDescent="0.2">
      <c r="A100" s="14">
        <v>83</v>
      </c>
      <c r="B100" s="14"/>
      <c r="C100" s="14">
        <v>23</v>
      </c>
      <c r="D100" s="26">
        <f t="shared" si="38"/>
        <v>9.0196078431372548E-2</v>
      </c>
      <c r="E100" s="14">
        <f t="shared" si="39"/>
        <v>24782</v>
      </c>
      <c r="F100" s="14">
        <f t="shared" si="30"/>
        <v>12391</v>
      </c>
      <c r="G100" s="14">
        <f t="shared" si="30"/>
        <v>19826</v>
      </c>
      <c r="H100" s="14">
        <f t="shared" si="30"/>
        <v>24782</v>
      </c>
      <c r="I100" s="14">
        <f t="shared" si="30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762</v>
      </c>
      <c r="Q100" s="18">
        <f>ROUND(INDEX(挂机派遣!$AW$3:$BD$10,卡牌值!O100-1,1)*INDEX($W$5:$W$8,N100)/10,0)*10</f>
        <v>80</v>
      </c>
      <c r="V100" s="18">
        <f>ROUND(INDEX($E$5:$E$13,O100-1)*INDEX($W$5:$W$8,N100)/50,0)*50</f>
        <v>950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31"/>
        <v>3</v>
      </c>
      <c r="AB100" s="18">
        <f>INDEX(金币汇总!$W$8:$Z$12,卡牌值!AA100,卡牌值!Z100)</f>
        <v>4500</v>
      </c>
    </row>
    <row r="101" spans="1:28" ht="16.5" x14ac:dyDescent="0.2">
      <c r="A101" s="14">
        <v>84</v>
      </c>
      <c r="B101" s="14"/>
      <c r="C101" s="14">
        <v>24</v>
      </c>
      <c r="D101" s="26">
        <f t="shared" si="38"/>
        <v>9.4117647058823528E-2</v>
      </c>
      <c r="E101" s="14">
        <f t="shared" si="39"/>
        <v>25859</v>
      </c>
      <c r="F101" s="14">
        <f t="shared" si="30"/>
        <v>12930</v>
      </c>
      <c r="G101" s="14">
        <f t="shared" si="30"/>
        <v>20687</v>
      </c>
      <c r="H101" s="14">
        <f t="shared" si="30"/>
        <v>25859</v>
      </c>
      <c r="I101" s="14">
        <f t="shared" si="30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762</v>
      </c>
      <c r="Q101" s="18">
        <f>ROUND(INDEX(挂机派遣!$AW$3:$BD$10,卡牌值!O101-1,1)*INDEX($W$5:$W$8,N101)/10,0)*10</f>
        <v>180</v>
      </c>
      <c r="R101" s="14" t="s">
        <v>805</v>
      </c>
      <c r="S101" s="18">
        <f>ROUND(INDEX(挂机派遣!$BA$3:$BC$10,O101-1,1) * INDEX($W$5:$W$8,N101)  /5,0)*5</f>
        <v>30</v>
      </c>
      <c r="V101" s="18">
        <f>ROUND(INDEX($E$5:$E$13,O101-1)*INDEX($W$5:$W$8,N101)/500,0)*500</f>
        <v>5000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31"/>
        <v>4</v>
      </c>
      <c r="AB101" s="18">
        <f>INDEX(金币汇总!$W$8:$Z$12,卡牌值!AA101,卡牌值!Z101)</f>
        <v>7000</v>
      </c>
    </row>
    <row r="102" spans="1:28" ht="16.5" x14ac:dyDescent="0.2">
      <c r="A102" s="14">
        <v>85</v>
      </c>
      <c r="B102" s="14"/>
      <c r="C102" s="14">
        <v>25</v>
      </c>
      <c r="D102" s="26">
        <f t="shared" si="38"/>
        <v>9.8039215686274508E-2</v>
      </c>
      <c r="E102" s="14">
        <f t="shared" si="39"/>
        <v>26937</v>
      </c>
      <c r="F102" s="14">
        <f t="shared" si="30"/>
        <v>13469</v>
      </c>
      <c r="G102" s="14">
        <f t="shared" si="30"/>
        <v>21550</v>
      </c>
      <c r="H102" s="14">
        <f t="shared" si="30"/>
        <v>26937</v>
      </c>
      <c r="I102" s="14">
        <f t="shared" si="30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800</v>
      </c>
      <c r="Q102" s="18">
        <f>ROUND(INDEX(挂机派遣!$AW$3:$BD$10,卡牌值!O102-1,2)*INDEX($W$5:$W$8,N102)/10,0)*10</f>
        <v>110</v>
      </c>
      <c r="R102" s="14" t="s">
        <v>805</v>
      </c>
      <c r="S102" s="18">
        <f>ROUND(INDEX(挂机派遣!$BA$3:$BC$10,O102-1,1) * INDEX($W$5:$W$8,N102)  /5,0)*5</f>
        <v>75</v>
      </c>
      <c r="V102" s="18">
        <f t="shared" ref="V102:V104" si="40">ROUND(INDEX($E$5:$E$13,O102-1)*INDEX($W$5:$W$8,N102)/500,0)*500</f>
        <v>7000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31"/>
        <v>5</v>
      </c>
      <c r="AB102" s="18">
        <f>INDEX(金币汇总!$W$8:$Z$12,卡牌值!AA102,卡牌值!Z102)</f>
        <v>9000</v>
      </c>
    </row>
    <row r="103" spans="1:28" ht="16.5" x14ac:dyDescent="0.2">
      <c r="A103" s="14">
        <v>86</v>
      </c>
      <c r="B103" s="14"/>
      <c r="C103" s="14">
        <v>26</v>
      </c>
      <c r="D103" s="26">
        <f t="shared" si="38"/>
        <v>0.10196078431372549</v>
      </c>
      <c r="E103" s="14">
        <f t="shared" si="39"/>
        <v>28014</v>
      </c>
      <c r="F103" s="14">
        <f t="shared" si="30"/>
        <v>14007</v>
      </c>
      <c r="G103" s="14">
        <f t="shared" si="30"/>
        <v>22411</v>
      </c>
      <c r="H103" s="14">
        <f t="shared" si="30"/>
        <v>28014</v>
      </c>
      <c r="I103" s="14">
        <f t="shared" si="30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763</v>
      </c>
      <c r="Q103" s="18">
        <f>ROUND(INDEX(挂机派遣!$AW$3:$BD$10,卡牌值!O103-1,2)*INDEX($W$5:$W$8,N103)/10,0)*10</f>
        <v>260</v>
      </c>
      <c r="R103" s="14" t="s">
        <v>806</v>
      </c>
      <c r="S103" s="18">
        <f>ROUND(INDEX(挂机派遣!$BA$3:$BC$10,O103-1,2) * INDEX($W$5:$W$8,N103)  /5,0)*5</f>
        <v>55</v>
      </c>
      <c r="V103" s="18">
        <f t="shared" si="40"/>
        <v>10000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31"/>
        <v>1</v>
      </c>
      <c r="AB103" s="18">
        <f>INDEX(金币汇总!$W$8:$Z$12,卡牌值!AA103,卡牌值!Z103)</f>
        <v>1000</v>
      </c>
    </row>
    <row r="104" spans="1:28" ht="16.5" x14ac:dyDescent="0.2">
      <c r="A104" s="14">
        <v>87</v>
      </c>
      <c r="B104" s="14"/>
      <c r="C104" s="14">
        <v>27</v>
      </c>
      <c r="D104" s="26">
        <f t="shared" si="38"/>
        <v>0.10588235294117647</v>
      </c>
      <c r="E104" s="14">
        <f t="shared" si="39"/>
        <v>29091</v>
      </c>
      <c r="F104" s="14">
        <f t="shared" si="30"/>
        <v>14546</v>
      </c>
      <c r="G104" s="14">
        <f t="shared" si="30"/>
        <v>23273</v>
      </c>
      <c r="H104" s="14">
        <f t="shared" si="30"/>
        <v>29091</v>
      </c>
      <c r="I104" s="14">
        <f t="shared" si="30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801</v>
      </c>
      <c r="Q104" s="18">
        <f>ROUND(INDEX(挂机派遣!$AW$3:$BD$10,卡牌值!O104-1,3)*INDEX($W$5:$W$8,N104)/10,0)*10</f>
        <v>160</v>
      </c>
      <c r="R104" s="14" t="s">
        <v>807</v>
      </c>
      <c r="S104" s="18">
        <f>ROUND(INDEX(挂机派遣!$BA$3:$BC$10,O104-1,2) * INDEX($W$5:$W$8,N104)  /5,0)*5</f>
        <v>140</v>
      </c>
      <c r="V104" s="18">
        <f t="shared" si="40"/>
        <v>14000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31"/>
        <v>2</v>
      </c>
      <c r="AB104" s="18">
        <f>INDEX(金币汇总!$W$8:$Z$12,卡牌值!AA104,卡牌值!Z104)</f>
        <v>2500</v>
      </c>
    </row>
    <row r="105" spans="1:28" ht="16.5" x14ac:dyDescent="0.2">
      <c r="A105" s="14">
        <v>88</v>
      </c>
      <c r="B105" s="14"/>
      <c r="C105" s="14">
        <v>28</v>
      </c>
      <c r="D105" s="26">
        <f t="shared" si="38"/>
        <v>0.10980392156862745</v>
      </c>
      <c r="E105" s="14">
        <f t="shared" si="39"/>
        <v>30169</v>
      </c>
      <c r="F105" s="14">
        <f t="shared" si="30"/>
        <v>15085</v>
      </c>
      <c r="G105" s="14">
        <f t="shared" si="30"/>
        <v>24135</v>
      </c>
      <c r="H105" s="14">
        <f t="shared" si="30"/>
        <v>30169</v>
      </c>
      <c r="I105" s="14">
        <f t="shared" si="30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802</v>
      </c>
      <c r="Q105" s="18">
        <f>ROUND(INDEX(挂机派遣!$AW$3:$BD$10,卡牌值!O105-1,3)*INDEX($W$5:$W$8,N105)/10,0)*10</f>
        <v>380</v>
      </c>
      <c r="R105" s="14" t="s">
        <v>808</v>
      </c>
      <c r="S105" s="18">
        <f>ROUND(INDEX(挂机派遣!$BA$3:$BC$10,O105-1,3) * INDEX($W$5:$W$8,N105)  /5,0)*5</f>
        <v>65</v>
      </c>
      <c r="V105" s="18">
        <f>ROUND(INDEX($E$5:$E$13,O105-1)*INDEX($W$5:$W$8,N105)/1000,0)*1000</f>
        <v>16000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31"/>
        <v>3</v>
      </c>
      <c r="AB105" s="18">
        <f>INDEX(金币汇总!$W$8:$Z$12,卡牌值!AA105,卡牌值!Z105)</f>
        <v>4500</v>
      </c>
    </row>
    <row r="106" spans="1:28" ht="16.5" x14ac:dyDescent="0.2">
      <c r="A106" s="14">
        <v>89</v>
      </c>
      <c r="B106" s="14"/>
      <c r="C106" s="14">
        <v>29</v>
      </c>
      <c r="D106" s="26">
        <f t="shared" si="38"/>
        <v>0.11372549019607843</v>
      </c>
      <c r="E106" s="14">
        <f t="shared" si="39"/>
        <v>31246</v>
      </c>
      <c r="F106" s="14">
        <f t="shared" si="30"/>
        <v>15623</v>
      </c>
      <c r="G106" s="14">
        <f t="shared" si="30"/>
        <v>24997</v>
      </c>
      <c r="H106" s="14">
        <f t="shared" si="30"/>
        <v>31246</v>
      </c>
      <c r="I106" s="14">
        <f t="shared" si="30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803</v>
      </c>
      <c r="Q106" s="18">
        <f>ROUND(INDEX(挂机派遣!$AW$3:$BD$10,卡牌值!O106-1,4)*INDEX($W$5:$W$8,N106)/10,0)*10</f>
        <v>130</v>
      </c>
      <c r="R106" s="14" t="s">
        <v>808</v>
      </c>
      <c r="S106" s="18">
        <f>ROUND(INDEX(挂机派遣!$BA$3:$BC$10,O106-1,3) * INDEX($W$5:$W$8,N106)  /5,0)*5</f>
        <v>90</v>
      </c>
      <c r="T106" s="18" t="str">
        <f>INDEX(卡牌!$H$4:$H$39,MATCH(卡牌值!M106,卡牌!$A$4:$A$39,0))</f>
        <v>雷修身材料</v>
      </c>
      <c r="U106" s="18">
        <f>ROUND(INDEX(挂机派遣!$BD$3:$BD$10,O106-1)  *  INDEX($W$5:$W$8,N106)  /5,0)*5</f>
        <v>25</v>
      </c>
      <c r="V106" s="18">
        <f t="shared" ref="V106:V107" si="41">ROUND(INDEX($E$5:$E$13,O106-1)*INDEX($W$5:$W$8,N106)/1000,0)*1000</f>
        <v>29000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31"/>
        <v>4</v>
      </c>
      <c r="AB106" s="18">
        <f>INDEX(金币汇总!$W$8:$Z$12,卡牌值!AA106,卡牌值!Z106)</f>
        <v>7000</v>
      </c>
    </row>
    <row r="107" spans="1:28" ht="16.5" x14ac:dyDescent="0.2">
      <c r="A107" s="14">
        <v>90</v>
      </c>
      <c r="B107" s="18">
        <f>D12</f>
        <v>274753</v>
      </c>
      <c r="C107" s="14">
        <v>30</v>
      </c>
      <c r="D107" s="26">
        <f t="shared" si="38"/>
        <v>0.11764705882352941</v>
      </c>
      <c r="E107" s="14">
        <f t="shared" si="39"/>
        <v>32324</v>
      </c>
      <c r="F107" s="14">
        <f t="shared" si="30"/>
        <v>16162</v>
      </c>
      <c r="G107" s="14">
        <f t="shared" si="30"/>
        <v>25859</v>
      </c>
      <c r="H107" s="14">
        <f t="shared" si="30"/>
        <v>32324</v>
      </c>
      <c r="I107" s="14">
        <f t="shared" si="30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804</v>
      </c>
      <c r="Q107" s="18">
        <f>ROUND(INDEX(挂机派遣!$AW$3:$BD$10,卡牌值!O107-1,4)*INDEX($W$5:$W$8,N107)/10,0)*10</f>
        <v>300</v>
      </c>
      <c r="R107" s="14" t="s">
        <v>808</v>
      </c>
      <c r="S107" s="18">
        <f>ROUND(INDEX(挂机派遣!$BA$3:$BC$10,O107-1,3) * INDEX($W$5:$W$8,N107)  /5,0)*5</f>
        <v>105</v>
      </c>
      <c r="T107" s="18" t="str">
        <f>INDEX(卡牌!$H$4:$H$39,MATCH(卡牌值!M107,卡牌!$A$4:$A$39,0))</f>
        <v>雷修身材料</v>
      </c>
      <c r="U107" s="18">
        <f>ROUND(INDEX(挂机派遣!$BD$3:$BD$10,O107-1)  *  INDEX($W$5:$W$8,N107)  /5,0)*5</f>
        <v>95</v>
      </c>
      <c r="V107" s="18">
        <f t="shared" si="41"/>
        <v>57000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31"/>
        <v>5</v>
      </c>
      <c r="AB107" s="18">
        <f>INDEX(金币汇总!$W$8:$Z$12,卡牌值!AA107,卡牌值!Z107)</f>
        <v>9000</v>
      </c>
    </row>
    <row r="108" spans="1:28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42">C108/B$98</f>
        <v>0.12156862745098039</v>
      </c>
      <c r="E108" s="14">
        <f t="shared" ref="E108:E117" si="43">ROUND(B$107*D108,0)</f>
        <v>33401</v>
      </c>
      <c r="F108" s="14">
        <f t="shared" si="30"/>
        <v>16701</v>
      </c>
      <c r="G108" s="14">
        <f t="shared" si="30"/>
        <v>26721</v>
      </c>
      <c r="H108" s="14">
        <f t="shared" si="30"/>
        <v>33401</v>
      </c>
      <c r="I108" s="14">
        <f t="shared" si="30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31"/>
        <v>1</v>
      </c>
      <c r="AB108" s="18">
        <f>INDEX(金币汇总!$W$8:$Z$12,卡牌值!AA108,卡牌值!Z108)</f>
        <v>1000</v>
      </c>
    </row>
    <row r="109" spans="1:28" ht="16.5" x14ac:dyDescent="0.2">
      <c r="A109" s="14">
        <v>92</v>
      </c>
      <c r="C109" s="14">
        <v>32</v>
      </c>
      <c r="D109" s="26">
        <f t="shared" si="42"/>
        <v>0.12549019607843137</v>
      </c>
      <c r="E109" s="14">
        <f t="shared" si="43"/>
        <v>34479</v>
      </c>
      <c r="F109" s="14">
        <f t="shared" ref="F109:I117" si="44">ROUND($E109*F$15,0)</f>
        <v>17240</v>
      </c>
      <c r="G109" s="14">
        <f t="shared" si="44"/>
        <v>27583</v>
      </c>
      <c r="H109" s="14">
        <f t="shared" si="44"/>
        <v>34479</v>
      </c>
      <c r="I109" s="14">
        <f t="shared" si="44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762</v>
      </c>
      <c r="Q109" s="18">
        <f>ROUND(INDEX(挂机派遣!$AW$3:$BD$10,卡牌值!O109-1,1)*INDEX($W$5:$W$8,N109)/10,0)*10</f>
        <v>60</v>
      </c>
      <c r="V109" s="18">
        <f>ROUND(INDEX($E$5:$E$13,O109-1)*INDEX($W$5:$W$8,N109)/50,0)*50</f>
        <v>750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31"/>
        <v>2</v>
      </c>
      <c r="AB109" s="18">
        <f>INDEX(金币汇总!$W$8:$Z$12,卡牌值!AA109,卡牌值!Z109)</f>
        <v>1500</v>
      </c>
    </row>
    <row r="110" spans="1:28" ht="16.5" x14ac:dyDescent="0.2">
      <c r="A110" s="14">
        <v>93</v>
      </c>
      <c r="C110" s="14">
        <v>33</v>
      </c>
      <c r="D110" s="26">
        <f t="shared" si="42"/>
        <v>0.12941176470588237</v>
      </c>
      <c r="E110" s="14">
        <f t="shared" si="43"/>
        <v>35556</v>
      </c>
      <c r="F110" s="14">
        <f t="shared" si="44"/>
        <v>17778</v>
      </c>
      <c r="G110" s="14">
        <f t="shared" si="44"/>
        <v>28445</v>
      </c>
      <c r="H110" s="14">
        <f t="shared" si="44"/>
        <v>35556</v>
      </c>
      <c r="I110" s="14">
        <f t="shared" si="44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762</v>
      </c>
      <c r="Q110" s="18">
        <f>ROUND(INDEX(挂机派遣!$AW$3:$BD$10,卡牌值!O110-1,1)*INDEX($W$5:$W$8,N110)/10,0)*10</f>
        <v>150</v>
      </c>
      <c r="R110" s="14" t="s">
        <v>805</v>
      </c>
      <c r="S110" s="18">
        <f>ROUND(INDEX(挂机派遣!$BA$3:$BC$10,O110-1,1) * INDEX($W$5:$W$8,N110)  /5,0)*5</f>
        <v>25</v>
      </c>
      <c r="V110" s="18">
        <f>ROUND(INDEX($E$5:$E$13,O110-1)*INDEX($W$5:$W$8,N110)/500,0)*500</f>
        <v>4000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31"/>
        <v>3</v>
      </c>
      <c r="AB110" s="18">
        <f>INDEX(金币汇总!$W$8:$Z$12,卡牌值!AA110,卡牌值!Z110)</f>
        <v>3250</v>
      </c>
    </row>
    <row r="111" spans="1:28" ht="16.5" x14ac:dyDescent="0.2">
      <c r="A111" s="14">
        <v>94</v>
      </c>
      <c r="C111" s="14">
        <v>34</v>
      </c>
      <c r="D111" s="26">
        <f t="shared" si="42"/>
        <v>0.13333333333333333</v>
      </c>
      <c r="E111" s="14">
        <f t="shared" si="43"/>
        <v>36634</v>
      </c>
      <c r="F111" s="14">
        <f t="shared" si="44"/>
        <v>18317</v>
      </c>
      <c r="G111" s="14">
        <f t="shared" si="44"/>
        <v>29307</v>
      </c>
      <c r="H111" s="14">
        <f t="shared" si="44"/>
        <v>36634</v>
      </c>
      <c r="I111" s="14">
        <f t="shared" si="44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800</v>
      </c>
      <c r="Q111" s="18">
        <f>ROUND(INDEX(挂机派遣!$AW$3:$BD$10,卡牌值!O111-1,2)*INDEX($W$5:$W$8,N111)/10,0)*10</f>
        <v>90</v>
      </c>
      <c r="R111" s="14" t="s">
        <v>805</v>
      </c>
      <c r="S111" s="18">
        <f>ROUND(INDEX(挂机派遣!$BA$3:$BC$10,O111-1,1) * INDEX($W$5:$W$8,N111)  /5,0)*5</f>
        <v>60</v>
      </c>
      <c r="V111" s="18">
        <f t="shared" ref="V111:V113" si="45">ROUND(INDEX($E$5:$E$13,O111-1)*INDEX($W$5:$W$8,N111)/500,0)*500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31"/>
        <v>4</v>
      </c>
      <c r="AB111" s="18">
        <f>INDEX(金币汇总!$W$8:$Z$12,卡牌值!AA111,卡牌值!Z111)</f>
        <v>5000</v>
      </c>
    </row>
    <row r="112" spans="1:28" ht="16.5" x14ac:dyDescent="0.2">
      <c r="A112" s="14">
        <v>95</v>
      </c>
      <c r="C112" s="14">
        <v>35</v>
      </c>
      <c r="D112" s="26">
        <f t="shared" si="42"/>
        <v>0.13725490196078433</v>
      </c>
      <c r="E112" s="14">
        <f t="shared" si="43"/>
        <v>37711</v>
      </c>
      <c r="F112" s="14">
        <f t="shared" si="44"/>
        <v>18856</v>
      </c>
      <c r="G112" s="14">
        <f t="shared" si="44"/>
        <v>30169</v>
      </c>
      <c r="H112" s="14">
        <f t="shared" si="44"/>
        <v>37711</v>
      </c>
      <c r="I112" s="14">
        <f t="shared" si="44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763</v>
      </c>
      <c r="Q112" s="18">
        <f>ROUND(INDEX(挂机派遣!$AW$3:$BD$10,卡牌值!O112-1,2)*INDEX($W$5:$W$8,N112)/10,0)*10</f>
        <v>210</v>
      </c>
      <c r="R112" s="14" t="s">
        <v>806</v>
      </c>
      <c r="S112" s="18">
        <f>ROUND(INDEX(挂机派遣!$BA$3:$BC$10,O112-1,2) * INDEX($W$5:$W$8,N112)  /5,0)*5</f>
        <v>45</v>
      </c>
      <c r="V112" s="18">
        <f t="shared" si="45"/>
        <v>8000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31"/>
        <v>5</v>
      </c>
      <c r="AB112" s="18">
        <f>INDEX(金币汇总!$W$8:$Z$12,卡牌值!AA112,卡牌值!Z112)</f>
        <v>6000</v>
      </c>
    </row>
    <row r="113" spans="1:28" ht="16.5" x14ac:dyDescent="0.2">
      <c r="A113" s="14">
        <v>96</v>
      </c>
      <c r="C113" s="14">
        <v>36</v>
      </c>
      <c r="D113" s="26">
        <f t="shared" si="42"/>
        <v>0.14117647058823529</v>
      </c>
      <c r="E113" s="14">
        <f t="shared" si="43"/>
        <v>38789</v>
      </c>
      <c r="F113" s="14">
        <f t="shared" si="44"/>
        <v>19395</v>
      </c>
      <c r="G113" s="14">
        <f t="shared" si="44"/>
        <v>31031</v>
      </c>
      <c r="H113" s="14">
        <f t="shared" si="44"/>
        <v>38789</v>
      </c>
      <c r="I113" s="14">
        <f t="shared" si="44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801</v>
      </c>
      <c r="Q113" s="18">
        <f>ROUND(INDEX(挂机派遣!$AW$3:$BD$10,卡牌值!O113-1,3)*INDEX($W$5:$W$8,N113)/10,0)*10</f>
        <v>130</v>
      </c>
      <c r="R113" s="14" t="s">
        <v>807</v>
      </c>
      <c r="S113" s="18">
        <f>ROUND(INDEX(挂机派遣!$BA$3:$BC$10,O113-1,2) * INDEX($W$5:$W$8,N113)  /5,0)*5</f>
        <v>110</v>
      </c>
      <c r="V113" s="18">
        <f t="shared" si="45"/>
        <v>11000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31"/>
        <v>1</v>
      </c>
      <c r="AB113" s="18">
        <f>INDEX(金币汇总!$W$8:$Z$12,卡牌值!AA113,卡牌值!Z113)</f>
        <v>1000</v>
      </c>
    </row>
    <row r="114" spans="1:28" ht="16.5" x14ac:dyDescent="0.2">
      <c r="A114" s="14">
        <v>97</v>
      </c>
      <c r="C114" s="14">
        <v>37</v>
      </c>
      <c r="D114" s="26">
        <f t="shared" si="42"/>
        <v>0.14509803921568629</v>
      </c>
      <c r="E114" s="14">
        <f t="shared" si="43"/>
        <v>39866</v>
      </c>
      <c r="F114" s="14">
        <f t="shared" si="44"/>
        <v>19933</v>
      </c>
      <c r="G114" s="14">
        <f t="shared" si="44"/>
        <v>31893</v>
      </c>
      <c r="H114" s="14">
        <f t="shared" si="44"/>
        <v>39866</v>
      </c>
      <c r="I114" s="14">
        <f t="shared" si="44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802</v>
      </c>
      <c r="Q114" s="18">
        <f>ROUND(INDEX(挂机派遣!$AW$3:$BD$10,卡牌值!O114-1,3)*INDEX($W$5:$W$8,N114)/10,0)*10</f>
        <v>310</v>
      </c>
      <c r="R114" s="14" t="s">
        <v>808</v>
      </c>
      <c r="S114" s="18">
        <f>ROUND(INDEX(挂机派遣!$BA$3:$BC$10,O114-1,3) * INDEX($W$5:$W$8,N114)  /5,0)*5</f>
        <v>50</v>
      </c>
      <c r="V114" s="18">
        <f>ROUND(INDEX($E$5:$E$13,O114-1)*INDEX($W$5:$W$8,N114)/1000,0)*1000</f>
        <v>13000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31"/>
        <v>2</v>
      </c>
      <c r="AB114" s="18">
        <f>INDEX(金币汇总!$W$8:$Z$12,卡牌值!AA114,卡牌值!Z114)</f>
        <v>2500</v>
      </c>
    </row>
    <row r="115" spans="1:28" ht="16.5" x14ac:dyDescent="0.2">
      <c r="A115" s="14">
        <v>98</v>
      </c>
      <c r="C115" s="14">
        <v>38</v>
      </c>
      <c r="D115" s="26">
        <f t="shared" si="42"/>
        <v>0.14901960784313725</v>
      </c>
      <c r="E115" s="14">
        <f t="shared" si="43"/>
        <v>40944</v>
      </c>
      <c r="F115" s="14">
        <f t="shared" si="44"/>
        <v>20472</v>
      </c>
      <c r="G115" s="14">
        <f t="shared" si="44"/>
        <v>32755</v>
      </c>
      <c r="H115" s="14">
        <f t="shared" si="44"/>
        <v>40944</v>
      </c>
      <c r="I115" s="14">
        <f t="shared" si="44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803</v>
      </c>
      <c r="Q115" s="18">
        <f>ROUND(INDEX(挂机派遣!$AW$3:$BD$10,卡牌值!O115-1,4)*INDEX($W$5:$W$8,N115)/10,0)*10</f>
        <v>110</v>
      </c>
      <c r="R115" s="14" t="s">
        <v>808</v>
      </c>
      <c r="S115" s="18">
        <f>ROUND(INDEX(挂机派遣!$BA$3:$BC$10,O115-1,3) * INDEX($W$5:$W$8,N115)  /5,0)*5</f>
        <v>70</v>
      </c>
      <c r="T115" s="18" t="str">
        <f>INDEX(卡牌!$H$4:$H$39,MATCH(卡牌值!M115,卡牌!$A$4:$A$39,0))</f>
        <v>风修身材料</v>
      </c>
      <c r="U115" s="18">
        <f>ROUND(INDEX(挂机派遣!$BD$3:$BD$10,O115-1)  *  INDEX($W$5:$W$8,N115)  /5,0)*5</f>
        <v>20</v>
      </c>
      <c r="V115" s="18">
        <f t="shared" ref="V115:V116" si="46">ROUND(INDEX($E$5:$E$13,O115-1)*INDEX($W$5:$W$8,N115)/1000,0)*1000</f>
        <v>23000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31"/>
        <v>3</v>
      </c>
      <c r="AB115" s="18">
        <f>INDEX(金币汇总!$W$8:$Z$12,卡牌值!AA115,卡牌值!Z115)</f>
        <v>4500</v>
      </c>
    </row>
    <row r="116" spans="1:28" ht="16.5" x14ac:dyDescent="0.2">
      <c r="A116" s="14">
        <v>99</v>
      </c>
      <c r="C116" s="14">
        <v>39</v>
      </c>
      <c r="D116" s="26">
        <f t="shared" si="42"/>
        <v>0.15294117647058825</v>
      </c>
      <c r="E116" s="14">
        <f t="shared" si="43"/>
        <v>42021</v>
      </c>
      <c r="F116" s="14">
        <f t="shared" si="44"/>
        <v>21011</v>
      </c>
      <c r="G116" s="14">
        <f t="shared" si="44"/>
        <v>33617</v>
      </c>
      <c r="H116" s="14">
        <f t="shared" si="44"/>
        <v>42021</v>
      </c>
      <c r="I116" s="14">
        <f t="shared" si="44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804</v>
      </c>
      <c r="Q116" s="18">
        <f>ROUND(INDEX(挂机派遣!$AW$3:$BD$10,卡牌值!O116-1,4)*INDEX($W$5:$W$8,N116)/10,0)*10</f>
        <v>240</v>
      </c>
      <c r="R116" s="14" t="s">
        <v>808</v>
      </c>
      <c r="S116" s="18">
        <f>ROUND(INDEX(挂机派遣!$BA$3:$BC$10,O116-1,3) * INDEX($W$5:$W$8,N116)  /5,0)*5</f>
        <v>85</v>
      </c>
      <c r="T116" s="18" t="str">
        <f>INDEX(卡牌!$H$4:$H$39,MATCH(卡牌值!M116,卡牌!$A$4:$A$39,0))</f>
        <v>风修身材料</v>
      </c>
      <c r="U116" s="18">
        <f>ROUND(INDEX(挂机派遣!$BD$3:$BD$10,O116-1)  *  INDEX($W$5:$W$8,N116)  /5,0)*5</f>
        <v>75</v>
      </c>
      <c r="V116" s="18">
        <f t="shared" si="46"/>
        <v>46000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31"/>
        <v>4</v>
      </c>
      <c r="AB116" s="18">
        <f>INDEX(金币汇总!$W$8:$Z$12,卡牌值!AA116,卡牌值!Z116)</f>
        <v>7000</v>
      </c>
    </row>
    <row r="117" spans="1:28" ht="16.5" x14ac:dyDescent="0.2">
      <c r="A117" s="14">
        <v>100</v>
      </c>
      <c r="B117" s="18">
        <f>D13</f>
        <v>585351</v>
      </c>
      <c r="C117" s="14">
        <v>40</v>
      </c>
      <c r="D117" s="26">
        <f t="shared" si="42"/>
        <v>0.15686274509803921</v>
      </c>
      <c r="E117" s="14">
        <f t="shared" si="43"/>
        <v>43099</v>
      </c>
      <c r="F117" s="14">
        <f t="shared" si="44"/>
        <v>21550</v>
      </c>
      <c r="G117" s="14">
        <f t="shared" si="44"/>
        <v>34479</v>
      </c>
      <c r="H117" s="14">
        <f t="shared" si="44"/>
        <v>43099</v>
      </c>
      <c r="I117" s="14">
        <f t="shared" si="44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31"/>
        <v>5</v>
      </c>
      <c r="AB117" s="18">
        <f>INDEX(金币汇总!$W$8:$Z$12,卡牌值!AA117,卡牌值!Z117)</f>
        <v>9000</v>
      </c>
    </row>
    <row r="118" spans="1:28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762</v>
      </c>
      <c r="Q118" s="18">
        <f>ROUND(INDEX(挂机派遣!$AW$3:$BD$10,卡牌值!O118-1,1)*INDEX($W$5:$W$8,N118)/10,0)*10</f>
        <v>50</v>
      </c>
      <c r="V118" s="18">
        <f>ROUND(INDEX($E$5:$E$13,O118-1)*INDEX($W$5:$W$8,N118)/50,0)*50</f>
        <v>600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31"/>
        <v>1</v>
      </c>
      <c r="AB118" s="18">
        <f>INDEX(金币汇总!$W$8:$Z$12,卡牌值!AA118,卡牌值!Z118)</f>
        <v>1000</v>
      </c>
    </row>
    <row r="119" spans="1:28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762</v>
      </c>
      <c r="Q119" s="18">
        <f>ROUND(INDEX(挂机派遣!$AW$3:$BD$10,卡牌值!O119-1,1)*INDEX($W$5:$W$8,N119)/10,0)*10</f>
        <v>120</v>
      </c>
      <c r="R119" s="14" t="s">
        <v>805</v>
      </c>
      <c r="S119" s="18">
        <f>ROUND(INDEX(挂机派遣!$BA$3:$BC$10,O119-1,1) * INDEX($W$5:$W$8,N119)  /5,0)*5</f>
        <v>20</v>
      </c>
      <c r="V119" s="18">
        <f>ROUND(INDEX($E$5:$E$13,O119-1)*INDEX($W$5:$W$8,N119)/500,0)*500</f>
        <v>3500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31"/>
        <v>2</v>
      </c>
      <c r="AB119" s="18">
        <f>INDEX(金币汇总!$W$8:$Z$12,卡牌值!AA119,卡牌值!Z119)</f>
        <v>3000</v>
      </c>
    </row>
    <row r="120" spans="1:28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800</v>
      </c>
      <c r="Q120" s="18">
        <f>ROUND(INDEX(挂机派遣!$AW$3:$BD$10,卡牌值!O120-1,2)*INDEX($W$5:$W$8,N120)/10,0)*10</f>
        <v>70</v>
      </c>
      <c r="R120" s="14" t="s">
        <v>805</v>
      </c>
      <c r="S120" s="18">
        <f>ROUND(INDEX(挂机派遣!$BA$3:$BC$10,O120-1,1) * INDEX($W$5:$W$8,N120)  /5,0)*5</f>
        <v>50</v>
      </c>
      <c r="V120" s="18">
        <f t="shared" ref="V120:V122" si="47">ROUND(INDEX($E$5:$E$13,O120-1)*INDEX($W$5:$W$8,N120)/500,0)*500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31"/>
        <v>3</v>
      </c>
      <c r="AB120" s="18">
        <f>INDEX(金币汇总!$W$8:$Z$12,卡牌值!AA120,卡牌值!Z120)</f>
        <v>6000</v>
      </c>
    </row>
    <row r="121" spans="1:28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763</v>
      </c>
      <c r="Q121" s="18">
        <f>ROUND(INDEX(挂机派遣!$AW$3:$BD$10,卡牌值!O121-1,2)*INDEX($W$5:$W$8,N121)/10,0)*10</f>
        <v>160</v>
      </c>
      <c r="R121" s="14" t="s">
        <v>806</v>
      </c>
      <c r="S121" s="18">
        <f>ROUND(INDEX(挂机派遣!$BA$3:$BC$10,O121-1,2) * INDEX($W$5:$W$8,N121)  /5,0)*5</f>
        <v>35</v>
      </c>
      <c r="V121" s="18">
        <f t="shared" si="47"/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31"/>
        <v>4</v>
      </c>
      <c r="AB121" s="18">
        <f>INDEX(金币汇总!$W$8:$Z$12,卡牌值!AA121,卡牌值!Z121)</f>
        <v>9000</v>
      </c>
    </row>
    <row r="122" spans="1:28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801</v>
      </c>
      <c r="Q122" s="18">
        <f>ROUND(INDEX(挂机派遣!$AW$3:$BD$10,卡牌值!O122-1,3)*INDEX($W$5:$W$8,N122)/10,0)*10</f>
        <v>100</v>
      </c>
      <c r="R122" s="14" t="s">
        <v>807</v>
      </c>
      <c r="S122" s="18">
        <f>ROUND(INDEX(挂机派遣!$BA$3:$BC$10,O122-1,2) * INDEX($W$5:$W$8,N122)  /5,0)*5</f>
        <v>90</v>
      </c>
      <c r="V122" s="18">
        <f t="shared" si="47"/>
        <v>9000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31"/>
        <v>5</v>
      </c>
      <c r="AB122" s="18">
        <f>INDEX(金币汇总!$W$8:$Z$12,卡牌值!AA122,卡牌值!Z122)</f>
        <v>12000</v>
      </c>
    </row>
    <row r="123" spans="1:28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802</v>
      </c>
      <c r="Q123" s="18">
        <f>ROUND(INDEX(挂机派遣!$AW$3:$BD$10,卡牌值!O123-1,3)*INDEX($W$5:$W$8,N123)/10,0)*10</f>
        <v>240</v>
      </c>
      <c r="R123" s="14" t="s">
        <v>808</v>
      </c>
      <c r="S123" s="18">
        <f>ROUND(INDEX(挂机派遣!$BA$3:$BC$10,O123-1,3) * INDEX($W$5:$W$8,N123)  /5,0)*5</f>
        <v>40</v>
      </c>
      <c r="V123" s="18">
        <f>ROUND(INDEX($E$5:$E$13,O123-1)*INDEX($W$5:$W$8,N123)/1000,0)*1000</f>
        <v>10000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31"/>
        <v>1</v>
      </c>
      <c r="AB123" s="18">
        <f>INDEX(金币汇总!$W$8:$Z$12,卡牌值!AA123,卡牌值!Z123)</f>
        <v>1000</v>
      </c>
    </row>
    <row r="124" spans="1:28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803</v>
      </c>
      <c r="Q124" s="18">
        <f>ROUND(INDEX(挂机派遣!$AW$3:$BD$10,卡牌值!O124-1,4)*INDEX($W$5:$W$8,N124)/10,0)*10</f>
        <v>80</v>
      </c>
      <c r="R124" s="14" t="s">
        <v>808</v>
      </c>
      <c r="S124" s="18">
        <f>ROUND(INDEX(挂机派遣!$BA$3:$BC$10,O124-1,3) * INDEX($W$5:$W$8,N124)  /5,0)*5</f>
        <v>55</v>
      </c>
      <c r="T124" s="18" t="str">
        <f>INDEX(卡牌!$H$4:$H$39,MATCH(卡牌值!M124,卡牌!$A$4:$A$39,0))</f>
        <v>雷修身材料</v>
      </c>
      <c r="U124" s="18">
        <f>ROUND(INDEX(挂机派遣!$BD$3:$BD$10,O124-1)  *  INDEX($W$5:$W$8,N124)  /5,0)*5</f>
        <v>15</v>
      </c>
      <c r="V124" s="18">
        <f t="shared" ref="V124:V125" si="48">ROUND(INDEX($E$5:$E$13,O124-1)*INDEX($W$5:$W$8,N124)/1000,0)*1000</f>
        <v>19000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31"/>
        <v>2</v>
      </c>
      <c r="AB124" s="18">
        <f>INDEX(金币汇总!$W$8:$Z$12,卡牌值!AA124,卡牌值!Z124)</f>
        <v>2500</v>
      </c>
    </row>
    <row r="125" spans="1:28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804</v>
      </c>
      <c r="Q125" s="18">
        <f>ROUND(INDEX(挂机派遣!$AW$3:$BD$10,卡牌值!O125-1,4)*INDEX($W$5:$W$8,N125)/10,0)*10</f>
        <v>190</v>
      </c>
      <c r="R125" s="14" t="s">
        <v>808</v>
      </c>
      <c r="S125" s="18">
        <f>ROUND(INDEX(挂机派遣!$BA$3:$BC$10,O125-1,3) * INDEX($W$5:$W$8,N125)  /5,0)*5</f>
        <v>70</v>
      </c>
      <c r="T125" s="18" t="str">
        <f>INDEX(卡牌!$H$4:$H$39,MATCH(卡牌值!M125,卡牌!$A$4:$A$39,0))</f>
        <v>雷修身材料</v>
      </c>
      <c r="U125" s="18">
        <f>ROUND(INDEX(挂机派遣!$BD$3:$BD$10,O125-1)  *  INDEX($W$5:$W$8,N125)  /5,0)*5</f>
        <v>60</v>
      </c>
      <c r="V125" s="18">
        <f t="shared" si="48"/>
        <v>37000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31"/>
        <v>3</v>
      </c>
      <c r="AB125" s="18">
        <f>INDEX(金币汇总!$W$8:$Z$12,卡牌值!AA125,卡牌值!Z125)</f>
        <v>4500</v>
      </c>
    </row>
    <row r="126" spans="1:28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31"/>
        <v>4</v>
      </c>
      <c r="AB126" s="18">
        <f>INDEX(金币汇总!$W$8:$Z$12,卡牌值!AA126,卡牌值!Z126)</f>
        <v>7000</v>
      </c>
    </row>
    <row r="127" spans="1:28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762</v>
      </c>
      <c r="Q127" s="18">
        <f>ROUND(INDEX(挂机派遣!$AW$3:$BD$10,卡牌值!O127-1,1)*INDEX($W$5:$W$8,N127)/10,0)*10</f>
        <v>50</v>
      </c>
      <c r="V127" s="18">
        <f>ROUND(INDEX($E$5:$E$13,O127-1)*INDEX($W$5:$W$8,N127)/50,0)*50</f>
        <v>600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31"/>
        <v>5</v>
      </c>
      <c r="AB127" s="18">
        <f>INDEX(金币汇总!$W$8:$Z$12,卡牌值!AA127,卡牌值!Z127)</f>
        <v>9000</v>
      </c>
    </row>
    <row r="128" spans="1:28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762</v>
      </c>
      <c r="Q128" s="18">
        <f>ROUND(INDEX(挂机派遣!$AW$3:$BD$10,卡牌值!O128-1,1)*INDEX($W$5:$W$8,N128)/10,0)*10</f>
        <v>120</v>
      </c>
      <c r="R128" s="14" t="s">
        <v>805</v>
      </c>
      <c r="S128" s="18">
        <f>ROUND(INDEX(挂机派遣!$BA$3:$BC$10,O128-1,1) * INDEX($W$5:$W$8,N128)  /5,0)*5</f>
        <v>20</v>
      </c>
      <c r="V128" s="18">
        <f>ROUND(INDEX($E$5:$E$13,O128-1)*INDEX($W$5:$W$8,N128)/500,0)*500</f>
        <v>3500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31"/>
        <v>1</v>
      </c>
      <c r="AB128" s="18">
        <f>INDEX(金币汇总!$W$8:$Z$12,卡牌值!AA128,卡牌值!Z128)</f>
        <v>1000</v>
      </c>
    </row>
    <row r="129" spans="13:28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800</v>
      </c>
      <c r="Q129" s="18">
        <f>ROUND(INDEX(挂机派遣!$AW$3:$BD$10,卡牌值!O129-1,2)*INDEX($W$5:$W$8,N129)/10,0)*10</f>
        <v>70</v>
      </c>
      <c r="R129" s="14" t="s">
        <v>805</v>
      </c>
      <c r="S129" s="18">
        <f>ROUND(INDEX(挂机派遣!$BA$3:$BC$10,O129-1,1) * INDEX($W$5:$W$8,N129)  /5,0)*5</f>
        <v>50</v>
      </c>
      <c r="V129" s="18">
        <f t="shared" ref="V129:V131" si="49">ROUND(INDEX($E$5:$E$13,O129-1)*INDEX($W$5:$W$8,N129)/500,0)*500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31"/>
        <v>2</v>
      </c>
      <c r="AB129" s="18">
        <f>INDEX(金币汇总!$W$8:$Z$12,卡牌值!AA129,卡牌值!Z129)</f>
        <v>3000</v>
      </c>
    </row>
    <row r="130" spans="13:28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763</v>
      </c>
      <c r="Q130" s="18">
        <f>ROUND(INDEX(挂机派遣!$AW$3:$BD$10,卡牌值!O130-1,2)*INDEX($W$5:$W$8,N130)/10,0)*10</f>
        <v>160</v>
      </c>
      <c r="R130" s="14" t="s">
        <v>806</v>
      </c>
      <c r="S130" s="18">
        <f>ROUND(INDEX(挂机派遣!$BA$3:$BC$10,O130-1,2) * INDEX($W$5:$W$8,N130)  /5,0)*5</f>
        <v>35</v>
      </c>
      <c r="V130" s="18">
        <f t="shared" si="49"/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31"/>
        <v>3</v>
      </c>
      <c r="AB130" s="18">
        <f>INDEX(金币汇总!$W$8:$Z$12,卡牌值!AA130,卡牌值!Z130)</f>
        <v>6000</v>
      </c>
    </row>
    <row r="131" spans="13:28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801</v>
      </c>
      <c r="Q131" s="18">
        <f>ROUND(INDEX(挂机派遣!$AW$3:$BD$10,卡牌值!O131-1,3)*INDEX($W$5:$W$8,N131)/10,0)*10</f>
        <v>100</v>
      </c>
      <c r="R131" s="14" t="s">
        <v>807</v>
      </c>
      <c r="S131" s="18">
        <f>ROUND(INDEX(挂机派遣!$BA$3:$BC$10,O131-1,2) * INDEX($W$5:$W$8,N131)  /5,0)*5</f>
        <v>90</v>
      </c>
      <c r="V131" s="18">
        <f t="shared" si="49"/>
        <v>9000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31"/>
        <v>4</v>
      </c>
      <c r="AB131" s="18">
        <f>INDEX(金币汇总!$W$8:$Z$12,卡牌值!AA131,卡牌值!Z131)</f>
        <v>9000</v>
      </c>
    </row>
    <row r="132" spans="13:28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802</v>
      </c>
      <c r="Q132" s="18">
        <f>ROUND(INDEX(挂机派遣!$AW$3:$BD$10,卡牌值!O132-1,3)*INDEX($W$5:$W$8,N132)/10,0)*10</f>
        <v>240</v>
      </c>
      <c r="R132" s="14" t="s">
        <v>808</v>
      </c>
      <c r="S132" s="18">
        <f>ROUND(INDEX(挂机派遣!$BA$3:$BC$10,O132-1,3) * INDEX($W$5:$W$8,N132)  /5,0)*5</f>
        <v>40</v>
      </c>
      <c r="V132" s="18">
        <f>ROUND(INDEX($E$5:$E$13,O132-1)*INDEX($W$5:$W$8,N132)/1000,0)*1000</f>
        <v>10000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31"/>
        <v>5</v>
      </c>
      <c r="AB132" s="18">
        <f>INDEX(金币汇总!$W$8:$Z$12,卡牌值!AA132,卡牌值!Z132)</f>
        <v>12000</v>
      </c>
    </row>
    <row r="133" spans="13:28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803</v>
      </c>
      <c r="Q133" s="18">
        <f>ROUND(INDEX(挂机派遣!$AW$3:$BD$10,卡牌值!O133-1,4)*INDEX($W$5:$W$8,N133)/10,0)*10</f>
        <v>80</v>
      </c>
      <c r="R133" s="14" t="s">
        <v>808</v>
      </c>
      <c r="S133" s="18">
        <f>ROUND(INDEX(挂机派遣!$BA$3:$BC$10,O133-1,3) * INDEX($W$5:$W$8,N133)  /5,0)*5</f>
        <v>55</v>
      </c>
      <c r="T133" s="18" t="str">
        <f>INDEX(卡牌!$H$4:$H$39,MATCH(卡牌值!M133,卡牌!$A$4:$A$39,0))</f>
        <v>水修身材料</v>
      </c>
      <c r="U133" s="18">
        <f>ROUND(INDEX(挂机派遣!$BD$3:$BD$10,O133-1)  *  INDEX($W$5:$W$8,N133)  /5,0)*5</f>
        <v>15</v>
      </c>
      <c r="V133" s="18">
        <f t="shared" ref="V133:V134" si="50">ROUND(INDEX($E$5:$E$13,O133-1)*INDEX($W$5:$W$8,N133)/1000,0)*1000</f>
        <v>19000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31"/>
        <v>1</v>
      </c>
      <c r="AB133" s="18">
        <f>INDEX(金币汇总!$W$8:$Z$12,卡牌值!AA133,卡牌值!Z133)</f>
        <v>1000</v>
      </c>
    </row>
    <row r="134" spans="13:28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804</v>
      </c>
      <c r="Q134" s="18">
        <f>ROUND(INDEX(挂机派遣!$AW$3:$BD$10,卡牌值!O134-1,4)*INDEX($W$5:$W$8,N134)/10,0)*10</f>
        <v>190</v>
      </c>
      <c r="R134" s="14" t="s">
        <v>808</v>
      </c>
      <c r="S134" s="18">
        <f>ROUND(INDEX(挂机派遣!$BA$3:$BC$10,O134-1,3) * INDEX($W$5:$W$8,N134)  /5,0)*5</f>
        <v>70</v>
      </c>
      <c r="T134" s="18" t="str">
        <f>INDEX(卡牌!$H$4:$H$39,MATCH(卡牌值!M134,卡牌!$A$4:$A$39,0))</f>
        <v>水修身材料</v>
      </c>
      <c r="U134" s="18">
        <f>ROUND(INDEX(挂机派遣!$BD$3:$BD$10,O134-1)  *  INDEX($W$5:$W$8,N134)  /5,0)*5</f>
        <v>60</v>
      </c>
      <c r="V134" s="18">
        <f t="shared" si="50"/>
        <v>37000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31"/>
        <v>2</v>
      </c>
      <c r="AB134" s="18">
        <f>INDEX(金币汇总!$W$8:$Z$12,卡牌值!AA134,卡牌值!Z134)</f>
        <v>3000</v>
      </c>
    </row>
    <row r="135" spans="13:28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31"/>
        <v>3</v>
      </c>
      <c r="AB135" s="18">
        <f>INDEX(金币汇总!$W$8:$Z$12,卡牌值!AA135,卡牌值!Z135)</f>
        <v>6000</v>
      </c>
    </row>
    <row r="136" spans="13:28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762</v>
      </c>
      <c r="Q136" s="18">
        <f>ROUND(INDEX(挂机派遣!$AW$3:$BD$10,卡牌值!O136-1,1)*INDEX($W$5:$W$8,N136)/10,0)*10</f>
        <v>60</v>
      </c>
      <c r="V136" s="18">
        <f>ROUND(INDEX($E$5:$E$13,O136-1)*INDEX($W$5:$W$8,N136)/50,0)*50</f>
        <v>750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31"/>
        <v>4</v>
      </c>
      <c r="AB136" s="18">
        <f>INDEX(金币汇总!$W$8:$Z$12,卡牌值!AA136,卡牌值!Z136)</f>
        <v>9000</v>
      </c>
    </row>
    <row r="137" spans="13:28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762</v>
      </c>
      <c r="Q137" s="18">
        <f>ROUND(INDEX(挂机派遣!$AW$3:$BD$10,卡牌值!O137-1,1)*INDEX($W$5:$W$8,N137)/10,0)*10</f>
        <v>150</v>
      </c>
      <c r="R137" s="14" t="s">
        <v>805</v>
      </c>
      <c r="S137" s="18">
        <f>ROUND(INDEX(挂机派遣!$BA$3:$BC$10,O137-1,1) * INDEX($W$5:$W$8,N137)  /5,0)*5</f>
        <v>25</v>
      </c>
      <c r="V137" s="18">
        <f>ROUND(INDEX($E$5:$E$13,O137-1)*INDEX($W$5:$W$8,N137)/500,0)*500</f>
        <v>4000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31"/>
        <v>5</v>
      </c>
      <c r="AB137" s="18">
        <f>INDEX(金币汇总!$W$8:$Z$12,卡牌值!AA137,卡牌值!Z137)</f>
        <v>12000</v>
      </c>
    </row>
    <row r="138" spans="13:28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800</v>
      </c>
      <c r="Q138" s="18">
        <f>ROUND(INDEX(挂机派遣!$AW$3:$BD$10,卡牌值!O138-1,2)*INDEX($W$5:$W$8,N138)/10,0)*10</f>
        <v>90</v>
      </c>
      <c r="R138" s="14" t="s">
        <v>805</v>
      </c>
      <c r="S138" s="18">
        <f>ROUND(INDEX(挂机派遣!$BA$3:$BC$10,O138-1,1) * INDEX($W$5:$W$8,N138)  /5,0)*5</f>
        <v>60</v>
      </c>
      <c r="V138" s="18">
        <f t="shared" ref="V138:V140" si="51">ROUND(INDEX($E$5:$E$13,O138-1)*INDEX($W$5:$W$8,N138)/500,0)*500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31"/>
        <v>1</v>
      </c>
      <c r="AB138" s="18">
        <f>INDEX(金币汇总!$W$8:$Z$12,卡牌值!AA138,卡牌值!Z138)</f>
        <v>1000</v>
      </c>
    </row>
    <row r="139" spans="13:28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763</v>
      </c>
      <c r="Q139" s="18">
        <f>ROUND(INDEX(挂机派遣!$AW$3:$BD$10,卡牌值!O139-1,2)*INDEX($W$5:$W$8,N139)/10,0)*10</f>
        <v>210</v>
      </c>
      <c r="R139" s="14" t="s">
        <v>806</v>
      </c>
      <c r="S139" s="18">
        <f>ROUND(INDEX(挂机派遣!$BA$3:$BC$10,O139-1,2) * INDEX($W$5:$W$8,N139)  /5,0)*5</f>
        <v>45</v>
      </c>
      <c r="V139" s="18">
        <f t="shared" si="51"/>
        <v>8000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31"/>
        <v>2</v>
      </c>
      <c r="AB139" s="18">
        <f>INDEX(金币汇总!$W$8:$Z$12,卡牌值!AA139,卡牌值!Z139)</f>
        <v>3000</v>
      </c>
    </row>
    <row r="140" spans="13:28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801</v>
      </c>
      <c r="Q140" s="18">
        <f>ROUND(INDEX(挂机派遣!$AW$3:$BD$10,卡牌值!O140-1,3)*INDEX($W$5:$W$8,N140)/10,0)*10</f>
        <v>130</v>
      </c>
      <c r="R140" s="14" t="s">
        <v>807</v>
      </c>
      <c r="S140" s="18">
        <f>ROUND(INDEX(挂机派遣!$BA$3:$BC$10,O140-1,2) * INDEX($W$5:$W$8,N140)  /5,0)*5</f>
        <v>110</v>
      </c>
      <c r="V140" s="18">
        <f t="shared" si="51"/>
        <v>11000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31"/>
        <v>3</v>
      </c>
      <c r="AB140" s="18">
        <f>INDEX(金币汇总!$W$8:$Z$12,卡牌值!AA140,卡牌值!Z140)</f>
        <v>6000</v>
      </c>
    </row>
    <row r="141" spans="13:28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802</v>
      </c>
      <c r="Q141" s="18">
        <f>ROUND(INDEX(挂机派遣!$AW$3:$BD$10,卡牌值!O141-1,3)*INDEX($W$5:$W$8,N141)/10,0)*10</f>
        <v>310</v>
      </c>
      <c r="R141" s="14" t="s">
        <v>808</v>
      </c>
      <c r="S141" s="18">
        <f>ROUND(INDEX(挂机派遣!$BA$3:$BC$10,O141-1,3) * INDEX($W$5:$W$8,N141)  /5,0)*5</f>
        <v>50</v>
      </c>
      <c r="V141" s="18">
        <f>ROUND(INDEX($E$5:$E$13,O141-1)*INDEX($W$5:$W$8,N141)/1000,0)*1000</f>
        <v>13000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31"/>
        <v>4</v>
      </c>
      <c r="AB141" s="18">
        <f>INDEX(金币汇总!$W$8:$Z$12,卡牌值!AA141,卡牌值!Z141)</f>
        <v>9000</v>
      </c>
    </row>
    <row r="142" spans="13:28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803</v>
      </c>
      <c r="Q142" s="18">
        <f>ROUND(INDEX(挂机派遣!$AW$3:$BD$10,卡牌值!O142-1,4)*INDEX($W$5:$W$8,N142)/10,0)*10</f>
        <v>110</v>
      </c>
      <c r="R142" s="14" t="s">
        <v>808</v>
      </c>
      <c r="S142" s="18">
        <f>ROUND(INDEX(挂机派遣!$BA$3:$BC$10,O142-1,3) * INDEX($W$5:$W$8,N142)  /5,0)*5</f>
        <v>70</v>
      </c>
      <c r="T142" s="18" t="str">
        <f>INDEX(卡牌!$H$4:$H$39,MATCH(卡牌值!M142,卡牌!$A$4:$A$39,0))</f>
        <v>风修身材料</v>
      </c>
      <c r="U142" s="18">
        <f>ROUND(INDEX(挂机派遣!$BD$3:$BD$10,O142-1)  *  INDEX($W$5:$W$8,N142)  /5,0)*5</f>
        <v>20</v>
      </c>
      <c r="V142" s="18">
        <f t="shared" ref="V142:V143" si="52">ROUND(INDEX($E$5:$E$13,O142-1)*INDEX($W$5:$W$8,N142)/1000,0)*1000</f>
        <v>23000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31"/>
        <v>5</v>
      </c>
      <c r="AB142" s="18">
        <f>INDEX(金币汇总!$W$8:$Z$12,卡牌值!AA142,卡牌值!Z142)</f>
        <v>12000</v>
      </c>
    </row>
    <row r="143" spans="13:28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804</v>
      </c>
      <c r="Q143" s="18">
        <f>ROUND(INDEX(挂机派遣!$AW$3:$BD$10,卡牌值!O143-1,4)*INDEX($W$5:$W$8,N143)/10,0)*10</f>
        <v>240</v>
      </c>
      <c r="R143" s="14" t="s">
        <v>808</v>
      </c>
      <c r="S143" s="18">
        <f>ROUND(INDEX(挂机派遣!$BA$3:$BC$10,O143-1,3) * INDEX($W$5:$W$8,N143)  /5,0)*5</f>
        <v>85</v>
      </c>
      <c r="T143" s="18" t="str">
        <f>INDEX(卡牌!$H$4:$H$39,MATCH(卡牌值!M143,卡牌!$A$4:$A$39,0))</f>
        <v>风修身材料</v>
      </c>
      <c r="U143" s="18">
        <f>ROUND(INDEX(挂机派遣!$BD$3:$BD$10,O143-1)  *  INDEX($W$5:$W$8,N143)  /5,0)*5</f>
        <v>75</v>
      </c>
      <c r="V143" s="18">
        <f t="shared" si="52"/>
        <v>46000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31"/>
        <v>1</v>
      </c>
      <c r="AB143" s="18">
        <f>INDEX(金币汇总!$W$8:$Z$12,卡牌值!AA143,卡牌值!Z143)</f>
        <v>1000</v>
      </c>
    </row>
    <row r="144" spans="13:28" ht="16.5" x14ac:dyDescent="0.2">
      <c r="M144">
        <v>1101015</v>
      </c>
      <c r="N144" s="18">
        <f>VLOOKUP(M144,卡牌!$A$4:$C$39,3)</f>
        <v>2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31"/>
        <v>2</v>
      </c>
      <c r="AB144" s="18">
        <f>INDEX(金币汇总!$W$8:$Z$12,卡牌值!AA144,卡牌值!Z144)</f>
        <v>3000</v>
      </c>
    </row>
    <row r="145" spans="13:28" ht="16.5" x14ac:dyDescent="0.2">
      <c r="M145">
        <v>1101015</v>
      </c>
      <c r="N145" s="18">
        <f>VLOOKUP(M145,卡牌!$A$4:$C$39,3)</f>
        <v>2</v>
      </c>
      <c r="O145">
        <v>2</v>
      </c>
      <c r="P145" s="14" t="s">
        <v>762</v>
      </c>
      <c r="Q145" s="18">
        <f>ROUND(INDEX(挂机派遣!$AW$3:$BD$10,卡牌值!O145-1,1)*INDEX($W$5:$W$8,N145)/10,0)*10</f>
        <v>50</v>
      </c>
      <c r="V145" s="18">
        <f>ROUND(INDEX($E$5:$E$13,O145-1)*INDEX($W$5:$W$8,N145)/50,0)*50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31"/>
        <v>3</v>
      </c>
      <c r="AB145" s="18">
        <f>INDEX(金币汇总!$W$8:$Z$12,卡牌值!AA145,卡牌值!Z145)</f>
        <v>6000</v>
      </c>
    </row>
    <row r="146" spans="13:28" ht="16.5" x14ac:dyDescent="0.2">
      <c r="M146">
        <v>1101015</v>
      </c>
      <c r="N146" s="18">
        <f>VLOOKUP(M146,卡牌!$A$4:$C$39,3)</f>
        <v>2</v>
      </c>
      <c r="O146">
        <v>3</v>
      </c>
      <c r="P146" s="14" t="s">
        <v>762</v>
      </c>
      <c r="Q146" s="18">
        <f>ROUND(INDEX(挂机派遣!$AW$3:$BD$10,卡牌值!O146-1,1)*INDEX($W$5:$W$8,N146)/10,0)*10</f>
        <v>120</v>
      </c>
      <c r="R146" s="14" t="s">
        <v>805</v>
      </c>
      <c r="S146" s="18">
        <f>ROUND(INDEX(挂机派遣!$BA$3:$BC$10,O146-1,1) * INDEX($W$5:$W$8,N146)  /5,0)*5</f>
        <v>20</v>
      </c>
      <c r="V146" s="18">
        <f>ROUND(INDEX($E$5:$E$13,O146-1)*INDEX($W$5:$W$8,N146)/500,0)*500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31"/>
        <v>4</v>
      </c>
      <c r="AB146" s="18">
        <f>INDEX(金币汇总!$W$8:$Z$12,卡牌值!AA146,卡牌值!Z146)</f>
        <v>9000</v>
      </c>
    </row>
    <row r="147" spans="13:28" ht="16.5" x14ac:dyDescent="0.2">
      <c r="M147">
        <v>1101015</v>
      </c>
      <c r="N147" s="18">
        <f>VLOOKUP(M147,卡牌!$A$4:$C$39,3)</f>
        <v>2</v>
      </c>
      <c r="O147">
        <v>4</v>
      </c>
      <c r="P147" s="14" t="s">
        <v>800</v>
      </c>
      <c r="Q147" s="18">
        <f>ROUND(INDEX(挂机派遣!$AW$3:$BD$10,卡牌值!O147-1,2)*INDEX($W$5:$W$8,N147)/10,0)*10</f>
        <v>70</v>
      </c>
      <c r="R147" s="14" t="s">
        <v>805</v>
      </c>
      <c r="S147" s="18">
        <f>ROUND(INDEX(挂机派遣!$BA$3:$BC$10,O147-1,1) * INDEX($W$5:$W$8,N147)  /5,0)*5</f>
        <v>50</v>
      </c>
      <c r="V147" s="18">
        <f t="shared" ref="V147:V149" si="53">ROUND(INDEX($E$5:$E$13,O147-1)*INDEX($W$5:$W$8,N147)/500,0)*500</f>
        <v>4500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54">MOD(X147-1,5)+1</f>
        <v>5</v>
      </c>
      <c r="AB147" s="18">
        <f>INDEX(金币汇总!$W$8:$Z$12,卡牌值!AA147,卡牌值!Z147)</f>
        <v>12000</v>
      </c>
    </row>
    <row r="148" spans="13:28" ht="16.5" x14ac:dyDescent="0.2">
      <c r="M148">
        <v>1101015</v>
      </c>
      <c r="N148" s="18">
        <f>VLOOKUP(M148,卡牌!$A$4:$C$39,3)</f>
        <v>2</v>
      </c>
      <c r="O148">
        <v>5</v>
      </c>
      <c r="P148" s="14" t="s">
        <v>763</v>
      </c>
      <c r="Q148" s="18">
        <f>ROUND(INDEX(挂机派遣!$AW$3:$BD$10,卡牌值!O148-1,2)*INDEX($W$5:$W$8,N148)/10,0)*10</f>
        <v>160</v>
      </c>
      <c r="R148" s="14" t="s">
        <v>806</v>
      </c>
      <c r="S148" s="18">
        <f>ROUND(INDEX(挂机派遣!$BA$3:$BC$10,O148-1,2) * INDEX($W$5:$W$8,N148)  /5,0)*5</f>
        <v>35</v>
      </c>
      <c r="V148" s="18">
        <f t="shared" si="53"/>
        <v>6500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54"/>
        <v>1</v>
      </c>
      <c r="AB148" s="18">
        <f>INDEX(金币汇总!$W$8:$Z$12,卡牌值!AA148,卡牌值!Z148)</f>
        <v>1000</v>
      </c>
    </row>
    <row r="149" spans="13:28" ht="16.5" x14ac:dyDescent="0.2">
      <c r="M149">
        <v>1101015</v>
      </c>
      <c r="N149" s="18">
        <f>VLOOKUP(M149,卡牌!$A$4:$C$39,3)</f>
        <v>2</v>
      </c>
      <c r="O149">
        <v>6</v>
      </c>
      <c r="P149" s="14" t="s">
        <v>801</v>
      </c>
      <c r="Q149" s="18">
        <f>ROUND(INDEX(挂机派遣!$AW$3:$BD$10,卡牌值!O149-1,3)*INDEX($W$5:$W$8,N149)/10,0)*10</f>
        <v>100</v>
      </c>
      <c r="R149" s="14" t="s">
        <v>807</v>
      </c>
      <c r="S149" s="18">
        <f>ROUND(INDEX(挂机派遣!$BA$3:$BC$10,O149-1,2) * INDEX($W$5:$W$8,N149)  /5,0)*5</f>
        <v>90</v>
      </c>
      <c r="V149" s="18">
        <f t="shared" si="53"/>
        <v>9000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54"/>
        <v>2</v>
      </c>
      <c r="AB149" s="18">
        <f>INDEX(金币汇总!$W$8:$Z$12,卡牌值!AA149,卡牌值!Z149)</f>
        <v>3000</v>
      </c>
    </row>
    <row r="150" spans="13:28" ht="16.5" x14ac:dyDescent="0.2">
      <c r="M150">
        <v>1101015</v>
      </c>
      <c r="N150" s="18">
        <f>VLOOKUP(M150,卡牌!$A$4:$C$39,3)</f>
        <v>2</v>
      </c>
      <c r="O150">
        <v>7</v>
      </c>
      <c r="P150" s="14" t="s">
        <v>802</v>
      </c>
      <c r="Q150" s="18">
        <f>ROUND(INDEX(挂机派遣!$AW$3:$BD$10,卡牌值!O150-1,3)*INDEX($W$5:$W$8,N150)/10,0)*10</f>
        <v>240</v>
      </c>
      <c r="R150" s="14" t="s">
        <v>808</v>
      </c>
      <c r="S150" s="18">
        <f>ROUND(INDEX(挂机派遣!$BA$3:$BC$10,O150-1,3) * INDEX($W$5:$W$8,N150)  /5,0)*5</f>
        <v>40</v>
      </c>
      <c r="V150" s="18">
        <f>ROUND(INDEX($E$5:$E$13,O150-1)*INDEX($W$5:$W$8,N150)/1000,0)*1000</f>
        <v>10000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54"/>
        <v>3</v>
      </c>
      <c r="AB150" s="18">
        <f>INDEX(金币汇总!$W$8:$Z$12,卡牌值!AA150,卡牌值!Z150)</f>
        <v>6000</v>
      </c>
    </row>
    <row r="151" spans="13:28" ht="16.5" x14ac:dyDescent="0.2">
      <c r="M151">
        <v>1101015</v>
      </c>
      <c r="N151" s="18">
        <f>VLOOKUP(M151,卡牌!$A$4:$C$39,3)</f>
        <v>2</v>
      </c>
      <c r="O151">
        <v>8</v>
      </c>
      <c r="P151" s="14" t="s">
        <v>803</v>
      </c>
      <c r="Q151" s="18">
        <f>ROUND(INDEX(挂机派遣!$AW$3:$BD$10,卡牌值!O151-1,4)*INDEX($W$5:$W$8,N151)/10,0)*10</f>
        <v>80</v>
      </c>
      <c r="R151" s="14" t="s">
        <v>808</v>
      </c>
      <c r="S151" s="18">
        <f>ROUND(INDEX(挂机派遣!$BA$3:$BC$10,O151-1,3) * INDEX($W$5:$W$8,N151)  /5,0)*5</f>
        <v>55</v>
      </c>
      <c r="T151" s="18" t="str">
        <f>INDEX(卡牌!$H$4:$H$39,MATCH(卡牌值!M151,卡牌!$A$4:$A$39,0))</f>
        <v>风修身材料</v>
      </c>
      <c r="U151" s="18">
        <f>ROUND(INDEX(挂机派遣!$BD$3:$BD$10,O151-1)  *  INDEX($W$5:$W$8,N151)  /5,0)*5</f>
        <v>15</v>
      </c>
      <c r="V151" s="18">
        <f t="shared" ref="V151:V152" si="55">ROUND(INDEX($E$5:$E$13,O151-1)*INDEX($W$5:$W$8,N151)/1000,0)*1000</f>
        <v>19000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54"/>
        <v>4</v>
      </c>
      <c r="AB151" s="18">
        <f>INDEX(金币汇总!$W$8:$Z$12,卡牌值!AA151,卡牌值!Z151)</f>
        <v>9000</v>
      </c>
    </row>
    <row r="152" spans="13:28" ht="16.5" x14ac:dyDescent="0.2">
      <c r="M152">
        <v>1101015</v>
      </c>
      <c r="N152" s="18">
        <f>VLOOKUP(M152,卡牌!$A$4:$C$39,3)</f>
        <v>2</v>
      </c>
      <c r="O152">
        <v>9</v>
      </c>
      <c r="P152" s="14" t="s">
        <v>804</v>
      </c>
      <c r="Q152" s="18">
        <f>ROUND(INDEX(挂机派遣!$AW$3:$BD$10,卡牌值!O152-1,4)*INDEX($W$5:$W$8,N152)/10,0)*10</f>
        <v>190</v>
      </c>
      <c r="R152" s="14" t="s">
        <v>808</v>
      </c>
      <c r="S152" s="18">
        <f>ROUND(INDEX(挂机派遣!$BA$3:$BC$10,O152-1,3) * INDEX($W$5:$W$8,N152)  /5,0)*5</f>
        <v>70</v>
      </c>
      <c r="T152" s="18" t="str">
        <f>INDEX(卡牌!$H$4:$H$39,MATCH(卡牌值!M152,卡牌!$A$4:$A$39,0))</f>
        <v>风修身材料</v>
      </c>
      <c r="U152" s="18">
        <f>ROUND(INDEX(挂机派遣!$BD$3:$BD$10,O152-1)  *  INDEX($W$5:$W$8,N152)  /5,0)*5</f>
        <v>60</v>
      </c>
      <c r="V152" s="18">
        <f t="shared" si="55"/>
        <v>37000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54"/>
        <v>5</v>
      </c>
      <c r="AB152" s="18">
        <f>INDEX(金币汇总!$W$8:$Z$12,卡牌值!AA152,卡牌值!Z152)</f>
        <v>12000</v>
      </c>
    </row>
    <row r="153" spans="13:28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54"/>
        <v>1</v>
      </c>
      <c r="AB153" s="18">
        <f>INDEX(金币汇总!$W$8:$Z$12,卡牌值!AA153,卡牌值!Z153)</f>
        <v>1000</v>
      </c>
    </row>
    <row r="154" spans="13:28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762</v>
      </c>
      <c r="Q154" s="18">
        <f>ROUND(INDEX(挂机派遣!$AW$3:$BD$10,卡牌值!O154-1,1)*INDEX($W$5:$W$8,N154)/10,0)*10</f>
        <v>80</v>
      </c>
      <c r="V154" s="18">
        <f>ROUND(INDEX($E$5:$E$13,O154-1)*INDEX($W$5:$W$8,N154)/50,0)*50</f>
        <v>950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54"/>
        <v>2</v>
      </c>
      <c r="AB154" s="18">
        <f>INDEX(金币汇总!$W$8:$Z$12,卡牌值!AA154,卡牌值!Z154)</f>
        <v>1500</v>
      </c>
    </row>
    <row r="155" spans="13:28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762</v>
      </c>
      <c r="Q155" s="18">
        <f>ROUND(INDEX(挂机派遣!$AW$3:$BD$10,卡牌值!O155-1,1)*INDEX($W$5:$W$8,N155)/10,0)*10</f>
        <v>180</v>
      </c>
      <c r="R155" s="14" t="s">
        <v>805</v>
      </c>
      <c r="S155" s="18">
        <f>ROUND(INDEX(挂机派遣!$BA$3:$BC$10,O155-1,1) * INDEX($W$5:$W$8,N155)  /5,0)*5</f>
        <v>30</v>
      </c>
      <c r="V155" s="18">
        <f>ROUND(INDEX($E$5:$E$13,O155-1)*INDEX($W$5:$W$8,N155)/500,0)*500</f>
        <v>5000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54"/>
        <v>3</v>
      </c>
      <c r="AB155" s="18">
        <f>INDEX(金币汇总!$W$8:$Z$12,卡牌值!AA155,卡牌值!Z155)</f>
        <v>3250</v>
      </c>
    </row>
    <row r="156" spans="13:28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800</v>
      </c>
      <c r="Q156" s="18">
        <f>ROUND(INDEX(挂机派遣!$AW$3:$BD$10,卡牌值!O156-1,2)*INDEX($W$5:$W$8,N156)/10,0)*10</f>
        <v>110</v>
      </c>
      <c r="R156" s="14" t="s">
        <v>805</v>
      </c>
      <c r="S156" s="18">
        <f>ROUND(INDEX(挂机派遣!$BA$3:$BC$10,O156-1,1) * INDEX($W$5:$W$8,N156)  /5,0)*5</f>
        <v>75</v>
      </c>
      <c r="V156" s="18">
        <f t="shared" ref="V156:V158" si="56">ROUND(INDEX($E$5:$E$13,O156-1)*INDEX($W$5:$W$8,N156)/500,0)*500</f>
        <v>7000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54"/>
        <v>4</v>
      </c>
      <c r="AB156" s="18">
        <f>INDEX(金币汇总!$W$8:$Z$12,卡牌值!AA156,卡牌值!Z156)</f>
        <v>5000</v>
      </c>
    </row>
    <row r="157" spans="13:28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763</v>
      </c>
      <c r="Q157" s="18">
        <f>ROUND(INDEX(挂机派遣!$AW$3:$BD$10,卡牌值!O157-1,2)*INDEX($W$5:$W$8,N157)/10,0)*10</f>
        <v>260</v>
      </c>
      <c r="R157" s="14" t="s">
        <v>806</v>
      </c>
      <c r="S157" s="18">
        <f>ROUND(INDEX(挂机派遣!$BA$3:$BC$10,O157-1,2) * INDEX($W$5:$W$8,N157)  /5,0)*5</f>
        <v>55</v>
      </c>
      <c r="V157" s="18">
        <f t="shared" si="56"/>
        <v>10000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54"/>
        <v>5</v>
      </c>
      <c r="AB157" s="18">
        <f>INDEX(金币汇总!$W$8:$Z$12,卡牌值!AA157,卡牌值!Z157)</f>
        <v>6000</v>
      </c>
    </row>
    <row r="158" spans="13:28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801</v>
      </c>
      <c r="Q158" s="18">
        <f>ROUND(INDEX(挂机派遣!$AW$3:$BD$10,卡牌值!O158-1,3)*INDEX($W$5:$W$8,N158)/10,0)*10</f>
        <v>160</v>
      </c>
      <c r="R158" s="14" t="s">
        <v>807</v>
      </c>
      <c r="S158" s="18">
        <f>ROUND(INDEX(挂机派遣!$BA$3:$BC$10,O158-1,2) * INDEX($W$5:$W$8,N158)  /5,0)*5</f>
        <v>140</v>
      </c>
      <c r="V158" s="18">
        <f t="shared" si="56"/>
        <v>14000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54"/>
        <v>1</v>
      </c>
      <c r="AB158" s="18">
        <f>INDEX(金币汇总!$W$8:$Z$12,卡牌值!AA158,卡牌值!Z158)</f>
        <v>1000</v>
      </c>
    </row>
    <row r="159" spans="13:28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802</v>
      </c>
      <c r="Q159" s="18">
        <f>ROUND(INDEX(挂机派遣!$AW$3:$BD$10,卡牌值!O159-1,3)*INDEX($W$5:$W$8,N159)/10,0)*10</f>
        <v>380</v>
      </c>
      <c r="R159" s="14" t="s">
        <v>808</v>
      </c>
      <c r="S159" s="18">
        <f>ROUND(INDEX(挂机派遣!$BA$3:$BC$10,O159-1,3) * INDEX($W$5:$W$8,N159)  /5,0)*5</f>
        <v>65</v>
      </c>
      <c r="V159" s="18">
        <f>ROUND(INDEX($E$5:$E$13,O159-1)*INDEX($W$5:$W$8,N159)/1000,0)*1000</f>
        <v>16000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54"/>
        <v>2</v>
      </c>
      <c r="AB159" s="18">
        <f>INDEX(金币汇总!$W$8:$Z$12,卡牌值!AA159,卡牌值!Z159)</f>
        <v>2500</v>
      </c>
    </row>
    <row r="160" spans="13:28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803</v>
      </c>
      <c r="Q160" s="18">
        <f>ROUND(INDEX(挂机派遣!$AW$3:$BD$10,卡牌值!O160-1,4)*INDEX($W$5:$W$8,N160)/10,0)*10</f>
        <v>130</v>
      </c>
      <c r="R160" s="14" t="s">
        <v>808</v>
      </c>
      <c r="S160" s="18">
        <f>ROUND(INDEX(挂机派遣!$BA$3:$BC$10,O160-1,3) * INDEX($W$5:$W$8,N160)  /5,0)*5</f>
        <v>90</v>
      </c>
      <c r="T160" s="18" t="str">
        <f>INDEX(卡牌!$H$4:$H$39,MATCH(卡牌值!M160,卡牌!$A$4:$A$39,0))</f>
        <v>水修身材料</v>
      </c>
      <c r="U160" s="18">
        <f>ROUND(INDEX(挂机派遣!$BD$3:$BD$10,O160-1)  *  INDEX($W$5:$W$8,N160)  /5,0)*5</f>
        <v>25</v>
      </c>
      <c r="V160" s="18">
        <f t="shared" ref="V160:V161" si="57">ROUND(INDEX($E$5:$E$13,O160-1)*INDEX($W$5:$W$8,N160)/1000,0)*1000</f>
        <v>29000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54"/>
        <v>3</v>
      </c>
      <c r="AB160" s="18">
        <f>INDEX(金币汇总!$W$8:$Z$12,卡牌值!AA160,卡牌值!Z160)</f>
        <v>4500</v>
      </c>
    </row>
    <row r="161" spans="13:28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804</v>
      </c>
      <c r="Q161" s="18">
        <f>ROUND(INDEX(挂机派遣!$AW$3:$BD$10,卡牌值!O161-1,4)*INDEX($W$5:$W$8,N161)/10,0)*10</f>
        <v>300</v>
      </c>
      <c r="R161" s="14" t="s">
        <v>808</v>
      </c>
      <c r="S161" s="18">
        <f>ROUND(INDEX(挂机派遣!$BA$3:$BC$10,O161-1,3) * INDEX($W$5:$W$8,N161)  /5,0)*5</f>
        <v>105</v>
      </c>
      <c r="T161" s="18" t="str">
        <f>INDEX(卡牌!$H$4:$H$39,MATCH(卡牌值!M161,卡牌!$A$4:$A$39,0))</f>
        <v>水修身材料</v>
      </c>
      <c r="U161" s="18">
        <f>ROUND(INDEX(挂机派遣!$BD$3:$BD$10,O161-1)  *  INDEX($W$5:$W$8,N161)  /5,0)*5</f>
        <v>95</v>
      </c>
      <c r="V161" s="18">
        <f t="shared" si="57"/>
        <v>57000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54"/>
        <v>4</v>
      </c>
      <c r="AB161" s="18">
        <f>INDEX(金币汇总!$W$8:$Z$12,卡牌值!AA161,卡牌值!Z161)</f>
        <v>7000</v>
      </c>
    </row>
    <row r="162" spans="13:28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54"/>
        <v>5</v>
      </c>
      <c r="AB162" s="18">
        <f>INDEX(金币汇总!$W$8:$Z$12,卡牌值!AA162,卡牌值!Z162)</f>
        <v>9000</v>
      </c>
    </row>
    <row r="163" spans="13:28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762</v>
      </c>
      <c r="Q163" s="18">
        <f>ROUND(INDEX(挂机派遣!$AW$3:$BD$10,卡牌值!O163-1,1)*INDEX($W$5:$W$8,N163)/10,0)*10</f>
        <v>60</v>
      </c>
      <c r="V163" s="18">
        <f>ROUND(INDEX($E$5:$E$13,O163-1)*INDEX($W$5:$W$8,N163)/50,0)*50</f>
        <v>750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54"/>
        <v>1</v>
      </c>
      <c r="AB163" s="18">
        <f>INDEX(金币汇总!$W$8:$Z$12,卡牌值!AA163,卡牌值!Z163)</f>
        <v>1000</v>
      </c>
    </row>
    <row r="164" spans="13:28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762</v>
      </c>
      <c r="Q164" s="18">
        <f>ROUND(INDEX(挂机派遣!$AW$3:$BD$10,卡牌值!O164-1,1)*INDEX($W$5:$W$8,N164)/10,0)*10</f>
        <v>150</v>
      </c>
      <c r="R164" s="14" t="s">
        <v>805</v>
      </c>
      <c r="S164" s="18">
        <f>ROUND(INDEX(挂机派遣!$BA$3:$BC$10,O164-1,1) * INDEX($W$5:$W$8,N164)  /5,0)*5</f>
        <v>25</v>
      </c>
      <c r="V164" s="18">
        <f>ROUND(INDEX($E$5:$E$13,O164-1)*INDEX($W$5:$W$8,N164)/500,0)*500</f>
        <v>4000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54"/>
        <v>2</v>
      </c>
      <c r="AB164" s="18">
        <f>INDEX(金币汇总!$W$8:$Z$12,卡牌值!AA164,卡牌值!Z164)</f>
        <v>1500</v>
      </c>
    </row>
    <row r="165" spans="13:28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800</v>
      </c>
      <c r="Q165" s="18">
        <f>ROUND(INDEX(挂机派遣!$AW$3:$BD$10,卡牌值!O165-1,2)*INDEX($W$5:$W$8,N165)/10,0)*10</f>
        <v>90</v>
      </c>
      <c r="R165" s="14" t="s">
        <v>805</v>
      </c>
      <c r="S165" s="18">
        <f>ROUND(INDEX(挂机派遣!$BA$3:$BC$10,O165-1,1) * INDEX($W$5:$W$8,N165)  /5,0)*5</f>
        <v>60</v>
      </c>
      <c r="V165" s="18">
        <f t="shared" ref="V165:V167" si="58">ROUND(INDEX($E$5:$E$13,O165-1)*INDEX($W$5:$W$8,N165)/500,0)*500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54"/>
        <v>3</v>
      </c>
      <c r="AB165" s="18">
        <f>INDEX(金币汇总!$W$8:$Z$12,卡牌值!AA165,卡牌值!Z165)</f>
        <v>3250</v>
      </c>
    </row>
    <row r="166" spans="13:28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763</v>
      </c>
      <c r="Q166" s="18">
        <f>ROUND(INDEX(挂机派遣!$AW$3:$BD$10,卡牌值!O166-1,2)*INDEX($W$5:$W$8,N166)/10,0)*10</f>
        <v>210</v>
      </c>
      <c r="R166" s="14" t="s">
        <v>806</v>
      </c>
      <c r="S166" s="18">
        <f>ROUND(INDEX(挂机派遣!$BA$3:$BC$10,O166-1,2) * INDEX($W$5:$W$8,N166)  /5,0)*5</f>
        <v>45</v>
      </c>
      <c r="V166" s="18">
        <f t="shared" si="58"/>
        <v>8000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54"/>
        <v>4</v>
      </c>
      <c r="AB166" s="18">
        <f>INDEX(金币汇总!$W$8:$Z$12,卡牌值!AA166,卡牌值!Z166)</f>
        <v>5000</v>
      </c>
    </row>
    <row r="167" spans="13:28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801</v>
      </c>
      <c r="Q167" s="18">
        <f>ROUND(INDEX(挂机派遣!$AW$3:$BD$10,卡牌值!O167-1,3)*INDEX($W$5:$W$8,N167)/10,0)*10</f>
        <v>130</v>
      </c>
      <c r="R167" s="14" t="s">
        <v>807</v>
      </c>
      <c r="S167" s="18">
        <f>ROUND(INDEX(挂机派遣!$BA$3:$BC$10,O167-1,2) * INDEX($W$5:$W$8,N167)  /5,0)*5</f>
        <v>110</v>
      </c>
      <c r="V167" s="18">
        <f t="shared" si="58"/>
        <v>11000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54"/>
        <v>5</v>
      </c>
      <c r="AB167" s="18">
        <f>INDEX(金币汇总!$W$8:$Z$12,卡牌值!AA167,卡牌值!Z167)</f>
        <v>6000</v>
      </c>
    </row>
    <row r="168" spans="13:28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802</v>
      </c>
      <c r="Q168" s="18">
        <f>ROUND(INDEX(挂机派遣!$AW$3:$BD$10,卡牌值!O168-1,3)*INDEX($W$5:$W$8,N168)/10,0)*10</f>
        <v>310</v>
      </c>
      <c r="R168" s="14" t="s">
        <v>808</v>
      </c>
      <c r="S168" s="18">
        <f>ROUND(INDEX(挂机派遣!$BA$3:$BC$10,O168-1,3) * INDEX($W$5:$W$8,N168)  /5,0)*5</f>
        <v>50</v>
      </c>
      <c r="V168" s="18">
        <f>ROUND(INDEX($E$5:$E$13,O168-1)*INDEX($W$5:$W$8,N168)/1000,0)*1000</f>
        <v>13000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54"/>
        <v>1</v>
      </c>
      <c r="AB168" s="18">
        <f>INDEX(金币汇总!$W$8:$Z$12,卡牌值!AA168,卡牌值!Z168)</f>
        <v>1000</v>
      </c>
    </row>
    <row r="169" spans="13:28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803</v>
      </c>
      <c r="Q169" s="18">
        <f>ROUND(INDEX(挂机派遣!$AW$3:$BD$10,卡牌值!O169-1,4)*INDEX($W$5:$W$8,N169)/10,0)*10</f>
        <v>110</v>
      </c>
      <c r="R169" s="14" t="s">
        <v>808</v>
      </c>
      <c r="S169" s="18">
        <f>ROUND(INDEX(挂机派遣!$BA$3:$BC$10,O169-1,3) * INDEX($W$5:$W$8,N169)  /5,0)*5</f>
        <v>70</v>
      </c>
      <c r="T169" s="18" t="str">
        <f>INDEX(卡牌!$H$4:$H$39,MATCH(卡牌值!M169,卡牌!$A$4:$A$39,0))</f>
        <v>火修身材料</v>
      </c>
      <c r="U169" s="18">
        <f>ROUND(INDEX(挂机派遣!$BD$3:$BD$10,O169-1)  *  INDEX($W$5:$W$8,N169)  /5,0)*5</f>
        <v>20</v>
      </c>
      <c r="V169" s="18">
        <f t="shared" ref="V169:V170" si="59">ROUND(INDEX($E$5:$E$13,O169-1)*INDEX($W$5:$W$8,N169)/1000,0)*1000</f>
        <v>23000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54"/>
        <v>2</v>
      </c>
      <c r="AB169" s="18">
        <f>INDEX(金币汇总!$W$8:$Z$12,卡牌值!AA169,卡牌值!Z169)</f>
        <v>3000</v>
      </c>
    </row>
    <row r="170" spans="13:28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804</v>
      </c>
      <c r="Q170" s="18">
        <f>ROUND(INDEX(挂机派遣!$AW$3:$BD$10,卡牌值!O170-1,4)*INDEX($W$5:$W$8,N170)/10,0)*10</f>
        <v>240</v>
      </c>
      <c r="R170" s="14" t="s">
        <v>808</v>
      </c>
      <c r="S170" s="18">
        <f>ROUND(INDEX(挂机派遣!$BA$3:$BC$10,O170-1,3) * INDEX($W$5:$W$8,N170)  /5,0)*5</f>
        <v>85</v>
      </c>
      <c r="T170" s="18" t="str">
        <f>INDEX(卡牌!$H$4:$H$39,MATCH(卡牌值!M170,卡牌!$A$4:$A$39,0))</f>
        <v>火修身材料</v>
      </c>
      <c r="U170" s="18">
        <f>ROUND(INDEX(挂机派遣!$BD$3:$BD$10,O170-1)  *  INDEX($W$5:$W$8,N170)  /5,0)*5</f>
        <v>75</v>
      </c>
      <c r="V170" s="18">
        <f t="shared" si="59"/>
        <v>46000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54"/>
        <v>3</v>
      </c>
      <c r="AB170" s="18">
        <f>INDEX(金币汇总!$W$8:$Z$12,卡牌值!AA170,卡牌值!Z170)</f>
        <v>6000</v>
      </c>
    </row>
    <row r="171" spans="13:28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54"/>
        <v>4</v>
      </c>
      <c r="AB171" s="18">
        <f>INDEX(金币汇总!$W$8:$Z$12,卡牌值!AA171,卡牌值!Z171)</f>
        <v>9000</v>
      </c>
    </row>
    <row r="172" spans="13:28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762</v>
      </c>
      <c r="Q172" s="18">
        <f>ROUND(INDEX(挂机派遣!$AW$3:$BD$10,卡牌值!O172-1,1)*INDEX($W$5:$W$8,N172)/10,0)*10</f>
        <v>60</v>
      </c>
      <c r="V172" s="18">
        <f>ROUND(INDEX($E$5:$E$13,O172-1)*INDEX($W$5:$W$8,N172)/50,0)*50</f>
        <v>750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54"/>
        <v>5</v>
      </c>
      <c r="AB172" s="18">
        <f>INDEX(金币汇总!$W$8:$Z$12,卡牌值!AA172,卡牌值!Z172)</f>
        <v>12000</v>
      </c>
    </row>
    <row r="173" spans="13:28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762</v>
      </c>
      <c r="Q173" s="18">
        <f>ROUND(INDEX(挂机派遣!$AW$3:$BD$10,卡牌值!O173-1,1)*INDEX($W$5:$W$8,N173)/10,0)*10</f>
        <v>150</v>
      </c>
      <c r="R173" s="14" t="s">
        <v>805</v>
      </c>
      <c r="S173" s="18">
        <f>ROUND(INDEX(挂机派遣!$BA$3:$BC$10,O173-1,1) * INDEX($W$5:$W$8,N173)  /5,0)*5</f>
        <v>25</v>
      </c>
      <c r="V173" s="18">
        <f>ROUND(INDEX($E$5:$E$13,O173-1)*INDEX($W$5:$W$8,N173)/500,0)*500</f>
        <v>4000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54"/>
        <v>1</v>
      </c>
      <c r="AB173" s="18">
        <f>INDEX(金币汇总!$W$8:$Z$12,卡牌值!AA173,卡牌值!Z173)</f>
        <v>1000</v>
      </c>
    </row>
    <row r="174" spans="13:28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800</v>
      </c>
      <c r="Q174" s="18">
        <f>ROUND(INDEX(挂机派遣!$AW$3:$BD$10,卡牌值!O174-1,2)*INDEX($W$5:$W$8,N174)/10,0)*10</f>
        <v>90</v>
      </c>
      <c r="R174" s="14" t="s">
        <v>805</v>
      </c>
      <c r="S174" s="18">
        <f>ROUND(INDEX(挂机派遣!$BA$3:$BC$10,O174-1,1) * INDEX($W$5:$W$8,N174)  /5,0)*5</f>
        <v>60</v>
      </c>
      <c r="V174" s="18">
        <f t="shared" ref="V174:V176" si="60">ROUND(INDEX($E$5:$E$13,O174-1)*INDEX($W$5:$W$8,N174)/500,0)*500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54"/>
        <v>2</v>
      </c>
      <c r="AB174" s="18">
        <f>INDEX(金币汇总!$W$8:$Z$12,卡牌值!AA174,卡牌值!Z174)</f>
        <v>2500</v>
      </c>
    </row>
    <row r="175" spans="13:28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763</v>
      </c>
      <c r="Q175" s="18">
        <f>ROUND(INDEX(挂机派遣!$AW$3:$BD$10,卡牌值!O175-1,2)*INDEX($W$5:$W$8,N175)/10,0)*10</f>
        <v>210</v>
      </c>
      <c r="R175" s="14" t="s">
        <v>806</v>
      </c>
      <c r="S175" s="18">
        <f>ROUND(INDEX(挂机派遣!$BA$3:$BC$10,O175-1,2) * INDEX($W$5:$W$8,N175)  /5,0)*5</f>
        <v>45</v>
      </c>
      <c r="V175" s="18">
        <f t="shared" si="60"/>
        <v>8000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54"/>
        <v>3</v>
      </c>
      <c r="AB175" s="18">
        <f>INDEX(金币汇总!$W$8:$Z$12,卡牌值!AA175,卡牌值!Z175)</f>
        <v>4500</v>
      </c>
    </row>
    <row r="176" spans="13:28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801</v>
      </c>
      <c r="Q176" s="18">
        <f>ROUND(INDEX(挂机派遣!$AW$3:$BD$10,卡牌值!O176-1,3)*INDEX($W$5:$W$8,N176)/10,0)*10</f>
        <v>130</v>
      </c>
      <c r="R176" s="14" t="s">
        <v>807</v>
      </c>
      <c r="S176" s="18">
        <f>ROUND(INDEX(挂机派遣!$BA$3:$BC$10,O176-1,2) * INDEX($W$5:$W$8,N176)  /5,0)*5</f>
        <v>110</v>
      </c>
      <c r="V176" s="18">
        <f t="shared" si="60"/>
        <v>11000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54"/>
        <v>4</v>
      </c>
      <c r="AB176" s="18">
        <f>INDEX(金币汇总!$W$8:$Z$12,卡牌值!AA176,卡牌值!Z176)</f>
        <v>7000</v>
      </c>
    </row>
    <row r="177" spans="13:28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802</v>
      </c>
      <c r="Q177" s="18">
        <f>ROUND(INDEX(挂机派遣!$AW$3:$BD$10,卡牌值!O177-1,3)*INDEX($W$5:$W$8,N177)/10,0)*10</f>
        <v>310</v>
      </c>
      <c r="R177" s="14" t="s">
        <v>808</v>
      </c>
      <c r="S177" s="18">
        <f>ROUND(INDEX(挂机派遣!$BA$3:$BC$10,O177-1,3) * INDEX($W$5:$W$8,N177)  /5,0)*5</f>
        <v>50</v>
      </c>
      <c r="V177" s="18">
        <f>ROUND(INDEX($E$5:$E$13,O177-1)*INDEX($W$5:$W$8,N177)/1000,0)*1000</f>
        <v>13000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54"/>
        <v>5</v>
      </c>
      <c r="AB177" s="18">
        <f>INDEX(金币汇总!$W$8:$Z$12,卡牌值!AA177,卡牌值!Z177)</f>
        <v>9000</v>
      </c>
    </row>
    <row r="178" spans="13:28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803</v>
      </c>
      <c r="Q178" s="18">
        <f>ROUND(INDEX(挂机派遣!$AW$3:$BD$10,卡牌值!O178-1,4)*INDEX($W$5:$W$8,N178)/10,0)*10</f>
        <v>110</v>
      </c>
      <c r="R178" s="14" t="s">
        <v>808</v>
      </c>
      <c r="S178" s="18">
        <f>ROUND(INDEX(挂机派遣!$BA$3:$BC$10,O178-1,3) * INDEX($W$5:$W$8,N178)  /5,0)*5</f>
        <v>70</v>
      </c>
      <c r="T178" s="18" t="str">
        <f>INDEX(卡牌!$H$4:$H$39,MATCH(卡牌值!M178,卡牌!$A$4:$A$39,0))</f>
        <v>火修身材料</v>
      </c>
      <c r="U178" s="18">
        <f>ROUND(INDEX(挂机派遣!$BD$3:$BD$10,O178-1)  *  INDEX($W$5:$W$8,N178)  /5,0)*5</f>
        <v>20</v>
      </c>
      <c r="V178" s="18">
        <f t="shared" ref="V178:V179" si="61">ROUND(INDEX($E$5:$E$13,O178-1)*INDEX($W$5:$W$8,N178)/1000,0)*1000</f>
        <v>23000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54"/>
        <v>1</v>
      </c>
      <c r="AB178" s="18">
        <f>INDEX(金币汇总!$W$8:$Z$12,卡牌值!AA178,卡牌值!Z178)</f>
        <v>1000</v>
      </c>
    </row>
    <row r="179" spans="13:28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804</v>
      </c>
      <c r="Q179" s="18">
        <f>ROUND(INDEX(挂机派遣!$AW$3:$BD$10,卡牌值!O179-1,4)*INDEX($W$5:$W$8,N179)/10,0)*10</f>
        <v>240</v>
      </c>
      <c r="R179" s="14" t="s">
        <v>808</v>
      </c>
      <c r="S179" s="18">
        <f>ROUND(INDEX(挂机派遣!$BA$3:$BC$10,O179-1,3) * INDEX($W$5:$W$8,N179)  /5,0)*5</f>
        <v>85</v>
      </c>
      <c r="T179" s="18" t="str">
        <f>INDEX(卡牌!$H$4:$H$39,MATCH(卡牌值!M179,卡牌!$A$4:$A$39,0))</f>
        <v>火修身材料</v>
      </c>
      <c r="U179" s="18">
        <f>ROUND(INDEX(挂机派遣!$BD$3:$BD$10,O179-1)  *  INDEX($W$5:$W$8,N179)  /5,0)*5</f>
        <v>75</v>
      </c>
      <c r="V179" s="18">
        <f t="shared" si="61"/>
        <v>46000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54"/>
        <v>2</v>
      </c>
      <c r="AB179" s="18">
        <f>INDEX(金币汇总!$W$8:$Z$12,卡牌值!AA179,卡牌值!Z179)</f>
        <v>1500</v>
      </c>
    </row>
    <row r="180" spans="13:28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54"/>
        <v>3</v>
      </c>
      <c r="AB180" s="18">
        <f>INDEX(金币汇总!$W$8:$Z$12,卡牌值!AA180,卡牌值!Z180)</f>
        <v>3250</v>
      </c>
    </row>
    <row r="181" spans="13:28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762</v>
      </c>
      <c r="Q181" s="18">
        <f>ROUND(INDEX(挂机派遣!$AW$3:$BD$10,卡牌值!O181-1,1)*INDEX($W$5:$W$8,N181)/10,0)*10</f>
        <v>50</v>
      </c>
      <c r="V181" s="18">
        <f>ROUND(INDEX($E$5:$E$13,O181-1)*INDEX($W$5:$W$8,N181)/50,0)*50</f>
        <v>600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54"/>
        <v>4</v>
      </c>
      <c r="AB181" s="18">
        <f>INDEX(金币汇总!$W$8:$Z$12,卡牌值!AA181,卡牌值!Z181)</f>
        <v>5000</v>
      </c>
    </row>
    <row r="182" spans="13:28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762</v>
      </c>
      <c r="Q182" s="18">
        <f>ROUND(INDEX(挂机派遣!$AW$3:$BD$10,卡牌值!O182-1,1)*INDEX($W$5:$W$8,N182)/10,0)*10</f>
        <v>120</v>
      </c>
      <c r="R182" s="14" t="s">
        <v>805</v>
      </c>
      <c r="S182" s="18">
        <f>ROUND(INDEX(挂机派遣!$BA$3:$BC$10,O182-1,1) * INDEX($W$5:$W$8,N182)  /5,0)*5</f>
        <v>20</v>
      </c>
      <c r="V182" s="18">
        <f>ROUND(INDEX($E$5:$E$13,O182-1)*INDEX($W$5:$W$8,N182)/500,0)*500</f>
        <v>3500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54"/>
        <v>5</v>
      </c>
      <c r="AB182" s="18">
        <f>INDEX(金币汇总!$W$8:$Z$12,卡牌值!AA182,卡牌值!Z182)</f>
        <v>6000</v>
      </c>
    </row>
    <row r="183" spans="13:28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800</v>
      </c>
      <c r="Q183" s="18">
        <f>ROUND(INDEX(挂机派遣!$AW$3:$BD$10,卡牌值!O183-1,2)*INDEX($W$5:$W$8,N183)/10,0)*10</f>
        <v>70</v>
      </c>
      <c r="R183" s="14" t="s">
        <v>805</v>
      </c>
      <c r="S183" s="18">
        <f>ROUND(INDEX(挂机派遣!$BA$3:$BC$10,O183-1,1) * INDEX($W$5:$W$8,N183)  /5,0)*5</f>
        <v>50</v>
      </c>
      <c r="V183" s="18">
        <f t="shared" ref="V183:V185" si="62">ROUND(INDEX($E$5:$E$13,O183-1)*INDEX($W$5:$W$8,N183)/500,0)*500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54"/>
        <v>1</v>
      </c>
      <c r="AB183" s="18">
        <f>INDEX(金币汇总!$W$8:$Z$12,卡牌值!AA183,卡牌值!Z183)</f>
        <v>1000</v>
      </c>
    </row>
    <row r="184" spans="13:28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763</v>
      </c>
      <c r="Q184" s="18">
        <f>ROUND(INDEX(挂机派遣!$AW$3:$BD$10,卡牌值!O184-1,2)*INDEX($W$5:$W$8,N184)/10,0)*10</f>
        <v>160</v>
      </c>
      <c r="R184" s="14" t="s">
        <v>806</v>
      </c>
      <c r="S184" s="18">
        <f>ROUND(INDEX(挂机派遣!$BA$3:$BC$10,O184-1,2) * INDEX($W$5:$W$8,N184)  /5,0)*5</f>
        <v>35</v>
      </c>
      <c r="V184" s="18">
        <f t="shared" si="62"/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54"/>
        <v>2</v>
      </c>
      <c r="AB184" s="18">
        <f>INDEX(金币汇总!$W$8:$Z$12,卡牌值!AA184,卡牌值!Z184)</f>
        <v>1500</v>
      </c>
    </row>
    <row r="185" spans="13:28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801</v>
      </c>
      <c r="Q185" s="18">
        <f>ROUND(INDEX(挂机派遣!$AW$3:$BD$10,卡牌值!O185-1,3)*INDEX($W$5:$W$8,N185)/10,0)*10</f>
        <v>100</v>
      </c>
      <c r="R185" s="14" t="s">
        <v>807</v>
      </c>
      <c r="S185" s="18">
        <f>ROUND(INDEX(挂机派遣!$BA$3:$BC$10,O185-1,2) * INDEX($W$5:$W$8,N185)  /5,0)*5</f>
        <v>90</v>
      </c>
      <c r="V185" s="18">
        <f t="shared" si="62"/>
        <v>9000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54"/>
        <v>3</v>
      </c>
      <c r="AB185" s="18">
        <f>INDEX(金币汇总!$W$8:$Z$12,卡牌值!AA185,卡牌值!Z185)</f>
        <v>3250</v>
      </c>
    </row>
    <row r="186" spans="13:28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802</v>
      </c>
      <c r="Q186" s="18">
        <f>ROUND(INDEX(挂机派遣!$AW$3:$BD$10,卡牌值!O186-1,3)*INDEX($W$5:$W$8,N186)/10,0)*10</f>
        <v>240</v>
      </c>
      <c r="R186" s="14" t="s">
        <v>808</v>
      </c>
      <c r="S186" s="18">
        <f>ROUND(INDEX(挂机派遣!$BA$3:$BC$10,O186-1,3) * INDEX($W$5:$W$8,N186)  /5,0)*5</f>
        <v>40</v>
      </c>
      <c r="V186" s="18">
        <f>ROUND(INDEX($E$5:$E$13,O186-1)*INDEX($W$5:$W$8,N186)/1000,0)*1000</f>
        <v>10000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54"/>
        <v>4</v>
      </c>
      <c r="AB186" s="18">
        <f>INDEX(金币汇总!$W$8:$Z$12,卡牌值!AA186,卡牌值!Z186)</f>
        <v>5000</v>
      </c>
    </row>
    <row r="187" spans="13:28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803</v>
      </c>
      <c r="Q187" s="18">
        <f>ROUND(INDEX(挂机派遣!$AW$3:$BD$10,卡牌值!O187-1,4)*INDEX($W$5:$W$8,N187)/10,0)*10</f>
        <v>80</v>
      </c>
      <c r="R187" s="14" t="s">
        <v>808</v>
      </c>
      <c r="S187" s="18">
        <f>ROUND(INDEX(挂机派遣!$BA$3:$BC$10,O187-1,3) * INDEX($W$5:$W$8,N187)  /5,0)*5</f>
        <v>55</v>
      </c>
      <c r="T187" s="18" t="str">
        <f>INDEX(卡牌!$H$4:$H$39,MATCH(卡牌值!M187,卡牌!$A$4:$A$39,0))</f>
        <v>雷修身材料</v>
      </c>
      <c r="U187" s="18">
        <f>ROUND(INDEX(挂机派遣!$BD$3:$BD$10,O187-1)  *  INDEX($W$5:$W$8,N187)  /5,0)*5</f>
        <v>15</v>
      </c>
      <c r="V187" s="18">
        <f t="shared" ref="V187:V188" si="63">ROUND(INDEX($E$5:$E$13,O187-1)*INDEX($W$5:$W$8,N187)/1000,0)*1000</f>
        <v>19000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54"/>
        <v>5</v>
      </c>
      <c r="AB187" s="18">
        <f>INDEX(金币汇总!$W$8:$Z$12,卡牌值!AA187,卡牌值!Z187)</f>
        <v>6000</v>
      </c>
    </row>
    <row r="188" spans="13:28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804</v>
      </c>
      <c r="Q188" s="18">
        <f>ROUND(INDEX(挂机派遣!$AW$3:$BD$10,卡牌值!O188-1,4)*INDEX($W$5:$W$8,N188)/10,0)*10</f>
        <v>190</v>
      </c>
      <c r="R188" s="14" t="s">
        <v>808</v>
      </c>
      <c r="S188" s="18">
        <f>ROUND(INDEX(挂机派遣!$BA$3:$BC$10,O188-1,3) * INDEX($W$5:$W$8,N188)  /5,0)*5</f>
        <v>70</v>
      </c>
      <c r="T188" s="18" t="str">
        <f>INDEX(卡牌!$H$4:$H$39,MATCH(卡牌值!M188,卡牌!$A$4:$A$39,0))</f>
        <v>雷修身材料</v>
      </c>
      <c r="U188" s="18">
        <f>ROUND(INDEX(挂机派遣!$BD$3:$BD$10,O188-1)  *  INDEX($W$5:$W$8,N188)  /5,0)*5</f>
        <v>60</v>
      </c>
      <c r="V188" s="18">
        <f t="shared" si="63"/>
        <v>37000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54"/>
        <v>1</v>
      </c>
      <c r="AB188" s="18">
        <f>INDEX(金币汇总!$W$8:$Z$12,卡牌值!AA188,卡牌值!Z188)</f>
        <v>1000</v>
      </c>
    </row>
    <row r="189" spans="13:28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54"/>
        <v>2</v>
      </c>
      <c r="AB189" s="18">
        <f>INDEX(金币汇总!$W$8:$Z$12,卡牌值!AA189,卡牌值!Z189)</f>
        <v>2500</v>
      </c>
    </row>
    <row r="190" spans="13:28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762</v>
      </c>
      <c r="Q190" s="18">
        <f>ROUND(INDEX(挂机派遣!$AW$3:$BD$10,卡牌值!O190-1,1)*INDEX($W$5:$W$8,N190)/10,0)*10</f>
        <v>60</v>
      </c>
      <c r="V190" s="18">
        <f>ROUND(INDEX($E$5:$E$13,O190-1)*INDEX($W$5:$W$8,N190)/50,0)*50</f>
        <v>750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54"/>
        <v>3</v>
      </c>
      <c r="AB190" s="18">
        <f>INDEX(金币汇总!$W$8:$Z$12,卡牌值!AA190,卡牌值!Z190)</f>
        <v>4500</v>
      </c>
    </row>
    <row r="191" spans="13:28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762</v>
      </c>
      <c r="Q191" s="18">
        <f>ROUND(INDEX(挂机派遣!$AW$3:$BD$10,卡牌值!O191-1,1)*INDEX($W$5:$W$8,N191)/10,0)*10</f>
        <v>150</v>
      </c>
      <c r="R191" s="14" t="s">
        <v>805</v>
      </c>
      <c r="S191" s="18">
        <f>ROUND(INDEX(挂机派遣!$BA$3:$BC$10,O191-1,1) * INDEX($W$5:$W$8,N191)  /5,0)*5</f>
        <v>25</v>
      </c>
      <c r="V191" s="18">
        <f>ROUND(INDEX($E$5:$E$13,O191-1)*INDEX($W$5:$W$8,N191)/500,0)*500</f>
        <v>4000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54"/>
        <v>4</v>
      </c>
      <c r="AB191" s="18">
        <f>INDEX(金币汇总!$W$8:$Z$12,卡牌值!AA191,卡牌值!Z191)</f>
        <v>7000</v>
      </c>
    </row>
    <row r="192" spans="13:28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800</v>
      </c>
      <c r="Q192" s="18">
        <f>ROUND(INDEX(挂机派遣!$AW$3:$BD$10,卡牌值!O192-1,2)*INDEX($W$5:$W$8,N192)/10,0)*10</f>
        <v>90</v>
      </c>
      <c r="R192" s="14" t="s">
        <v>805</v>
      </c>
      <c r="S192" s="18">
        <f>ROUND(INDEX(挂机派遣!$BA$3:$BC$10,O192-1,1) * INDEX($W$5:$W$8,N192)  /5,0)*5</f>
        <v>60</v>
      </c>
      <c r="V192" s="18">
        <f t="shared" ref="V192:V194" si="64">ROUND(INDEX($E$5:$E$13,O192-1)*INDEX($W$5:$W$8,N192)/500,0)*500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54"/>
        <v>5</v>
      </c>
      <c r="AB192" s="18">
        <f>INDEX(金币汇总!$W$8:$Z$12,卡牌值!AA192,卡牌值!Z192)</f>
        <v>9000</v>
      </c>
    </row>
    <row r="193" spans="13:28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763</v>
      </c>
      <c r="Q193" s="18">
        <f>ROUND(INDEX(挂机派遣!$AW$3:$BD$10,卡牌值!O193-1,2)*INDEX($W$5:$W$8,N193)/10,0)*10</f>
        <v>210</v>
      </c>
      <c r="R193" s="14" t="s">
        <v>806</v>
      </c>
      <c r="S193" s="18">
        <f>ROUND(INDEX(挂机派遣!$BA$3:$BC$10,O193-1,2) * INDEX($W$5:$W$8,N193)  /5,0)*5</f>
        <v>45</v>
      </c>
      <c r="V193" s="18">
        <f t="shared" si="64"/>
        <v>8000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54"/>
        <v>1</v>
      </c>
      <c r="AB193" s="18">
        <f>INDEX(金币汇总!$W$8:$Z$12,卡牌值!AA193,卡牌值!Z193)</f>
        <v>1000</v>
      </c>
    </row>
    <row r="194" spans="13:28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801</v>
      </c>
      <c r="Q194" s="18">
        <f>ROUND(INDEX(挂机派遣!$AW$3:$BD$10,卡牌值!O194-1,3)*INDEX($W$5:$W$8,N194)/10,0)*10</f>
        <v>130</v>
      </c>
      <c r="R194" s="14" t="s">
        <v>807</v>
      </c>
      <c r="S194" s="18">
        <f>ROUND(INDEX(挂机派遣!$BA$3:$BC$10,O194-1,2) * INDEX($W$5:$W$8,N194)  /5,0)*5</f>
        <v>110</v>
      </c>
      <c r="V194" s="18">
        <f t="shared" si="64"/>
        <v>11000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54"/>
        <v>2</v>
      </c>
      <c r="AB194" s="18">
        <f>INDEX(金币汇总!$W$8:$Z$12,卡牌值!AA194,卡牌值!Z194)</f>
        <v>1500</v>
      </c>
    </row>
    <row r="195" spans="13:28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802</v>
      </c>
      <c r="Q195" s="18">
        <f>ROUND(INDEX(挂机派遣!$AW$3:$BD$10,卡牌值!O195-1,3)*INDEX($W$5:$W$8,N195)/10,0)*10</f>
        <v>310</v>
      </c>
      <c r="R195" s="14" t="s">
        <v>808</v>
      </c>
      <c r="S195" s="18">
        <f>ROUND(INDEX(挂机派遣!$BA$3:$BC$10,O195-1,3) * INDEX($W$5:$W$8,N195)  /5,0)*5</f>
        <v>50</v>
      </c>
      <c r="V195" s="18">
        <f>ROUND(INDEX($E$5:$E$13,O195-1)*INDEX($W$5:$W$8,N195)/1000,0)*1000</f>
        <v>13000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54"/>
        <v>3</v>
      </c>
      <c r="AB195" s="18">
        <f>INDEX(金币汇总!$W$8:$Z$12,卡牌值!AA195,卡牌值!Z195)</f>
        <v>3250</v>
      </c>
    </row>
    <row r="196" spans="13:28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803</v>
      </c>
      <c r="Q196" s="18">
        <f>ROUND(INDEX(挂机派遣!$AW$3:$BD$10,卡牌值!O196-1,4)*INDEX($W$5:$W$8,N196)/10,0)*10</f>
        <v>110</v>
      </c>
      <c r="R196" s="14" t="s">
        <v>808</v>
      </c>
      <c r="S196" s="18">
        <f>ROUND(INDEX(挂机派遣!$BA$3:$BC$10,O196-1,3) * INDEX($W$5:$W$8,N196)  /5,0)*5</f>
        <v>70</v>
      </c>
      <c r="T196" s="18" t="str">
        <f>INDEX(卡牌!$H$4:$H$39,MATCH(卡牌值!M196,卡牌!$A$4:$A$39,0))</f>
        <v>水修身材料</v>
      </c>
      <c r="U196" s="18">
        <f>ROUND(INDEX(挂机派遣!$BD$3:$BD$10,O196-1)  *  INDEX($W$5:$W$8,N196)  /5,0)*5</f>
        <v>20</v>
      </c>
      <c r="V196" s="18">
        <f t="shared" ref="V196:V197" si="65">ROUND(INDEX($E$5:$E$13,O196-1)*INDEX($W$5:$W$8,N196)/1000,0)*1000</f>
        <v>23000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54"/>
        <v>4</v>
      </c>
      <c r="AB196" s="18">
        <f>INDEX(金币汇总!$W$8:$Z$12,卡牌值!AA196,卡牌值!Z196)</f>
        <v>5000</v>
      </c>
    </row>
    <row r="197" spans="13:28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804</v>
      </c>
      <c r="Q197" s="18">
        <f>ROUND(INDEX(挂机派遣!$AW$3:$BD$10,卡牌值!O197-1,4)*INDEX($W$5:$W$8,N197)/10,0)*10</f>
        <v>240</v>
      </c>
      <c r="R197" s="14" t="s">
        <v>808</v>
      </c>
      <c r="S197" s="18">
        <f>ROUND(INDEX(挂机派遣!$BA$3:$BC$10,O197-1,3) * INDEX($W$5:$W$8,N197)  /5,0)*5</f>
        <v>85</v>
      </c>
      <c r="T197" s="18" t="str">
        <f>INDEX(卡牌!$H$4:$H$39,MATCH(卡牌值!M197,卡牌!$A$4:$A$39,0))</f>
        <v>水修身材料</v>
      </c>
      <c r="U197" s="18">
        <f>ROUND(INDEX(挂机派遣!$BD$3:$BD$10,O197-1)  *  INDEX($W$5:$W$8,N197)  /5,0)*5</f>
        <v>75</v>
      </c>
      <c r="V197" s="18">
        <f t="shared" si="65"/>
        <v>46000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54"/>
        <v>5</v>
      </c>
      <c r="AB197" s="18">
        <f>INDEX(金币汇总!$W$8:$Z$12,卡牌值!AA197,卡牌值!Z197)</f>
        <v>6000</v>
      </c>
    </row>
    <row r="198" spans="13:28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8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762</v>
      </c>
      <c r="Q199" s="18">
        <f>ROUND(INDEX(挂机派遣!$AW$3:$BD$10,卡牌值!O199-1,1)*INDEX($W$5:$W$8,N199)/10,0)*10</f>
        <v>80</v>
      </c>
      <c r="V199" s="18">
        <f>ROUND(INDEX($E$5:$E$13,O199-1)*INDEX($W$5:$W$8,N199)/50,0)*50</f>
        <v>950</v>
      </c>
    </row>
    <row r="200" spans="13:28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762</v>
      </c>
      <c r="Q200" s="18">
        <f>ROUND(INDEX(挂机派遣!$AW$3:$BD$10,卡牌值!O200-1,1)*INDEX($W$5:$W$8,N200)/10,0)*10</f>
        <v>180</v>
      </c>
      <c r="R200" s="14" t="s">
        <v>805</v>
      </c>
      <c r="S200" s="18">
        <f>ROUND(INDEX(挂机派遣!$BA$3:$BC$10,O200-1,1) * INDEX($W$5:$W$8,N200)  /5,0)*5</f>
        <v>30</v>
      </c>
      <c r="V200" s="18">
        <f>ROUND(INDEX($E$5:$E$13,O200-1)*INDEX($W$5:$W$8,N200)/500,0)*500</f>
        <v>5000</v>
      </c>
    </row>
    <row r="201" spans="13:28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800</v>
      </c>
      <c r="Q201" s="18">
        <f>ROUND(INDEX(挂机派遣!$AW$3:$BD$10,卡牌值!O201-1,2)*INDEX($W$5:$W$8,N201)/10,0)*10</f>
        <v>110</v>
      </c>
      <c r="R201" s="14" t="s">
        <v>805</v>
      </c>
      <c r="S201" s="18">
        <f>ROUND(INDEX(挂机派遣!$BA$3:$BC$10,O201-1,1) * INDEX($W$5:$W$8,N201)  /5,0)*5</f>
        <v>75</v>
      </c>
      <c r="V201" s="18">
        <f t="shared" ref="V201:V203" si="66">ROUND(INDEX($E$5:$E$13,O201-1)*INDEX($W$5:$W$8,N201)/500,0)*500</f>
        <v>7000</v>
      </c>
    </row>
    <row r="202" spans="13:28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763</v>
      </c>
      <c r="Q202" s="18">
        <f>ROUND(INDEX(挂机派遣!$AW$3:$BD$10,卡牌值!O202-1,2)*INDEX($W$5:$W$8,N202)/10,0)*10</f>
        <v>260</v>
      </c>
      <c r="R202" s="14" t="s">
        <v>806</v>
      </c>
      <c r="S202" s="18">
        <f>ROUND(INDEX(挂机派遣!$BA$3:$BC$10,O202-1,2) * INDEX($W$5:$W$8,N202)  /5,0)*5</f>
        <v>55</v>
      </c>
      <c r="V202" s="18">
        <f t="shared" si="66"/>
        <v>10000</v>
      </c>
    </row>
    <row r="203" spans="13:28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801</v>
      </c>
      <c r="Q203" s="18">
        <f>ROUND(INDEX(挂机派遣!$AW$3:$BD$10,卡牌值!O203-1,3)*INDEX($W$5:$W$8,N203)/10,0)*10</f>
        <v>160</v>
      </c>
      <c r="R203" s="14" t="s">
        <v>807</v>
      </c>
      <c r="S203" s="18">
        <f>ROUND(INDEX(挂机派遣!$BA$3:$BC$10,O203-1,2) * INDEX($W$5:$W$8,N203)  /5,0)*5</f>
        <v>140</v>
      </c>
      <c r="V203" s="18">
        <f t="shared" si="66"/>
        <v>14000</v>
      </c>
    </row>
    <row r="204" spans="13:28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802</v>
      </c>
      <c r="Q204" s="18">
        <f>ROUND(INDEX(挂机派遣!$AW$3:$BD$10,卡牌值!O204-1,3)*INDEX($W$5:$W$8,N204)/10,0)*10</f>
        <v>380</v>
      </c>
      <c r="R204" s="14" t="s">
        <v>808</v>
      </c>
      <c r="S204" s="18">
        <f>ROUND(INDEX(挂机派遣!$BA$3:$BC$10,O204-1,3) * INDEX($W$5:$W$8,N204)  /5,0)*5</f>
        <v>65</v>
      </c>
      <c r="V204" s="18">
        <f>ROUND(INDEX($E$5:$E$13,O204-1)*INDEX($W$5:$W$8,N204)/1000,0)*1000</f>
        <v>16000</v>
      </c>
    </row>
    <row r="205" spans="13:28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803</v>
      </c>
      <c r="Q205" s="18">
        <f>ROUND(INDEX(挂机派遣!$AW$3:$BD$10,卡牌值!O205-1,4)*INDEX($W$5:$W$8,N205)/10,0)*10</f>
        <v>130</v>
      </c>
      <c r="R205" s="14" t="s">
        <v>808</v>
      </c>
      <c r="S205" s="18">
        <f>ROUND(INDEX(挂机派遣!$BA$3:$BC$10,O205-1,3) * INDEX($W$5:$W$8,N205)  /5,0)*5</f>
        <v>90</v>
      </c>
      <c r="T205" s="18" t="str">
        <f>INDEX(卡牌!$H$4:$H$39,MATCH(卡牌值!M205,卡牌!$A$4:$A$39,0))</f>
        <v>土修身材料</v>
      </c>
      <c r="U205" s="18">
        <f>ROUND(INDEX(挂机派遣!$BD$3:$BD$10,O205-1)  *  INDEX($W$5:$W$8,N205)  /5,0)*5</f>
        <v>25</v>
      </c>
      <c r="V205" s="18">
        <f t="shared" ref="V205:V206" si="67">ROUND(INDEX($E$5:$E$13,O205-1)*INDEX($W$5:$W$8,N205)/1000,0)*1000</f>
        <v>29000</v>
      </c>
    </row>
    <row r="206" spans="13:28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804</v>
      </c>
      <c r="Q206" s="18">
        <f>ROUND(INDEX(挂机派遣!$AW$3:$BD$10,卡牌值!O206-1,4)*INDEX($W$5:$W$8,N206)/10,0)*10</f>
        <v>300</v>
      </c>
      <c r="R206" s="14" t="s">
        <v>808</v>
      </c>
      <c r="S206" s="18">
        <f>ROUND(INDEX(挂机派遣!$BA$3:$BC$10,O206-1,3) * INDEX($W$5:$W$8,N206)  /5,0)*5</f>
        <v>105</v>
      </c>
      <c r="T206" s="18" t="str">
        <f>INDEX(卡牌!$H$4:$H$39,MATCH(卡牌值!M206,卡牌!$A$4:$A$39,0))</f>
        <v>土修身材料</v>
      </c>
      <c r="U206" s="18">
        <f>ROUND(INDEX(挂机派遣!$BD$3:$BD$10,O206-1)  *  INDEX($W$5:$W$8,N206)  /5,0)*5</f>
        <v>95</v>
      </c>
      <c r="V206" s="18">
        <f t="shared" si="67"/>
        <v>57000</v>
      </c>
    </row>
    <row r="207" spans="13:28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8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762</v>
      </c>
      <c r="Q208" s="18">
        <f>ROUND(INDEX(挂机派遣!$AW$3:$BD$10,卡牌值!O208-1,1)*INDEX($W$5:$W$8,N208)/10,0)*10</f>
        <v>60</v>
      </c>
      <c r="V208" s="18">
        <f>ROUND(INDEX($E$5:$E$13,O208-1)*INDEX($W$5:$W$8,N208)/50,0)*50</f>
        <v>750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762</v>
      </c>
      <c r="Q209" s="18">
        <f>ROUND(INDEX(挂机派遣!$AW$3:$BD$10,卡牌值!O209-1,1)*INDEX($W$5:$W$8,N209)/10,0)*10</f>
        <v>150</v>
      </c>
      <c r="R209" s="14" t="s">
        <v>805</v>
      </c>
      <c r="S209" s="18">
        <f>ROUND(INDEX(挂机派遣!$BA$3:$BC$10,O209-1,1) * INDEX($W$5:$W$8,N209)  /5,0)*5</f>
        <v>25</v>
      </c>
      <c r="V209" s="18">
        <f>ROUND(INDEX($E$5:$E$13,O209-1)*INDEX($W$5:$W$8,N209)/500,0)*500</f>
        <v>4000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800</v>
      </c>
      <c r="Q210" s="18">
        <f>ROUND(INDEX(挂机派遣!$AW$3:$BD$10,卡牌值!O210-1,2)*INDEX($W$5:$W$8,N210)/10,0)*10</f>
        <v>90</v>
      </c>
      <c r="R210" s="14" t="s">
        <v>805</v>
      </c>
      <c r="S210" s="18">
        <f>ROUND(INDEX(挂机派遣!$BA$3:$BC$10,O210-1,1) * INDEX($W$5:$W$8,N210)  /5,0)*5</f>
        <v>60</v>
      </c>
      <c r="V210" s="18">
        <f t="shared" ref="V210:V212" si="68">ROUND(INDEX($E$5:$E$13,O210-1)*INDEX($W$5:$W$8,N210)/500,0)*500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763</v>
      </c>
      <c r="Q211" s="18">
        <f>ROUND(INDEX(挂机派遣!$AW$3:$BD$10,卡牌值!O211-1,2)*INDEX($W$5:$W$8,N211)/10,0)*10</f>
        <v>210</v>
      </c>
      <c r="R211" s="14" t="s">
        <v>806</v>
      </c>
      <c r="S211" s="18">
        <f>ROUND(INDEX(挂机派遣!$BA$3:$BC$10,O211-1,2) * INDEX($W$5:$W$8,N211)  /5,0)*5</f>
        <v>45</v>
      </c>
      <c r="V211" s="18">
        <f t="shared" si="68"/>
        <v>8000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801</v>
      </c>
      <c r="Q212" s="18">
        <f>ROUND(INDEX(挂机派遣!$AW$3:$BD$10,卡牌值!O212-1,3)*INDEX($W$5:$W$8,N212)/10,0)*10</f>
        <v>130</v>
      </c>
      <c r="R212" s="14" t="s">
        <v>807</v>
      </c>
      <c r="S212" s="18">
        <f>ROUND(INDEX(挂机派遣!$BA$3:$BC$10,O212-1,2) * INDEX($W$5:$W$8,N212)  /5,0)*5</f>
        <v>110</v>
      </c>
      <c r="V212" s="18">
        <f t="shared" si="68"/>
        <v>11000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802</v>
      </c>
      <c r="Q213" s="18">
        <f>ROUND(INDEX(挂机派遣!$AW$3:$BD$10,卡牌值!O213-1,3)*INDEX($W$5:$W$8,N213)/10,0)*10</f>
        <v>310</v>
      </c>
      <c r="R213" s="14" t="s">
        <v>808</v>
      </c>
      <c r="S213" s="18">
        <f>ROUND(INDEX(挂机派遣!$BA$3:$BC$10,O213-1,3) * INDEX($W$5:$W$8,N213)  /5,0)*5</f>
        <v>50</v>
      </c>
      <c r="V213" s="18">
        <f>ROUND(INDEX($E$5:$E$13,O213-1)*INDEX($W$5:$W$8,N213)/1000,0)*1000</f>
        <v>13000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803</v>
      </c>
      <c r="Q214" s="18">
        <f>ROUND(INDEX(挂机派遣!$AW$3:$BD$10,卡牌值!O214-1,4)*INDEX($W$5:$W$8,N214)/10,0)*10</f>
        <v>110</v>
      </c>
      <c r="R214" s="14" t="s">
        <v>808</v>
      </c>
      <c r="S214" s="18">
        <f>ROUND(INDEX(挂机派遣!$BA$3:$BC$10,O214-1,3) * INDEX($W$5:$W$8,N214)  /5,0)*5</f>
        <v>70</v>
      </c>
      <c r="T214" s="18" t="str">
        <f>INDEX(卡牌!$H$4:$H$39,MATCH(卡牌值!M214,卡牌!$A$4:$A$39,0))</f>
        <v>火修身材料</v>
      </c>
      <c r="U214" s="18">
        <f>ROUND(INDEX(挂机派遣!$BD$3:$BD$10,O214-1)  *  INDEX($W$5:$W$8,N214)  /5,0)*5</f>
        <v>20</v>
      </c>
      <c r="V214" s="18">
        <f t="shared" ref="V214:V215" si="69">ROUND(INDEX($E$5:$E$13,O214-1)*INDEX($W$5:$W$8,N214)/1000,0)*1000</f>
        <v>23000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804</v>
      </c>
      <c r="Q215" s="18">
        <f>ROUND(INDEX(挂机派遣!$AW$3:$BD$10,卡牌值!O215-1,4)*INDEX($W$5:$W$8,N215)/10,0)*10</f>
        <v>240</v>
      </c>
      <c r="R215" s="14" t="s">
        <v>808</v>
      </c>
      <c r="S215" s="18">
        <f>ROUND(INDEX(挂机派遣!$BA$3:$BC$10,O215-1,3) * INDEX($W$5:$W$8,N215)  /5,0)*5</f>
        <v>85</v>
      </c>
      <c r="T215" s="18" t="str">
        <f>INDEX(卡牌!$H$4:$H$39,MATCH(卡牌值!M215,卡牌!$A$4:$A$39,0))</f>
        <v>火修身材料</v>
      </c>
      <c r="U215" s="18">
        <f>ROUND(INDEX(挂机派遣!$BD$3:$BD$10,O215-1)  *  INDEX($W$5:$W$8,N215)  /5,0)*5</f>
        <v>75</v>
      </c>
      <c r="V215" s="18">
        <f t="shared" si="69"/>
        <v>46000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762</v>
      </c>
      <c r="Q217" s="18">
        <f>ROUND(INDEX(挂机派遣!$AW$3:$BD$10,卡牌值!O217-1,1)*INDEX($W$5:$W$8,N217)/10,0)*10</f>
        <v>80</v>
      </c>
      <c r="V217" s="18">
        <f>ROUND(INDEX($E$5:$E$13,O217-1)*INDEX($W$5:$W$8,N217)/50,0)*50</f>
        <v>950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762</v>
      </c>
      <c r="Q218" s="18">
        <f>ROUND(INDEX(挂机派遣!$AW$3:$BD$10,卡牌值!O218-1,1)*INDEX($W$5:$W$8,N218)/10,0)*10</f>
        <v>180</v>
      </c>
      <c r="R218" s="14" t="s">
        <v>805</v>
      </c>
      <c r="S218" s="18">
        <f>ROUND(INDEX(挂机派遣!$BA$3:$BC$10,O218-1,1) * INDEX($W$5:$W$8,N218)  /5,0)*5</f>
        <v>30</v>
      </c>
      <c r="V218" s="18">
        <f>ROUND(INDEX($E$5:$E$13,O218-1)*INDEX($W$5:$W$8,N218)/500,0)*500</f>
        <v>5000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800</v>
      </c>
      <c r="Q219" s="18">
        <f>ROUND(INDEX(挂机派遣!$AW$3:$BD$10,卡牌值!O219-1,2)*INDEX($W$5:$W$8,N219)/10,0)*10</f>
        <v>110</v>
      </c>
      <c r="R219" s="14" t="s">
        <v>805</v>
      </c>
      <c r="S219" s="18">
        <f>ROUND(INDEX(挂机派遣!$BA$3:$BC$10,O219-1,1) * INDEX($W$5:$W$8,N219)  /5,0)*5</f>
        <v>75</v>
      </c>
      <c r="V219" s="18">
        <f t="shared" ref="V219:V221" si="70">ROUND(INDEX($E$5:$E$13,O219-1)*INDEX($W$5:$W$8,N219)/500,0)*500</f>
        <v>7000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763</v>
      </c>
      <c r="Q220" s="18">
        <f>ROUND(INDEX(挂机派遣!$AW$3:$BD$10,卡牌值!O220-1,2)*INDEX($W$5:$W$8,N220)/10,0)*10</f>
        <v>260</v>
      </c>
      <c r="R220" s="14" t="s">
        <v>806</v>
      </c>
      <c r="S220" s="18">
        <f>ROUND(INDEX(挂机派遣!$BA$3:$BC$10,O220-1,2) * INDEX($W$5:$W$8,N220)  /5,0)*5</f>
        <v>55</v>
      </c>
      <c r="V220" s="18">
        <f t="shared" si="70"/>
        <v>10000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801</v>
      </c>
      <c r="Q221" s="18">
        <f>ROUND(INDEX(挂机派遣!$AW$3:$BD$10,卡牌值!O221-1,3)*INDEX($W$5:$W$8,N221)/10,0)*10</f>
        <v>160</v>
      </c>
      <c r="R221" s="14" t="s">
        <v>807</v>
      </c>
      <c r="S221" s="18">
        <f>ROUND(INDEX(挂机派遣!$BA$3:$BC$10,O221-1,2) * INDEX($W$5:$W$8,N221)  /5,0)*5</f>
        <v>140</v>
      </c>
      <c r="V221" s="18">
        <f t="shared" si="70"/>
        <v>14000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802</v>
      </c>
      <c r="Q222" s="18">
        <f>ROUND(INDEX(挂机派遣!$AW$3:$BD$10,卡牌值!O222-1,3)*INDEX($W$5:$W$8,N222)/10,0)*10</f>
        <v>380</v>
      </c>
      <c r="R222" s="14" t="s">
        <v>808</v>
      </c>
      <c r="S222" s="18">
        <f>ROUND(INDEX(挂机派遣!$BA$3:$BC$10,O222-1,3) * INDEX($W$5:$W$8,N222)  /5,0)*5</f>
        <v>65</v>
      </c>
      <c r="V222" s="18">
        <f>ROUND(INDEX($E$5:$E$13,O222-1)*INDEX($W$5:$W$8,N222)/1000,0)*1000</f>
        <v>16000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803</v>
      </c>
      <c r="Q223" s="18">
        <f>ROUND(INDEX(挂机派遣!$AW$3:$BD$10,卡牌值!O223-1,4)*INDEX($W$5:$W$8,N223)/10,0)*10</f>
        <v>130</v>
      </c>
      <c r="R223" s="14" t="s">
        <v>808</v>
      </c>
      <c r="S223" s="18">
        <f>ROUND(INDEX(挂机派遣!$BA$3:$BC$10,O223-1,3) * INDEX($W$5:$W$8,N223)  /5,0)*5</f>
        <v>90</v>
      </c>
      <c r="T223" s="18" t="str">
        <f>INDEX(卡牌!$H$4:$H$39,MATCH(卡牌值!M223,卡牌!$A$4:$A$39,0))</f>
        <v>火修身材料</v>
      </c>
      <c r="U223" s="18">
        <f>ROUND(INDEX(挂机派遣!$BD$3:$BD$10,O223-1)  *  INDEX($W$5:$W$8,N223)  /5,0)*5</f>
        <v>25</v>
      </c>
      <c r="V223" s="18">
        <f t="shared" ref="V223:V224" si="71">ROUND(INDEX($E$5:$E$13,O223-1)*INDEX($W$5:$W$8,N223)/1000,0)*1000</f>
        <v>29000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804</v>
      </c>
      <c r="Q224" s="18">
        <f>ROUND(INDEX(挂机派遣!$AW$3:$BD$10,卡牌值!O224-1,4)*INDEX($W$5:$W$8,N224)/10,0)*10</f>
        <v>300</v>
      </c>
      <c r="R224" s="14" t="s">
        <v>808</v>
      </c>
      <c r="S224" s="18">
        <f>ROUND(INDEX(挂机派遣!$BA$3:$BC$10,O224-1,3) * INDEX($W$5:$W$8,N224)  /5,0)*5</f>
        <v>105</v>
      </c>
      <c r="T224" s="18" t="str">
        <f>INDEX(卡牌!$H$4:$H$39,MATCH(卡牌值!M224,卡牌!$A$4:$A$39,0))</f>
        <v>火修身材料</v>
      </c>
      <c r="U224" s="18">
        <f>ROUND(INDEX(挂机派遣!$BD$3:$BD$10,O224-1)  *  INDEX($W$5:$W$8,N224)  /5,0)*5</f>
        <v>95</v>
      </c>
      <c r="V224" s="18">
        <f t="shared" si="71"/>
        <v>57000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762</v>
      </c>
      <c r="Q226" s="18">
        <f>ROUND(INDEX(挂机派遣!$AW$3:$BD$10,卡牌值!O226-1,1)*INDEX($W$5:$W$8,N226)/10,0)*10</f>
        <v>80</v>
      </c>
      <c r="V226" s="18">
        <f>ROUND(INDEX($E$5:$E$13,O226-1)*INDEX($W$5:$W$8,N226)/50,0)*50</f>
        <v>950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762</v>
      </c>
      <c r="Q227" s="18">
        <f>ROUND(INDEX(挂机派遣!$AW$3:$BD$10,卡牌值!O227-1,1)*INDEX($W$5:$W$8,N227)/10,0)*10</f>
        <v>180</v>
      </c>
      <c r="R227" s="14" t="s">
        <v>805</v>
      </c>
      <c r="S227" s="18">
        <f>ROUND(INDEX(挂机派遣!$BA$3:$BC$10,O227-1,1) * INDEX($W$5:$W$8,N227)  /5,0)*5</f>
        <v>30</v>
      </c>
      <c r="V227" s="18">
        <f>ROUND(INDEX($E$5:$E$13,O227-1)*INDEX($W$5:$W$8,N227)/500,0)*500</f>
        <v>5000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800</v>
      </c>
      <c r="Q228" s="18">
        <f>ROUND(INDEX(挂机派遣!$AW$3:$BD$10,卡牌值!O228-1,2)*INDEX($W$5:$W$8,N228)/10,0)*10</f>
        <v>110</v>
      </c>
      <c r="R228" s="14" t="s">
        <v>805</v>
      </c>
      <c r="S228" s="18">
        <f>ROUND(INDEX(挂机派遣!$BA$3:$BC$10,O228-1,1) * INDEX($W$5:$W$8,N228)  /5,0)*5</f>
        <v>75</v>
      </c>
      <c r="V228" s="18">
        <f t="shared" ref="V228:V230" si="72">ROUND(INDEX($E$5:$E$13,O228-1)*INDEX($W$5:$W$8,N228)/500,0)*500</f>
        <v>7000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763</v>
      </c>
      <c r="Q229" s="18">
        <f>ROUND(INDEX(挂机派遣!$AW$3:$BD$10,卡牌值!O229-1,2)*INDEX($W$5:$W$8,N229)/10,0)*10</f>
        <v>260</v>
      </c>
      <c r="R229" s="14" t="s">
        <v>806</v>
      </c>
      <c r="S229" s="18">
        <f>ROUND(INDEX(挂机派遣!$BA$3:$BC$10,O229-1,2) * INDEX($W$5:$W$8,N229)  /5,0)*5</f>
        <v>55</v>
      </c>
      <c r="V229" s="18">
        <f t="shared" si="72"/>
        <v>10000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801</v>
      </c>
      <c r="Q230" s="18">
        <f>ROUND(INDEX(挂机派遣!$AW$3:$BD$10,卡牌值!O230-1,3)*INDEX($W$5:$W$8,N230)/10,0)*10</f>
        <v>160</v>
      </c>
      <c r="R230" s="14" t="s">
        <v>807</v>
      </c>
      <c r="S230" s="18">
        <f>ROUND(INDEX(挂机派遣!$BA$3:$BC$10,O230-1,2) * INDEX($W$5:$W$8,N230)  /5,0)*5</f>
        <v>140</v>
      </c>
      <c r="V230" s="18">
        <f t="shared" si="72"/>
        <v>14000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802</v>
      </c>
      <c r="Q231" s="18">
        <f>ROUND(INDEX(挂机派遣!$AW$3:$BD$10,卡牌值!O231-1,3)*INDEX($W$5:$W$8,N231)/10,0)*10</f>
        <v>380</v>
      </c>
      <c r="R231" s="14" t="s">
        <v>808</v>
      </c>
      <c r="S231" s="18">
        <f>ROUND(INDEX(挂机派遣!$BA$3:$BC$10,O231-1,3) * INDEX($W$5:$W$8,N231)  /5,0)*5</f>
        <v>65</v>
      </c>
      <c r="V231" s="18">
        <f>ROUND(INDEX($E$5:$E$13,O231-1)*INDEX($W$5:$W$8,N231)/1000,0)*1000</f>
        <v>16000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803</v>
      </c>
      <c r="Q232" s="18">
        <f>ROUND(INDEX(挂机派遣!$AW$3:$BD$10,卡牌值!O232-1,4)*INDEX($W$5:$W$8,N232)/10,0)*10</f>
        <v>130</v>
      </c>
      <c r="R232" s="14" t="s">
        <v>808</v>
      </c>
      <c r="S232" s="18">
        <f>ROUND(INDEX(挂机派遣!$BA$3:$BC$10,O232-1,3) * INDEX($W$5:$W$8,N232)  /5,0)*5</f>
        <v>90</v>
      </c>
      <c r="T232" s="18" t="str">
        <f>INDEX(卡牌!$H$4:$H$39,MATCH(卡牌值!M232,卡牌!$A$4:$A$39,0))</f>
        <v>雷修身材料</v>
      </c>
      <c r="U232" s="18">
        <f>ROUND(INDEX(挂机派遣!$BD$3:$BD$10,O232-1)  *  INDEX($W$5:$W$8,N232)  /5,0)*5</f>
        <v>25</v>
      </c>
      <c r="V232" s="18">
        <f t="shared" ref="V232:V233" si="73">ROUND(INDEX($E$5:$E$13,O232-1)*INDEX($W$5:$W$8,N232)/1000,0)*1000</f>
        <v>29000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804</v>
      </c>
      <c r="Q233" s="18">
        <f>ROUND(INDEX(挂机派遣!$AW$3:$BD$10,卡牌值!O233-1,4)*INDEX($W$5:$W$8,N233)/10,0)*10</f>
        <v>300</v>
      </c>
      <c r="R233" s="14" t="s">
        <v>808</v>
      </c>
      <c r="S233" s="18">
        <f>ROUND(INDEX(挂机派遣!$BA$3:$BC$10,O233-1,3) * INDEX($W$5:$W$8,N233)  /5,0)*5</f>
        <v>105</v>
      </c>
      <c r="T233" s="18" t="str">
        <f>INDEX(卡牌!$H$4:$H$39,MATCH(卡牌值!M233,卡牌!$A$4:$A$39,0))</f>
        <v>雷修身材料</v>
      </c>
      <c r="U233" s="18">
        <f>ROUND(INDEX(挂机派遣!$BD$3:$BD$10,O233-1)  *  INDEX($W$5:$W$8,N233)  /5,0)*5</f>
        <v>95</v>
      </c>
      <c r="V233" s="18">
        <f t="shared" si="73"/>
        <v>57000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762</v>
      </c>
      <c r="Q235" s="18">
        <f>ROUND(INDEX(挂机派遣!$AW$3:$BD$10,卡牌值!O235-1,1)*INDEX($W$5:$W$8,N235)/10,0)*10</f>
        <v>80</v>
      </c>
      <c r="V235" s="18">
        <f>ROUND(INDEX($E$5:$E$13,O235-1)*INDEX($W$5:$W$8,N235)/50,0)*50</f>
        <v>950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762</v>
      </c>
      <c r="Q236" s="18">
        <f>ROUND(INDEX(挂机派遣!$AW$3:$BD$10,卡牌值!O236-1,1)*INDEX($W$5:$W$8,N236)/10,0)*10</f>
        <v>180</v>
      </c>
      <c r="R236" s="14" t="s">
        <v>805</v>
      </c>
      <c r="S236" s="18">
        <f>ROUND(INDEX(挂机派遣!$BA$3:$BC$10,O236-1,1) * INDEX($W$5:$W$8,N236)  /5,0)*5</f>
        <v>30</v>
      </c>
      <c r="V236" s="18">
        <f>ROUND(INDEX($E$5:$E$13,O236-1)*INDEX($W$5:$W$8,N236)/500,0)*500</f>
        <v>5000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800</v>
      </c>
      <c r="Q237" s="18">
        <f>ROUND(INDEX(挂机派遣!$AW$3:$BD$10,卡牌值!O237-1,2)*INDEX($W$5:$W$8,N237)/10,0)*10</f>
        <v>110</v>
      </c>
      <c r="R237" s="14" t="s">
        <v>805</v>
      </c>
      <c r="S237" s="18">
        <f>ROUND(INDEX(挂机派遣!$BA$3:$BC$10,O237-1,1) * INDEX($W$5:$W$8,N237)  /5,0)*5</f>
        <v>75</v>
      </c>
      <c r="V237" s="18">
        <f t="shared" ref="V237:V239" si="74">ROUND(INDEX($E$5:$E$13,O237-1)*INDEX($W$5:$W$8,N237)/500,0)*500</f>
        <v>7000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763</v>
      </c>
      <c r="Q238" s="18">
        <f>ROUND(INDEX(挂机派遣!$AW$3:$BD$10,卡牌值!O238-1,2)*INDEX($W$5:$W$8,N238)/10,0)*10</f>
        <v>260</v>
      </c>
      <c r="R238" s="14" t="s">
        <v>806</v>
      </c>
      <c r="S238" s="18">
        <f>ROUND(INDEX(挂机派遣!$BA$3:$BC$10,O238-1,2) * INDEX($W$5:$W$8,N238)  /5,0)*5</f>
        <v>55</v>
      </c>
      <c r="V238" s="18">
        <f t="shared" si="74"/>
        <v>10000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801</v>
      </c>
      <c r="Q239" s="18">
        <f>ROUND(INDEX(挂机派遣!$AW$3:$BD$10,卡牌值!O239-1,3)*INDEX($W$5:$W$8,N239)/10,0)*10</f>
        <v>160</v>
      </c>
      <c r="R239" s="14" t="s">
        <v>807</v>
      </c>
      <c r="S239" s="18">
        <f>ROUND(INDEX(挂机派遣!$BA$3:$BC$10,O239-1,2) * INDEX($W$5:$W$8,N239)  /5,0)*5</f>
        <v>140</v>
      </c>
      <c r="V239" s="18">
        <f t="shared" si="74"/>
        <v>14000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802</v>
      </c>
      <c r="Q240" s="18">
        <f>ROUND(INDEX(挂机派遣!$AW$3:$BD$10,卡牌值!O240-1,3)*INDEX($W$5:$W$8,N240)/10,0)*10</f>
        <v>380</v>
      </c>
      <c r="R240" s="14" t="s">
        <v>808</v>
      </c>
      <c r="S240" s="18">
        <f>ROUND(INDEX(挂机派遣!$BA$3:$BC$10,O240-1,3) * INDEX($W$5:$W$8,N240)  /5,0)*5</f>
        <v>65</v>
      </c>
      <c r="V240" s="18">
        <f>ROUND(INDEX($E$5:$E$13,O240-1)*INDEX($W$5:$W$8,N240)/1000,0)*1000</f>
        <v>16000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803</v>
      </c>
      <c r="Q241" s="18">
        <f>ROUND(INDEX(挂机派遣!$AW$3:$BD$10,卡牌值!O241-1,4)*INDEX($W$5:$W$8,N241)/10,0)*10</f>
        <v>130</v>
      </c>
      <c r="R241" s="14" t="s">
        <v>808</v>
      </c>
      <c r="S241" s="18">
        <f>ROUND(INDEX(挂机派遣!$BA$3:$BC$10,O241-1,3) * INDEX($W$5:$W$8,N241)  /5,0)*5</f>
        <v>90</v>
      </c>
      <c r="T241" s="18" t="str">
        <f>INDEX(卡牌!$H$4:$H$39,MATCH(卡牌值!M241,卡牌!$A$4:$A$39,0))</f>
        <v>风修身材料</v>
      </c>
      <c r="U241" s="18">
        <f>ROUND(INDEX(挂机派遣!$BD$3:$BD$10,O241-1)  *  INDEX($W$5:$W$8,N241)  /5,0)*5</f>
        <v>25</v>
      </c>
      <c r="V241" s="18">
        <f t="shared" ref="V241:V242" si="75">ROUND(INDEX($E$5:$E$13,O241-1)*INDEX($W$5:$W$8,N241)/1000,0)*1000</f>
        <v>29000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804</v>
      </c>
      <c r="Q242" s="18">
        <f>ROUND(INDEX(挂机派遣!$AW$3:$BD$10,卡牌值!O242-1,4)*INDEX($W$5:$W$8,N242)/10,0)*10</f>
        <v>300</v>
      </c>
      <c r="R242" s="14" t="s">
        <v>808</v>
      </c>
      <c r="S242" s="18">
        <f>ROUND(INDEX(挂机派遣!$BA$3:$BC$10,O242-1,3) * INDEX($W$5:$W$8,N242)  /5,0)*5</f>
        <v>105</v>
      </c>
      <c r="T242" s="18" t="str">
        <f>INDEX(卡牌!$H$4:$H$39,MATCH(卡牌值!M242,卡牌!$A$4:$A$39,0))</f>
        <v>风修身材料</v>
      </c>
      <c r="U242" s="18">
        <f>ROUND(INDEX(挂机派遣!$BD$3:$BD$10,O242-1)  *  INDEX($W$5:$W$8,N242)  /5,0)*5</f>
        <v>95</v>
      </c>
      <c r="V242" s="18">
        <f t="shared" si="75"/>
        <v>57000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762</v>
      </c>
      <c r="Q244" s="18">
        <f>ROUND(INDEX(挂机派遣!$AW$3:$BD$10,卡牌值!O244-1,1)*INDEX($W$5:$W$8,N244)/10,0)*10</f>
        <v>80</v>
      </c>
      <c r="V244" s="18">
        <f>ROUND(INDEX($E$5:$E$13,O244-1)*INDEX($W$5:$W$8,N244)/50,0)*50</f>
        <v>950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762</v>
      </c>
      <c r="Q245" s="18">
        <f>ROUND(INDEX(挂机派遣!$AW$3:$BD$10,卡牌值!O245-1,1)*INDEX($W$5:$W$8,N245)/10,0)*10</f>
        <v>180</v>
      </c>
      <c r="R245" s="14" t="s">
        <v>805</v>
      </c>
      <c r="S245" s="18">
        <f>ROUND(INDEX(挂机派遣!$BA$3:$BC$10,O245-1,1) * INDEX($W$5:$W$8,N245)  /5,0)*5</f>
        <v>30</v>
      </c>
      <c r="V245" s="18">
        <f>ROUND(INDEX($E$5:$E$13,O245-1)*INDEX($W$5:$W$8,N245)/500,0)*500</f>
        <v>5000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800</v>
      </c>
      <c r="Q246" s="18">
        <f>ROUND(INDEX(挂机派遣!$AW$3:$BD$10,卡牌值!O246-1,2)*INDEX($W$5:$W$8,N246)/10,0)*10</f>
        <v>110</v>
      </c>
      <c r="R246" s="14" t="s">
        <v>805</v>
      </c>
      <c r="S246" s="18">
        <f>ROUND(INDEX(挂机派遣!$BA$3:$BC$10,O246-1,1) * INDEX($W$5:$W$8,N246)  /5,0)*5</f>
        <v>75</v>
      </c>
      <c r="V246" s="18">
        <f t="shared" ref="V246:V248" si="76">ROUND(INDEX($E$5:$E$13,O246-1)*INDEX($W$5:$W$8,N246)/500,0)*500</f>
        <v>7000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763</v>
      </c>
      <c r="Q247" s="18">
        <f>ROUND(INDEX(挂机派遣!$AW$3:$BD$10,卡牌值!O247-1,2)*INDEX($W$5:$W$8,N247)/10,0)*10</f>
        <v>260</v>
      </c>
      <c r="R247" s="14" t="s">
        <v>806</v>
      </c>
      <c r="S247" s="18">
        <f>ROUND(INDEX(挂机派遣!$BA$3:$BC$10,O247-1,2) * INDEX($W$5:$W$8,N247)  /5,0)*5</f>
        <v>55</v>
      </c>
      <c r="V247" s="18">
        <f t="shared" si="76"/>
        <v>10000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801</v>
      </c>
      <c r="Q248" s="18">
        <f>ROUND(INDEX(挂机派遣!$AW$3:$BD$10,卡牌值!O248-1,3)*INDEX($W$5:$W$8,N248)/10,0)*10</f>
        <v>160</v>
      </c>
      <c r="R248" s="14" t="s">
        <v>807</v>
      </c>
      <c r="S248" s="18">
        <f>ROUND(INDEX(挂机派遣!$BA$3:$BC$10,O248-1,2) * INDEX($W$5:$W$8,N248)  /5,0)*5</f>
        <v>140</v>
      </c>
      <c r="V248" s="18">
        <f t="shared" si="76"/>
        <v>14000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802</v>
      </c>
      <c r="Q249" s="18">
        <f>ROUND(INDEX(挂机派遣!$AW$3:$BD$10,卡牌值!O249-1,3)*INDEX($W$5:$W$8,N249)/10,0)*10</f>
        <v>380</v>
      </c>
      <c r="R249" s="14" t="s">
        <v>808</v>
      </c>
      <c r="S249" s="18">
        <f>ROUND(INDEX(挂机派遣!$BA$3:$BC$10,O249-1,3) * INDEX($W$5:$W$8,N249)  /5,0)*5</f>
        <v>65</v>
      </c>
      <c r="V249" s="18">
        <f>ROUND(INDEX($E$5:$E$13,O249-1)*INDEX($W$5:$W$8,N249)/1000,0)*1000</f>
        <v>16000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803</v>
      </c>
      <c r="Q250" s="18">
        <f>ROUND(INDEX(挂机派遣!$AW$3:$BD$10,卡牌值!O250-1,4)*INDEX($W$5:$W$8,N250)/10,0)*10</f>
        <v>130</v>
      </c>
      <c r="R250" s="14" t="s">
        <v>808</v>
      </c>
      <c r="S250" s="18">
        <f>ROUND(INDEX(挂机派遣!$BA$3:$BC$10,O250-1,3) * INDEX($W$5:$W$8,N250)  /5,0)*5</f>
        <v>90</v>
      </c>
      <c r="T250" s="18" t="str">
        <f>INDEX(卡牌!$H$4:$H$39,MATCH(卡牌值!M250,卡牌!$A$4:$A$39,0))</f>
        <v>水修身材料</v>
      </c>
      <c r="U250" s="18">
        <f>ROUND(INDEX(挂机派遣!$BD$3:$BD$10,O250-1)  *  INDEX($W$5:$W$8,N250)  /5,0)*5</f>
        <v>25</v>
      </c>
      <c r="V250" s="18">
        <f t="shared" ref="V250:V251" si="77">ROUND(INDEX($E$5:$E$13,O250-1)*INDEX($W$5:$W$8,N250)/1000,0)*1000</f>
        <v>29000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804</v>
      </c>
      <c r="Q251" s="18">
        <f>ROUND(INDEX(挂机派遣!$AW$3:$BD$10,卡牌值!O251-1,4)*INDEX($W$5:$W$8,N251)/10,0)*10</f>
        <v>300</v>
      </c>
      <c r="R251" s="14" t="s">
        <v>808</v>
      </c>
      <c r="S251" s="18">
        <f>ROUND(INDEX(挂机派遣!$BA$3:$BC$10,O251-1,3) * INDEX($W$5:$W$8,N251)  /5,0)*5</f>
        <v>105</v>
      </c>
      <c r="T251" s="18" t="str">
        <f>INDEX(卡牌!$H$4:$H$39,MATCH(卡牌值!M251,卡牌!$A$4:$A$39,0))</f>
        <v>水修身材料</v>
      </c>
      <c r="U251" s="18">
        <f>ROUND(INDEX(挂机派遣!$BD$3:$BD$10,O251-1)  *  INDEX($W$5:$W$8,N251)  /5,0)*5</f>
        <v>95</v>
      </c>
      <c r="V251" s="18">
        <f t="shared" si="77"/>
        <v>57000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762</v>
      </c>
      <c r="Q253" s="18">
        <f>ROUND(INDEX(挂机派遣!$AW$3:$BD$10,卡牌值!O253-1,1)*INDEX($W$5:$W$8,N253)/10,0)*10</f>
        <v>80</v>
      </c>
      <c r="V253" s="18">
        <f>ROUND(INDEX($E$5:$E$13,O253-1)*INDEX($W$5:$W$8,N253)/50,0)*50</f>
        <v>950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762</v>
      </c>
      <c r="Q254" s="18">
        <f>ROUND(INDEX(挂机派遣!$AW$3:$BD$10,卡牌值!O254-1,1)*INDEX($W$5:$W$8,N254)/10,0)*10</f>
        <v>180</v>
      </c>
      <c r="R254" s="14" t="s">
        <v>805</v>
      </c>
      <c r="S254" s="18">
        <f>ROUND(INDEX(挂机派遣!$BA$3:$BC$10,O254-1,1) * INDEX($W$5:$W$8,N254)  /5,0)*5</f>
        <v>30</v>
      </c>
      <c r="V254" s="18">
        <f>ROUND(INDEX($E$5:$E$13,O254-1)*INDEX($W$5:$W$8,N254)/500,0)*500</f>
        <v>5000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800</v>
      </c>
      <c r="Q255" s="18">
        <f>ROUND(INDEX(挂机派遣!$AW$3:$BD$10,卡牌值!O255-1,2)*INDEX($W$5:$W$8,N255)/10,0)*10</f>
        <v>110</v>
      </c>
      <c r="R255" s="14" t="s">
        <v>805</v>
      </c>
      <c r="S255" s="18">
        <f>ROUND(INDEX(挂机派遣!$BA$3:$BC$10,O255-1,1) * INDEX($W$5:$W$8,N255)  /5,0)*5</f>
        <v>75</v>
      </c>
      <c r="V255" s="18">
        <f t="shared" ref="V255:V257" si="78">ROUND(INDEX($E$5:$E$13,O255-1)*INDEX($W$5:$W$8,N255)/500,0)*500</f>
        <v>7000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763</v>
      </c>
      <c r="Q256" s="18">
        <f>ROUND(INDEX(挂机派遣!$AW$3:$BD$10,卡牌值!O256-1,2)*INDEX($W$5:$W$8,N256)/10,0)*10</f>
        <v>260</v>
      </c>
      <c r="R256" s="14" t="s">
        <v>806</v>
      </c>
      <c r="S256" s="18">
        <f>ROUND(INDEX(挂机派遣!$BA$3:$BC$10,O256-1,2) * INDEX($W$5:$W$8,N256)  /5,0)*5</f>
        <v>55</v>
      </c>
      <c r="V256" s="18">
        <f t="shared" si="78"/>
        <v>10000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801</v>
      </c>
      <c r="Q257" s="18">
        <f>ROUND(INDEX(挂机派遣!$AW$3:$BD$10,卡牌值!O257-1,3)*INDEX($W$5:$W$8,N257)/10,0)*10</f>
        <v>160</v>
      </c>
      <c r="R257" s="14" t="s">
        <v>807</v>
      </c>
      <c r="S257" s="18">
        <f>ROUND(INDEX(挂机派遣!$BA$3:$BC$10,O257-1,2) * INDEX($W$5:$W$8,N257)  /5,0)*5</f>
        <v>140</v>
      </c>
      <c r="V257" s="18">
        <f t="shared" si="78"/>
        <v>14000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802</v>
      </c>
      <c r="Q258" s="18">
        <f>ROUND(INDEX(挂机派遣!$AW$3:$BD$10,卡牌值!O258-1,3)*INDEX($W$5:$W$8,N258)/10,0)*10</f>
        <v>380</v>
      </c>
      <c r="R258" s="14" t="s">
        <v>808</v>
      </c>
      <c r="S258" s="18">
        <f>ROUND(INDEX(挂机派遣!$BA$3:$BC$10,O258-1,3) * INDEX($W$5:$W$8,N258)  /5,0)*5</f>
        <v>65</v>
      </c>
      <c r="V258" s="18">
        <f>ROUND(INDEX($E$5:$E$13,O258-1)*INDEX($W$5:$W$8,N258)/1000,0)*1000</f>
        <v>16000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803</v>
      </c>
      <c r="Q259" s="18">
        <f>ROUND(INDEX(挂机派遣!$AW$3:$BD$10,卡牌值!O259-1,4)*INDEX($W$5:$W$8,N259)/10,0)*10</f>
        <v>130</v>
      </c>
      <c r="R259" s="14" t="s">
        <v>808</v>
      </c>
      <c r="S259" s="18">
        <f>ROUND(INDEX(挂机派遣!$BA$3:$BC$10,O259-1,3) * INDEX($W$5:$W$8,N259)  /5,0)*5</f>
        <v>90</v>
      </c>
      <c r="T259" s="18" t="str">
        <f>INDEX(卡牌!$H$4:$H$39,MATCH(卡牌值!M259,卡牌!$A$4:$A$39,0))</f>
        <v>火修身材料</v>
      </c>
      <c r="U259" s="18">
        <f>ROUND(INDEX(挂机派遣!$BD$3:$BD$10,O259-1)  *  INDEX($W$5:$W$8,N259)  /5,0)*5</f>
        <v>25</v>
      </c>
      <c r="V259" s="18">
        <f t="shared" ref="V259:V260" si="79">ROUND(INDEX($E$5:$E$13,O259-1)*INDEX($W$5:$W$8,N259)/1000,0)*1000</f>
        <v>29000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804</v>
      </c>
      <c r="Q260" s="18">
        <f>ROUND(INDEX(挂机派遣!$AW$3:$BD$10,卡牌值!O260-1,4)*INDEX($W$5:$W$8,N260)/10,0)*10</f>
        <v>300</v>
      </c>
      <c r="R260" s="14" t="s">
        <v>808</v>
      </c>
      <c r="S260" s="18">
        <f>ROUND(INDEX(挂机派遣!$BA$3:$BC$10,O260-1,3) * INDEX($W$5:$W$8,N260)  /5,0)*5</f>
        <v>105</v>
      </c>
      <c r="T260" s="18" t="str">
        <f>INDEX(卡牌!$H$4:$H$39,MATCH(卡牌值!M260,卡牌!$A$4:$A$39,0))</f>
        <v>火修身材料</v>
      </c>
      <c r="U260" s="18">
        <f>ROUND(INDEX(挂机派遣!$BD$3:$BD$10,O260-1)  *  INDEX($W$5:$W$8,N260)  /5,0)*5</f>
        <v>95</v>
      </c>
      <c r="V260" s="18">
        <f t="shared" si="79"/>
        <v>57000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762</v>
      </c>
      <c r="Q262" s="18">
        <f>ROUND(INDEX(挂机派遣!$AW$3:$BD$10,卡牌值!O262-1,1)*INDEX($W$5:$W$8,N262)/10,0)*10</f>
        <v>50</v>
      </c>
      <c r="V262" s="18">
        <f>ROUND(INDEX($E$5:$E$13,O262-1)*INDEX($W$5:$W$8,N262)/50,0)*50</f>
        <v>600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762</v>
      </c>
      <c r="Q263" s="18">
        <f>ROUND(INDEX(挂机派遣!$AW$3:$BD$10,卡牌值!O263-1,1)*INDEX($W$5:$W$8,N263)/10,0)*10</f>
        <v>120</v>
      </c>
      <c r="R263" s="14" t="s">
        <v>805</v>
      </c>
      <c r="S263" s="18">
        <f>ROUND(INDEX(挂机派遣!$BA$3:$BC$10,O263-1,1) * INDEX($W$5:$W$8,N263)  /5,0)*5</f>
        <v>20</v>
      </c>
      <c r="V263" s="18">
        <f>ROUND(INDEX($E$5:$E$13,O263-1)*INDEX($W$5:$W$8,N263)/500,0)*500</f>
        <v>3500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800</v>
      </c>
      <c r="Q264" s="18">
        <f>ROUND(INDEX(挂机派遣!$AW$3:$BD$10,卡牌值!O264-1,2)*INDEX($W$5:$W$8,N264)/10,0)*10</f>
        <v>70</v>
      </c>
      <c r="R264" s="14" t="s">
        <v>805</v>
      </c>
      <c r="S264" s="18">
        <f>ROUND(INDEX(挂机派遣!$BA$3:$BC$10,O264-1,1) * INDEX($W$5:$W$8,N264)  /5,0)*5</f>
        <v>50</v>
      </c>
      <c r="V264" s="18">
        <f t="shared" ref="V264:V266" si="80">ROUND(INDEX($E$5:$E$13,O264-1)*INDEX($W$5:$W$8,N264)/500,0)*500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763</v>
      </c>
      <c r="Q265" s="18">
        <f>ROUND(INDEX(挂机派遣!$AW$3:$BD$10,卡牌值!O265-1,2)*INDEX($W$5:$W$8,N265)/10,0)*10</f>
        <v>160</v>
      </c>
      <c r="R265" s="14" t="s">
        <v>806</v>
      </c>
      <c r="S265" s="18">
        <f>ROUND(INDEX(挂机派遣!$BA$3:$BC$10,O265-1,2) * INDEX($W$5:$W$8,N265)  /5,0)*5</f>
        <v>35</v>
      </c>
      <c r="V265" s="18">
        <f t="shared" si="80"/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801</v>
      </c>
      <c r="Q266" s="18">
        <f>ROUND(INDEX(挂机派遣!$AW$3:$BD$10,卡牌值!O266-1,3)*INDEX($W$5:$W$8,N266)/10,0)*10</f>
        <v>100</v>
      </c>
      <c r="R266" s="14" t="s">
        <v>807</v>
      </c>
      <c r="S266" s="18">
        <f>ROUND(INDEX(挂机派遣!$BA$3:$BC$10,O266-1,2) * INDEX($W$5:$W$8,N266)  /5,0)*5</f>
        <v>90</v>
      </c>
      <c r="V266" s="18">
        <f t="shared" si="80"/>
        <v>9000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802</v>
      </c>
      <c r="Q267" s="18">
        <f>ROUND(INDEX(挂机派遣!$AW$3:$BD$10,卡牌值!O267-1,3)*INDEX($W$5:$W$8,N267)/10,0)*10</f>
        <v>240</v>
      </c>
      <c r="R267" s="14" t="s">
        <v>808</v>
      </c>
      <c r="S267" s="18">
        <f>ROUND(INDEX(挂机派遣!$BA$3:$BC$10,O267-1,3) * INDEX($W$5:$W$8,N267)  /5,0)*5</f>
        <v>40</v>
      </c>
      <c r="V267" s="18">
        <f>ROUND(INDEX($E$5:$E$13,O267-1)*INDEX($W$5:$W$8,N267)/1000,0)*1000</f>
        <v>10000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803</v>
      </c>
      <c r="Q268" s="18">
        <f>ROUND(INDEX(挂机派遣!$AW$3:$BD$10,卡牌值!O268-1,4)*INDEX($W$5:$W$8,N268)/10,0)*10</f>
        <v>80</v>
      </c>
      <c r="R268" s="14" t="s">
        <v>808</v>
      </c>
      <c r="S268" s="18">
        <f>ROUND(INDEX(挂机派遣!$BA$3:$BC$10,O268-1,3) * INDEX($W$5:$W$8,N268)  /5,0)*5</f>
        <v>55</v>
      </c>
      <c r="T268" s="18" t="str">
        <f>INDEX(卡牌!$H$4:$H$39,MATCH(卡牌值!M268,卡牌!$A$4:$A$39,0))</f>
        <v>土修身材料</v>
      </c>
      <c r="U268" s="18">
        <f>ROUND(INDEX(挂机派遣!$BD$3:$BD$10,O268-1)  *  INDEX($W$5:$W$8,N268)  /5,0)*5</f>
        <v>15</v>
      </c>
      <c r="V268" s="18">
        <f t="shared" ref="V268:V269" si="81">ROUND(INDEX($E$5:$E$13,O268-1)*INDEX($W$5:$W$8,N268)/1000,0)*1000</f>
        <v>19000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804</v>
      </c>
      <c r="Q269" s="18">
        <f>ROUND(INDEX(挂机派遣!$AW$3:$BD$10,卡牌值!O269-1,4)*INDEX($W$5:$W$8,N269)/10,0)*10</f>
        <v>190</v>
      </c>
      <c r="R269" s="14" t="s">
        <v>808</v>
      </c>
      <c r="S269" s="18">
        <f>ROUND(INDEX(挂机派遣!$BA$3:$BC$10,O269-1,3) * INDEX($W$5:$W$8,N269)  /5,0)*5</f>
        <v>70</v>
      </c>
      <c r="T269" s="18" t="str">
        <f>INDEX(卡牌!$H$4:$H$39,MATCH(卡牌值!M269,卡牌!$A$4:$A$39,0))</f>
        <v>土修身材料</v>
      </c>
      <c r="U269" s="18">
        <f>ROUND(INDEX(挂机派遣!$BD$3:$BD$10,O269-1)  *  INDEX($W$5:$W$8,N269)  /5,0)*5</f>
        <v>60</v>
      </c>
      <c r="V269" s="18">
        <f t="shared" si="81"/>
        <v>37000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762</v>
      </c>
      <c r="Q271" s="18">
        <f>ROUND(INDEX(挂机派遣!$AW$3:$BD$10,卡牌值!O271-1,1)*INDEX($W$5:$W$8,N271)/10,0)*10</f>
        <v>60</v>
      </c>
      <c r="V271" s="18">
        <f>ROUND(INDEX($E$5:$E$13,O271-1)*INDEX($W$5:$W$8,N271)/50,0)*50</f>
        <v>750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762</v>
      </c>
      <c r="Q272" s="18">
        <f>ROUND(INDEX(挂机派遣!$AW$3:$BD$10,卡牌值!O272-1,1)*INDEX($W$5:$W$8,N272)/10,0)*10</f>
        <v>150</v>
      </c>
      <c r="R272" s="14" t="s">
        <v>805</v>
      </c>
      <c r="S272" s="18">
        <f>ROUND(INDEX(挂机派遣!$BA$3:$BC$10,O272-1,1) * INDEX($W$5:$W$8,N272)  /5,0)*5</f>
        <v>25</v>
      </c>
      <c r="V272" s="18">
        <f>ROUND(INDEX($E$5:$E$13,O272-1)*INDEX($W$5:$W$8,N272)/500,0)*500</f>
        <v>4000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800</v>
      </c>
      <c r="Q273" s="18">
        <f>ROUND(INDEX(挂机派遣!$AW$3:$BD$10,卡牌值!O273-1,2)*INDEX($W$5:$W$8,N273)/10,0)*10</f>
        <v>90</v>
      </c>
      <c r="R273" s="14" t="s">
        <v>805</v>
      </c>
      <c r="S273" s="18">
        <f>ROUND(INDEX(挂机派遣!$BA$3:$BC$10,O273-1,1) * INDEX($W$5:$W$8,N273)  /5,0)*5</f>
        <v>60</v>
      </c>
      <c r="V273" s="18">
        <f t="shared" ref="V273:V275" si="82">ROUND(INDEX($E$5:$E$13,O273-1)*INDEX($W$5:$W$8,N273)/500,0)*500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763</v>
      </c>
      <c r="Q274" s="18">
        <f>ROUND(INDEX(挂机派遣!$AW$3:$BD$10,卡牌值!O274-1,2)*INDEX($W$5:$W$8,N274)/10,0)*10</f>
        <v>210</v>
      </c>
      <c r="R274" s="14" t="s">
        <v>806</v>
      </c>
      <c r="S274" s="18">
        <f>ROUND(INDEX(挂机派遣!$BA$3:$BC$10,O274-1,2) * INDEX($W$5:$W$8,N274)  /5,0)*5</f>
        <v>45</v>
      </c>
      <c r="V274" s="18">
        <f t="shared" si="82"/>
        <v>8000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801</v>
      </c>
      <c r="Q275" s="18">
        <f>ROUND(INDEX(挂机派遣!$AW$3:$BD$10,卡牌值!O275-1,3)*INDEX($W$5:$W$8,N275)/10,0)*10</f>
        <v>130</v>
      </c>
      <c r="R275" s="14" t="s">
        <v>807</v>
      </c>
      <c r="S275" s="18">
        <f>ROUND(INDEX(挂机派遣!$BA$3:$BC$10,O275-1,2) * INDEX($W$5:$W$8,N275)  /5,0)*5</f>
        <v>110</v>
      </c>
      <c r="V275" s="18">
        <f t="shared" si="82"/>
        <v>11000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802</v>
      </c>
      <c r="Q276" s="18">
        <f>ROUND(INDEX(挂机派遣!$AW$3:$BD$10,卡牌值!O276-1,3)*INDEX($W$5:$W$8,N276)/10,0)*10</f>
        <v>310</v>
      </c>
      <c r="R276" s="14" t="s">
        <v>808</v>
      </c>
      <c r="S276" s="18">
        <f>ROUND(INDEX(挂机派遣!$BA$3:$BC$10,O276-1,3) * INDEX($W$5:$W$8,N276)  /5,0)*5</f>
        <v>50</v>
      </c>
      <c r="V276" s="18">
        <f>ROUND(INDEX($E$5:$E$13,O276-1)*INDEX($W$5:$W$8,N276)/1000,0)*1000</f>
        <v>13000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803</v>
      </c>
      <c r="Q277" s="18">
        <f>ROUND(INDEX(挂机派遣!$AW$3:$BD$10,卡牌值!O277-1,4)*INDEX($W$5:$W$8,N277)/10,0)*10</f>
        <v>110</v>
      </c>
      <c r="R277" s="14" t="s">
        <v>808</v>
      </c>
      <c r="S277" s="18">
        <f>ROUND(INDEX(挂机派遣!$BA$3:$BC$10,O277-1,3) * INDEX($W$5:$W$8,N277)  /5,0)*5</f>
        <v>70</v>
      </c>
      <c r="T277" s="18" t="str">
        <f>INDEX(卡牌!$H$4:$H$39,MATCH(卡牌值!M277,卡牌!$A$4:$A$39,0))</f>
        <v>雷修身材料</v>
      </c>
      <c r="U277" s="18">
        <f>ROUND(INDEX(挂机派遣!$BD$3:$BD$10,O277-1)  *  INDEX($W$5:$W$8,N277)  /5,0)*5</f>
        <v>20</v>
      </c>
      <c r="V277" s="18">
        <f t="shared" ref="V277:V278" si="83">ROUND(INDEX($E$5:$E$13,O277-1)*INDEX($W$5:$W$8,N277)/1000,0)*1000</f>
        <v>23000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804</v>
      </c>
      <c r="Q278" s="18">
        <f>ROUND(INDEX(挂机派遣!$AW$3:$BD$10,卡牌值!O278-1,4)*INDEX($W$5:$W$8,N278)/10,0)*10</f>
        <v>240</v>
      </c>
      <c r="R278" s="14" t="s">
        <v>808</v>
      </c>
      <c r="S278" s="18">
        <f>ROUND(INDEX(挂机派遣!$BA$3:$BC$10,O278-1,3) * INDEX($W$5:$W$8,N278)  /5,0)*5</f>
        <v>85</v>
      </c>
      <c r="T278" s="18" t="str">
        <f>INDEX(卡牌!$H$4:$H$39,MATCH(卡牌值!M278,卡牌!$A$4:$A$39,0))</f>
        <v>雷修身材料</v>
      </c>
      <c r="U278" s="18">
        <f>ROUND(INDEX(挂机派遣!$BD$3:$BD$10,O278-1)  *  INDEX($W$5:$W$8,N278)  /5,0)*5</f>
        <v>75</v>
      </c>
      <c r="V278" s="18">
        <f t="shared" si="83"/>
        <v>46000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762</v>
      </c>
      <c r="Q280" s="18">
        <f>ROUND(INDEX(挂机派遣!$AW$3:$BD$10,卡牌值!O280-1,1)*INDEX($W$5:$W$8,N280)/10,0)*10</f>
        <v>50</v>
      </c>
      <c r="V280" s="18">
        <f>ROUND(INDEX($E$5:$E$13,O280-1)*INDEX($W$5:$W$8,N280)/50,0)*50</f>
        <v>600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762</v>
      </c>
      <c r="Q281" s="18">
        <f>ROUND(INDEX(挂机派遣!$AW$3:$BD$10,卡牌值!O281-1,1)*INDEX($W$5:$W$8,N281)/10,0)*10</f>
        <v>120</v>
      </c>
      <c r="R281" s="14" t="s">
        <v>805</v>
      </c>
      <c r="S281" s="18">
        <f>ROUND(INDEX(挂机派遣!$BA$3:$BC$10,O281-1,1) * INDEX($W$5:$W$8,N281)  /5,0)*5</f>
        <v>20</v>
      </c>
      <c r="V281" s="18">
        <f>ROUND(INDEX($E$5:$E$13,O281-1)*INDEX($W$5:$W$8,N281)/500,0)*500</f>
        <v>3500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800</v>
      </c>
      <c r="Q282" s="18">
        <f>ROUND(INDEX(挂机派遣!$AW$3:$BD$10,卡牌值!O282-1,2)*INDEX($W$5:$W$8,N282)/10,0)*10</f>
        <v>70</v>
      </c>
      <c r="R282" s="14" t="s">
        <v>805</v>
      </c>
      <c r="S282" s="18">
        <f>ROUND(INDEX(挂机派遣!$BA$3:$BC$10,O282-1,1) * INDEX($W$5:$W$8,N282)  /5,0)*5</f>
        <v>50</v>
      </c>
      <c r="V282" s="18">
        <f t="shared" ref="V282:V284" si="84">ROUND(INDEX($E$5:$E$13,O282-1)*INDEX($W$5:$W$8,N282)/500,0)*500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763</v>
      </c>
      <c r="Q283" s="18">
        <f>ROUND(INDEX(挂机派遣!$AW$3:$BD$10,卡牌值!O283-1,2)*INDEX($W$5:$W$8,N283)/10,0)*10</f>
        <v>160</v>
      </c>
      <c r="R283" s="14" t="s">
        <v>806</v>
      </c>
      <c r="S283" s="18">
        <f>ROUND(INDEX(挂机派遣!$BA$3:$BC$10,O283-1,2) * INDEX($W$5:$W$8,N283)  /5,0)*5</f>
        <v>35</v>
      </c>
      <c r="V283" s="18">
        <f t="shared" si="84"/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801</v>
      </c>
      <c r="Q284" s="18">
        <f>ROUND(INDEX(挂机派遣!$AW$3:$BD$10,卡牌值!O284-1,3)*INDEX($W$5:$W$8,N284)/10,0)*10</f>
        <v>100</v>
      </c>
      <c r="R284" s="14" t="s">
        <v>807</v>
      </c>
      <c r="S284" s="18">
        <f>ROUND(INDEX(挂机派遣!$BA$3:$BC$10,O284-1,2) * INDEX($W$5:$W$8,N284)  /5,0)*5</f>
        <v>90</v>
      </c>
      <c r="V284" s="18">
        <f t="shared" si="84"/>
        <v>9000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802</v>
      </c>
      <c r="Q285" s="18">
        <f>ROUND(INDEX(挂机派遣!$AW$3:$BD$10,卡牌值!O285-1,3)*INDEX($W$5:$W$8,N285)/10,0)*10</f>
        <v>240</v>
      </c>
      <c r="R285" s="14" t="s">
        <v>808</v>
      </c>
      <c r="S285" s="18">
        <f>ROUND(INDEX(挂机派遣!$BA$3:$BC$10,O285-1,3) * INDEX($W$5:$W$8,N285)  /5,0)*5</f>
        <v>40</v>
      </c>
      <c r="V285" s="18">
        <f>ROUND(INDEX($E$5:$E$13,O285-1)*INDEX($W$5:$W$8,N285)/1000,0)*1000</f>
        <v>10000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803</v>
      </c>
      <c r="Q286" s="18">
        <f>ROUND(INDEX(挂机派遣!$AW$3:$BD$10,卡牌值!O286-1,4)*INDEX($W$5:$W$8,N286)/10,0)*10</f>
        <v>80</v>
      </c>
      <c r="R286" s="14" t="s">
        <v>808</v>
      </c>
      <c r="S286" s="18">
        <f>ROUND(INDEX(挂机派遣!$BA$3:$BC$10,O286-1,3) * INDEX($W$5:$W$8,N286)  /5,0)*5</f>
        <v>55</v>
      </c>
      <c r="T286" s="18" t="str">
        <f>INDEX(卡牌!$H$4:$H$39,MATCH(卡牌值!M286,卡牌!$A$4:$A$39,0))</f>
        <v>风修身材料</v>
      </c>
      <c r="U286" s="18">
        <f>ROUND(INDEX(挂机派遣!$BD$3:$BD$10,O286-1)  *  INDEX($W$5:$W$8,N286)  /5,0)*5</f>
        <v>15</v>
      </c>
      <c r="V286" s="18">
        <f t="shared" ref="V286:V287" si="85">ROUND(INDEX($E$5:$E$13,O286-1)*INDEX($W$5:$W$8,N286)/1000,0)*1000</f>
        <v>19000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804</v>
      </c>
      <c r="Q287" s="18">
        <f>ROUND(INDEX(挂机派遣!$AW$3:$BD$10,卡牌值!O287-1,4)*INDEX($W$5:$W$8,N287)/10,0)*10</f>
        <v>190</v>
      </c>
      <c r="R287" s="14" t="s">
        <v>808</v>
      </c>
      <c r="S287" s="18">
        <f>ROUND(INDEX(挂机派遣!$BA$3:$BC$10,O287-1,3) * INDEX($W$5:$W$8,N287)  /5,0)*5</f>
        <v>70</v>
      </c>
      <c r="T287" s="18" t="str">
        <f>INDEX(卡牌!$H$4:$H$39,MATCH(卡牌值!M287,卡牌!$A$4:$A$39,0))</f>
        <v>风修身材料</v>
      </c>
      <c r="U287" s="18">
        <f>ROUND(INDEX(挂机派遣!$BD$3:$BD$10,O287-1)  *  INDEX($W$5:$W$8,N287)  /5,0)*5</f>
        <v>60</v>
      </c>
      <c r="V287" s="18">
        <f t="shared" si="85"/>
        <v>37000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762</v>
      </c>
      <c r="Q289" s="18">
        <f>ROUND(INDEX(挂机派遣!$AW$3:$BD$10,卡牌值!O289-1,1)*INDEX($W$5:$W$8,N289)/10,0)*10</f>
        <v>80</v>
      </c>
      <c r="V289" s="18">
        <f>ROUND(INDEX($E$5:$E$13,O289-1)*INDEX($W$5:$W$8,N289)/50,0)*50</f>
        <v>950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762</v>
      </c>
      <c r="Q290" s="18">
        <f>ROUND(INDEX(挂机派遣!$AW$3:$BD$10,卡牌值!O290-1,1)*INDEX($W$5:$W$8,N290)/10,0)*10</f>
        <v>180</v>
      </c>
      <c r="R290" s="14" t="s">
        <v>805</v>
      </c>
      <c r="S290" s="18">
        <f>ROUND(INDEX(挂机派遣!$BA$3:$BC$10,O290-1,1) * INDEX($W$5:$W$8,N290)  /5,0)*5</f>
        <v>30</v>
      </c>
      <c r="V290" s="18">
        <f>ROUND(INDEX($E$5:$E$13,O290-1)*INDEX($W$5:$W$8,N290)/500,0)*500</f>
        <v>5000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800</v>
      </c>
      <c r="Q291" s="18">
        <f>ROUND(INDEX(挂机派遣!$AW$3:$BD$10,卡牌值!O291-1,2)*INDEX($W$5:$W$8,N291)/10,0)*10</f>
        <v>110</v>
      </c>
      <c r="R291" s="14" t="s">
        <v>805</v>
      </c>
      <c r="S291" s="18">
        <f>ROUND(INDEX(挂机派遣!$BA$3:$BC$10,O291-1,1) * INDEX($W$5:$W$8,N291)  /5,0)*5</f>
        <v>75</v>
      </c>
      <c r="V291" s="18">
        <f t="shared" ref="V291:V293" si="86">ROUND(INDEX($E$5:$E$13,O291-1)*INDEX($W$5:$W$8,N291)/500,0)*500</f>
        <v>7000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763</v>
      </c>
      <c r="Q292" s="18">
        <f>ROUND(INDEX(挂机派遣!$AW$3:$BD$10,卡牌值!O292-1,2)*INDEX($W$5:$W$8,N292)/10,0)*10</f>
        <v>260</v>
      </c>
      <c r="R292" s="14" t="s">
        <v>806</v>
      </c>
      <c r="S292" s="18">
        <f>ROUND(INDEX(挂机派遣!$BA$3:$BC$10,O292-1,2) * INDEX($W$5:$W$8,N292)  /5,0)*5</f>
        <v>55</v>
      </c>
      <c r="V292" s="18">
        <f t="shared" si="86"/>
        <v>10000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801</v>
      </c>
      <c r="Q293" s="18">
        <f>ROUND(INDEX(挂机派遣!$AW$3:$BD$10,卡牌值!O293-1,3)*INDEX($W$5:$W$8,N293)/10,0)*10</f>
        <v>160</v>
      </c>
      <c r="R293" s="14" t="s">
        <v>807</v>
      </c>
      <c r="S293" s="18">
        <f>ROUND(INDEX(挂机派遣!$BA$3:$BC$10,O293-1,2) * INDEX($W$5:$W$8,N293)  /5,0)*5</f>
        <v>140</v>
      </c>
      <c r="V293" s="18">
        <f t="shared" si="86"/>
        <v>14000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802</v>
      </c>
      <c r="Q294" s="18">
        <f>ROUND(INDEX(挂机派遣!$AW$3:$BD$10,卡牌值!O294-1,3)*INDEX($W$5:$W$8,N294)/10,0)*10</f>
        <v>380</v>
      </c>
      <c r="R294" s="14" t="s">
        <v>808</v>
      </c>
      <c r="S294" s="18">
        <f>ROUND(INDEX(挂机派遣!$BA$3:$BC$10,O294-1,3) * INDEX($W$5:$W$8,N294)  /5,0)*5</f>
        <v>65</v>
      </c>
      <c r="V294" s="18">
        <f>ROUND(INDEX($E$5:$E$13,O294-1)*INDEX($W$5:$W$8,N294)/1000,0)*1000</f>
        <v>16000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803</v>
      </c>
      <c r="Q295" s="18">
        <f>ROUND(INDEX(挂机派遣!$AW$3:$BD$10,卡牌值!O295-1,4)*INDEX($W$5:$W$8,N295)/10,0)*10</f>
        <v>130</v>
      </c>
      <c r="R295" s="14" t="s">
        <v>808</v>
      </c>
      <c r="S295" s="18">
        <f>ROUND(INDEX(挂机派遣!$BA$3:$BC$10,O295-1,3) * INDEX($W$5:$W$8,N295)  /5,0)*5</f>
        <v>90</v>
      </c>
      <c r="T295" s="18" t="str">
        <f>INDEX(卡牌!$H$4:$H$39,MATCH(卡牌值!M295,卡牌!$A$4:$A$39,0))</f>
        <v>土修身材料</v>
      </c>
      <c r="U295" s="18">
        <f>ROUND(INDEX(挂机派遣!$BD$3:$BD$10,O295-1)  *  INDEX($W$5:$W$8,N295)  /5,0)*5</f>
        <v>25</v>
      </c>
      <c r="V295" s="18">
        <f t="shared" ref="V295:V296" si="87">ROUND(INDEX($E$5:$E$13,O295-1)*INDEX($W$5:$W$8,N295)/1000,0)*1000</f>
        <v>29000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804</v>
      </c>
      <c r="Q296" s="18">
        <f>ROUND(INDEX(挂机派遣!$AW$3:$BD$10,卡牌值!O296-1,4)*INDEX($W$5:$W$8,N296)/10,0)*10</f>
        <v>300</v>
      </c>
      <c r="R296" s="14" t="s">
        <v>808</v>
      </c>
      <c r="S296" s="18">
        <f>ROUND(INDEX(挂机派遣!$BA$3:$BC$10,O296-1,3) * INDEX($W$5:$W$8,N296)  /5,0)*5</f>
        <v>105</v>
      </c>
      <c r="T296" s="18" t="str">
        <f>INDEX(卡牌!$H$4:$H$39,MATCH(卡牌值!M296,卡牌!$A$4:$A$39,0))</f>
        <v>土修身材料</v>
      </c>
      <c r="U296" s="18">
        <f>ROUND(INDEX(挂机派遣!$BD$3:$BD$10,O296-1)  *  INDEX($W$5:$W$8,N296)  /5,0)*5</f>
        <v>95</v>
      </c>
      <c r="V296" s="18">
        <f t="shared" si="87"/>
        <v>57000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762</v>
      </c>
      <c r="Q298" s="18">
        <f>ROUND(INDEX(挂机派遣!$AW$3:$BD$10,卡牌值!O298-1,1)*INDEX($W$5:$W$8,N298)/10,0)*10</f>
        <v>60</v>
      </c>
      <c r="V298" s="18">
        <f>ROUND(INDEX($E$5:$E$13,O298-1)*INDEX($W$5:$W$8,N298)/50,0)*50</f>
        <v>750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762</v>
      </c>
      <c r="Q299" s="18">
        <f>ROUND(INDEX(挂机派遣!$AW$3:$BD$10,卡牌值!O299-1,1)*INDEX($W$5:$W$8,N299)/10,0)*10</f>
        <v>150</v>
      </c>
      <c r="R299" s="14" t="s">
        <v>805</v>
      </c>
      <c r="S299" s="18">
        <f>ROUND(INDEX(挂机派遣!$BA$3:$BC$10,O299-1,1) * INDEX($W$5:$W$8,N299)  /5,0)*5</f>
        <v>25</v>
      </c>
      <c r="V299" s="18">
        <f>ROUND(INDEX($E$5:$E$13,O299-1)*INDEX($W$5:$W$8,N299)/500,0)*500</f>
        <v>4000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800</v>
      </c>
      <c r="Q300" s="18">
        <f>ROUND(INDEX(挂机派遣!$AW$3:$BD$10,卡牌值!O300-1,2)*INDEX($W$5:$W$8,N300)/10,0)*10</f>
        <v>90</v>
      </c>
      <c r="R300" s="14" t="s">
        <v>805</v>
      </c>
      <c r="S300" s="18">
        <f>ROUND(INDEX(挂机派遣!$BA$3:$BC$10,O300-1,1) * INDEX($W$5:$W$8,N300)  /5,0)*5</f>
        <v>60</v>
      </c>
      <c r="V300" s="18">
        <f t="shared" ref="V300:V302" si="88">ROUND(INDEX($E$5:$E$13,O300-1)*INDEX($W$5:$W$8,N300)/500,0)*500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763</v>
      </c>
      <c r="Q301" s="18">
        <f>ROUND(INDEX(挂机派遣!$AW$3:$BD$10,卡牌值!O301-1,2)*INDEX($W$5:$W$8,N301)/10,0)*10</f>
        <v>210</v>
      </c>
      <c r="R301" s="14" t="s">
        <v>806</v>
      </c>
      <c r="S301" s="18">
        <f>ROUND(INDEX(挂机派遣!$BA$3:$BC$10,O301-1,2) * INDEX($W$5:$W$8,N301)  /5,0)*5</f>
        <v>45</v>
      </c>
      <c r="V301" s="18">
        <f t="shared" si="88"/>
        <v>8000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801</v>
      </c>
      <c r="Q302" s="18">
        <f>ROUND(INDEX(挂机派遣!$AW$3:$BD$10,卡牌值!O302-1,3)*INDEX($W$5:$W$8,N302)/10,0)*10</f>
        <v>130</v>
      </c>
      <c r="R302" s="14" t="s">
        <v>807</v>
      </c>
      <c r="S302" s="18">
        <f>ROUND(INDEX(挂机派遣!$BA$3:$BC$10,O302-1,2) * INDEX($W$5:$W$8,N302)  /5,0)*5</f>
        <v>110</v>
      </c>
      <c r="V302" s="18">
        <f t="shared" si="88"/>
        <v>11000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802</v>
      </c>
      <c r="Q303" s="18">
        <f>ROUND(INDEX(挂机派遣!$AW$3:$BD$10,卡牌值!O303-1,3)*INDEX($W$5:$W$8,N303)/10,0)*10</f>
        <v>310</v>
      </c>
      <c r="R303" s="14" t="s">
        <v>808</v>
      </c>
      <c r="S303" s="18">
        <f>ROUND(INDEX(挂机派遣!$BA$3:$BC$10,O303-1,3) * INDEX($W$5:$W$8,N303)  /5,0)*5</f>
        <v>50</v>
      </c>
      <c r="V303" s="18">
        <f>ROUND(INDEX($E$5:$E$13,O303-1)*INDEX($W$5:$W$8,N303)/1000,0)*1000</f>
        <v>13000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803</v>
      </c>
      <c r="Q304" s="18">
        <f>ROUND(INDEX(挂机派遣!$AW$3:$BD$10,卡牌值!O304-1,4)*INDEX($W$5:$W$8,N304)/10,0)*10</f>
        <v>110</v>
      </c>
      <c r="R304" s="14" t="s">
        <v>808</v>
      </c>
      <c r="S304" s="18">
        <f>ROUND(INDEX(挂机派遣!$BA$3:$BC$10,O304-1,3) * INDEX($W$5:$W$8,N304)  /5,0)*5</f>
        <v>70</v>
      </c>
      <c r="T304" s="18" t="str">
        <f>INDEX(卡牌!$H$4:$H$39,MATCH(卡牌值!M304,卡牌!$A$4:$A$39,0))</f>
        <v>风修身材料</v>
      </c>
      <c r="U304" s="18">
        <f>ROUND(INDEX(挂机派遣!$BD$3:$BD$10,O304-1)  *  INDEX($W$5:$W$8,N304)  /5,0)*5</f>
        <v>20</v>
      </c>
      <c r="V304" s="18">
        <f t="shared" ref="V304:V305" si="89">ROUND(INDEX($E$5:$E$13,O304-1)*INDEX($W$5:$W$8,N304)/1000,0)*1000</f>
        <v>23000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804</v>
      </c>
      <c r="Q305" s="18">
        <f>ROUND(INDEX(挂机派遣!$AW$3:$BD$10,卡牌值!O305-1,4)*INDEX($W$5:$W$8,N305)/10,0)*10</f>
        <v>240</v>
      </c>
      <c r="R305" s="14" t="s">
        <v>808</v>
      </c>
      <c r="S305" s="18">
        <f>ROUND(INDEX(挂机派遣!$BA$3:$BC$10,O305-1,3) * INDEX($W$5:$W$8,N305)  /5,0)*5</f>
        <v>85</v>
      </c>
      <c r="T305" s="18" t="str">
        <f>INDEX(卡牌!$H$4:$H$39,MATCH(卡牌值!M305,卡牌!$A$4:$A$39,0))</f>
        <v>风修身材料</v>
      </c>
      <c r="U305" s="18">
        <f>ROUND(INDEX(挂机派遣!$BD$3:$BD$10,O305-1)  *  INDEX($W$5:$W$8,N305)  /5,0)*5</f>
        <v>75</v>
      </c>
      <c r="V305" s="18">
        <f t="shared" si="89"/>
        <v>46000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762</v>
      </c>
      <c r="Q307" s="18">
        <f>ROUND(INDEX(挂机派遣!$AW$3:$BD$10,卡牌值!O307-1,1)*INDEX($W$5:$W$8,N307)/10,0)*10</f>
        <v>50</v>
      </c>
      <c r="V307" s="18">
        <f>ROUND(INDEX($E$5:$E$13,O307-1)*INDEX($W$5:$W$8,N307)/50,0)*50</f>
        <v>600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762</v>
      </c>
      <c r="Q308" s="18">
        <f>ROUND(INDEX(挂机派遣!$AW$3:$BD$10,卡牌值!O308-1,1)*INDEX($W$5:$W$8,N308)/10,0)*10</f>
        <v>120</v>
      </c>
      <c r="R308" s="14" t="s">
        <v>805</v>
      </c>
      <c r="S308" s="18">
        <f>ROUND(INDEX(挂机派遣!$BA$3:$BC$10,O308-1,1) * INDEX($W$5:$W$8,N308)  /5,0)*5</f>
        <v>20</v>
      </c>
      <c r="V308" s="18">
        <f>ROUND(INDEX($E$5:$E$13,O308-1)*INDEX($W$5:$W$8,N308)/500,0)*500</f>
        <v>3500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800</v>
      </c>
      <c r="Q309" s="18">
        <f>ROUND(INDEX(挂机派遣!$AW$3:$BD$10,卡牌值!O309-1,2)*INDEX($W$5:$W$8,N309)/10,0)*10</f>
        <v>70</v>
      </c>
      <c r="R309" s="14" t="s">
        <v>805</v>
      </c>
      <c r="S309" s="18">
        <f>ROUND(INDEX(挂机派遣!$BA$3:$BC$10,O309-1,1) * INDEX($W$5:$W$8,N309)  /5,0)*5</f>
        <v>50</v>
      </c>
      <c r="V309" s="18">
        <f t="shared" ref="V309:V311" si="90">ROUND(INDEX($E$5:$E$13,O309-1)*INDEX($W$5:$W$8,N309)/500,0)*500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763</v>
      </c>
      <c r="Q310" s="18">
        <f>ROUND(INDEX(挂机派遣!$AW$3:$BD$10,卡牌值!O310-1,2)*INDEX($W$5:$W$8,N310)/10,0)*10</f>
        <v>160</v>
      </c>
      <c r="R310" s="14" t="s">
        <v>806</v>
      </c>
      <c r="S310" s="18">
        <f>ROUND(INDEX(挂机派遣!$BA$3:$BC$10,O310-1,2) * INDEX($W$5:$W$8,N310)  /5,0)*5</f>
        <v>35</v>
      </c>
      <c r="V310" s="18">
        <f t="shared" si="90"/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801</v>
      </c>
      <c r="Q311" s="18">
        <f>ROUND(INDEX(挂机派遣!$AW$3:$BD$10,卡牌值!O311-1,3)*INDEX($W$5:$W$8,N311)/10,0)*10</f>
        <v>100</v>
      </c>
      <c r="R311" s="14" t="s">
        <v>807</v>
      </c>
      <c r="S311" s="18">
        <f>ROUND(INDEX(挂机派遣!$BA$3:$BC$10,O311-1,2) * INDEX($W$5:$W$8,N311)  /5,0)*5</f>
        <v>90</v>
      </c>
      <c r="V311" s="18">
        <f t="shared" si="90"/>
        <v>9000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802</v>
      </c>
      <c r="Q312" s="18">
        <f>ROUND(INDEX(挂机派遣!$AW$3:$BD$10,卡牌值!O312-1,3)*INDEX($W$5:$W$8,N312)/10,0)*10</f>
        <v>240</v>
      </c>
      <c r="R312" s="14" t="s">
        <v>808</v>
      </c>
      <c r="S312" s="18">
        <f>ROUND(INDEX(挂机派遣!$BA$3:$BC$10,O312-1,3) * INDEX($W$5:$W$8,N312)  /5,0)*5</f>
        <v>40</v>
      </c>
      <c r="V312" s="18">
        <f>ROUND(INDEX($E$5:$E$13,O312-1)*INDEX($W$5:$W$8,N312)/1000,0)*1000</f>
        <v>10000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803</v>
      </c>
      <c r="Q313" s="18">
        <f>ROUND(INDEX(挂机派遣!$AW$3:$BD$10,卡牌值!O313-1,4)*INDEX($W$5:$W$8,N313)/10,0)*10</f>
        <v>80</v>
      </c>
      <c r="R313" s="14" t="s">
        <v>808</v>
      </c>
      <c r="S313" s="18">
        <f>ROUND(INDEX(挂机派遣!$BA$3:$BC$10,O313-1,3) * INDEX($W$5:$W$8,N313)  /5,0)*5</f>
        <v>55</v>
      </c>
      <c r="T313" s="18" t="str">
        <f>INDEX(卡牌!$H$4:$H$39,MATCH(卡牌值!M313,卡牌!$A$4:$A$39,0))</f>
        <v>火修身材料</v>
      </c>
      <c r="U313" s="18">
        <f>ROUND(INDEX(挂机派遣!$BD$3:$BD$10,O313-1)  *  INDEX($W$5:$W$8,N313)  /5,0)*5</f>
        <v>15</v>
      </c>
      <c r="V313" s="18">
        <f t="shared" ref="V313:V314" si="91">ROUND(INDEX($E$5:$E$13,O313-1)*INDEX($W$5:$W$8,N313)/1000,0)*1000</f>
        <v>19000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804</v>
      </c>
      <c r="Q314" s="18">
        <f>ROUND(INDEX(挂机派遣!$AW$3:$BD$10,卡牌值!O314-1,4)*INDEX($W$5:$W$8,N314)/10,0)*10</f>
        <v>190</v>
      </c>
      <c r="R314" s="14" t="s">
        <v>808</v>
      </c>
      <c r="S314" s="18">
        <f>ROUND(INDEX(挂机派遣!$BA$3:$BC$10,O314-1,3) * INDEX($W$5:$W$8,N314)  /5,0)*5</f>
        <v>70</v>
      </c>
      <c r="T314" s="18" t="str">
        <f>INDEX(卡牌!$H$4:$H$39,MATCH(卡牌值!M314,卡牌!$A$4:$A$39,0))</f>
        <v>火修身材料</v>
      </c>
      <c r="U314" s="18">
        <f>ROUND(INDEX(挂机派遣!$BD$3:$BD$10,O314-1)  *  INDEX($W$5:$W$8,N314)  /5,0)*5</f>
        <v>60</v>
      </c>
      <c r="V314" s="18">
        <f t="shared" si="91"/>
        <v>37000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762</v>
      </c>
      <c r="Q316" s="18">
        <f>ROUND(INDEX(挂机派遣!$AW$3:$BD$10,卡牌值!O316-1,1)*INDEX($W$5:$W$8,N316)/10,0)*10</f>
        <v>50</v>
      </c>
      <c r="V316" s="18">
        <f>ROUND(INDEX($E$5:$E$13,O316-1)*INDEX($W$5:$W$8,N316)/50,0)*50</f>
        <v>600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762</v>
      </c>
      <c r="Q317" s="18">
        <f>ROUND(INDEX(挂机派遣!$AW$3:$BD$10,卡牌值!O317-1,1)*INDEX($W$5:$W$8,N317)/10,0)*10</f>
        <v>120</v>
      </c>
      <c r="R317" s="14" t="s">
        <v>805</v>
      </c>
      <c r="S317" s="18">
        <f>ROUND(INDEX(挂机派遣!$BA$3:$BC$10,O317-1,1) * INDEX($W$5:$W$8,N317)  /5,0)*5</f>
        <v>20</v>
      </c>
      <c r="V317" s="18">
        <f>ROUND(INDEX($E$5:$E$13,O317-1)*INDEX($W$5:$W$8,N317)/500,0)*500</f>
        <v>3500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800</v>
      </c>
      <c r="Q318" s="18">
        <f>ROUND(INDEX(挂机派遣!$AW$3:$BD$10,卡牌值!O318-1,2)*INDEX($W$5:$W$8,N318)/10,0)*10</f>
        <v>70</v>
      </c>
      <c r="R318" s="14" t="s">
        <v>805</v>
      </c>
      <c r="S318" s="18">
        <f>ROUND(INDEX(挂机派遣!$BA$3:$BC$10,O318-1,1) * INDEX($W$5:$W$8,N318)  /5,0)*5</f>
        <v>50</v>
      </c>
      <c r="V318" s="18">
        <f t="shared" ref="V318:V320" si="92">ROUND(INDEX($E$5:$E$13,O318-1)*INDEX($W$5:$W$8,N318)/500,0)*500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763</v>
      </c>
      <c r="Q319" s="18">
        <f>ROUND(INDEX(挂机派遣!$AW$3:$BD$10,卡牌值!O319-1,2)*INDEX($W$5:$W$8,N319)/10,0)*10</f>
        <v>160</v>
      </c>
      <c r="R319" s="14" t="s">
        <v>806</v>
      </c>
      <c r="S319" s="18">
        <f>ROUND(INDEX(挂机派遣!$BA$3:$BC$10,O319-1,2) * INDEX($W$5:$W$8,N319)  /5,0)*5</f>
        <v>35</v>
      </c>
      <c r="V319" s="18">
        <f t="shared" si="92"/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801</v>
      </c>
      <c r="Q320" s="18">
        <f>ROUND(INDEX(挂机派遣!$AW$3:$BD$10,卡牌值!O320-1,3)*INDEX($W$5:$W$8,N320)/10,0)*10</f>
        <v>100</v>
      </c>
      <c r="R320" s="14" t="s">
        <v>807</v>
      </c>
      <c r="S320" s="18">
        <f>ROUND(INDEX(挂机派遣!$BA$3:$BC$10,O320-1,2) * INDEX($W$5:$W$8,N320)  /5,0)*5</f>
        <v>90</v>
      </c>
      <c r="V320" s="18">
        <f t="shared" si="92"/>
        <v>9000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802</v>
      </c>
      <c r="Q321" s="18">
        <f>ROUND(INDEX(挂机派遣!$AW$3:$BD$10,卡牌值!O321-1,3)*INDEX($W$5:$W$8,N321)/10,0)*10</f>
        <v>240</v>
      </c>
      <c r="R321" s="14" t="s">
        <v>808</v>
      </c>
      <c r="S321" s="18">
        <f>ROUND(INDEX(挂机派遣!$BA$3:$BC$10,O321-1,3) * INDEX($W$5:$W$8,N321)  /5,0)*5</f>
        <v>40</v>
      </c>
      <c r="V321" s="18">
        <f>ROUND(INDEX($E$5:$E$13,O321-1)*INDEX($W$5:$W$8,N321)/1000,0)*1000</f>
        <v>10000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803</v>
      </c>
      <c r="Q322" s="18">
        <f>ROUND(INDEX(挂机派遣!$AW$3:$BD$10,卡牌值!O322-1,4)*INDEX($W$5:$W$8,N322)/10,0)*10</f>
        <v>80</v>
      </c>
      <c r="R322" s="14" t="s">
        <v>808</v>
      </c>
      <c r="S322" s="18">
        <f>ROUND(INDEX(挂机派遣!$BA$3:$BC$10,O322-1,3) * INDEX($W$5:$W$8,N322)  /5,0)*5</f>
        <v>55</v>
      </c>
      <c r="T322" s="18" t="str">
        <f>INDEX(卡牌!$H$4:$H$39,MATCH(卡牌值!M322,卡牌!$A$4:$A$39,0))</f>
        <v>火修身材料</v>
      </c>
      <c r="U322" s="18">
        <f>ROUND(INDEX(挂机派遣!$BD$3:$BD$10,O322-1)  *  INDEX($W$5:$W$8,N322)  /5,0)*5</f>
        <v>15</v>
      </c>
      <c r="V322" s="18">
        <f t="shared" ref="V322:V323" si="93">ROUND(INDEX($E$5:$E$13,O322-1)*INDEX($W$5:$W$8,N322)/1000,0)*1000</f>
        <v>19000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804</v>
      </c>
      <c r="Q323" s="18">
        <f>ROUND(INDEX(挂机派遣!$AW$3:$BD$10,卡牌值!O323-1,4)*INDEX($W$5:$W$8,N323)/10,0)*10</f>
        <v>190</v>
      </c>
      <c r="R323" s="14" t="s">
        <v>808</v>
      </c>
      <c r="S323" s="18">
        <f>ROUND(INDEX(挂机派遣!$BA$3:$BC$10,O323-1,3) * INDEX($W$5:$W$8,N323)  /5,0)*5</f>
        <v>70</v>
      </c>
      <c r="T323" s="18" t="str">
        <f>INDEX(卡牌!$H$4:$H$39,MATCH(卡牌值!M323,卡牌!$A$4:$A$39,0))</f>
        <v>火修身材料</v>
      </c>
      <c r="U323" s="18">
        <f>ROUND(INDEX(挂机派遣!$BD$3:$BD$10,O323-1)  *  INDEX($W$5:$W$8,N323)  /5,0)*5</f>
        <v>60</v>
      </c>
      <c r="V323" s="18">
        <f t="shared" si="93"/>
        <v>37000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762</v>
      </c>
      <c r="Q325" s="18">
        <f>ROUND(INDEX(挂机派遣!$AW$3:$BD$10,卡牌值!O325-1,1)*INDEX($W$5:$W$8,N325)/10,0)*10</f>
        <v>60</v>
      </c>
      <c r="V325" s="18">
        <f>ROUND(INDEX($E$5:$E$13,O325-1)*INDEX($W$5:$W$8,N325)/50,0)*50</f>
        <v>750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762</v>
      </c>
      <c r="Q326" s="18">
        <f>ROUND(INDEX(挂机派遣!$AW$3:$BD$10,卡牌值!O326-1,1)*INDEX($W$5:$W$8,N326)/10,0)*10</f>
        <v>150</v>
      </c>
      <c r="R326" s="14" t="s">
        <v>805</v>
      </c>
      <c r="S326" s="18">
        <f>ROUND(INDEX(挂机派遣!$BA$3:$BC$10,O326-1,1) * INDEX($W$5:$W$8,N326)  /5,0)*5</f>
        <v>25</v>
      </c>
      <c r="V326" s="18">
        <f>ROUND(INDEX($E$5:$E$13,O326-1)*INDEX($W$5:$W$8,N326)/500,0)*500</f>
        <v>4000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800</v>
      </c>
      <c r="Q327" s="18">
        <f>ROUND(INDEX(挂机派遣!$AW$3:$BD$10,卡牌值!O327-1,2)*INDEX($W$5:$W$8,N327)/10,0)*10</f>
        <v>90</v>
      </c>
      <c r="R327" s="14" t="s">
        <v>805</v>
      </c>
      <c r="S327" s="18">
        <f>ROUND(INDEX(挂机派遣!$BA$3:$BC$10,O327-1,1) * INDEX($W$5:$W$8,N327)  /5,0)*5</f>
        <v>60</v>
      </c>
      <c r="V327" s="18">
        <f t="shared" ref="V327:V329" si="94">ROUND(INDEX($E$5:$E$13,O327-1)*INDEX($W$5:$W$8,N327)/500,0)*500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763</v>
      </c>
      <c r="Q328" s="18">
        <f>ROUND(INDEX(挂机派遣!$AW$3:$BD$10,卡牌值!O328-1,2)*INDEX($W$5:$W$8,N328)/10,0)*10</f>
        <v>210</v>
      </c>
      <c r="R328" s="14" t="s">
        <v>806</v>
      </c>
      <c r="S328" s="18">
        <f>ROUND(INDEX(挂机派遣!$BA$3:$BC$10,O328-1,2) * INDEX($W$5:$W$8,N328)  /5,0)*5</f>
        <v>45</v>
      </c>
      <c r="V328" s="18">
        <f t="shared" si="94"/>
        <v>8000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801</v>
      </c>
      <c r="Q329" s="18">
        <f>ROUND(INDEX(挂机派遣!$AW$3:$BD$10,卡牌值!O329-1,3)*INDEX($W$5:$W$8,N329)/10,0)*10</f>
        <v>130</v>
      </c>
      <c r="R329" s="14" t="s">
        <v>807</v>
      </c>
      <c r="S329" s="18">
        <f>ROUND(INDEX(挂机派遣!$BA$3:$BC$10,O329-1,2) * INDEX($W$5:$W$8,N329)  /5,0)*5</f>
        <v>110</v>
      </c>
      <c r="V329" s="18">
        <f t="shared" si="94"/>
        <v>11000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802</v>
      </c>
      <c r="Q330" s="18">
        <f>ROUND(INDEX(挂机派遣!$AW$3:$BD$10,卡牌值!O330-1,3)*INDEX($W$5:$W$8,N330)/10,0)*10</f>
        <v>310</v>
      </c>
      <c r="R330" s="14" t="s">
        <v>808</v>
      </c>
      <c r="S330" s="18">
        <f>ROUND(INDEX(挂机派遣!$BA$3:$BC$10,O330-1,3) * INDEX($W$5:$W$8,N330)  /5,0)*5</f>
        <v>50</v>
      </c>
      <c r="V330" s="18">
        <f>ROUND(INDEX($E$5:$E$13,O330-1)*INDEX($W$5:$W$8,N330)/1000,0)*1000</f>
        <v>13000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803</v>
      </c>
      <c r="Q331" s="18">
        <f>ROUND(INDEX(挂机派遣!$AW$3:$BD$10,卡牌值!O331-1,4)*INDEX($W$5:$W$8,N331)/10,0)*10</f>
        <v>110</v>
      </c>
      <c r="R331" s="14" t="s">
        <v>808</v>
      </c>
      <c r="S331" s="18">
        <f>ROUND(INDEX(挂机派遣!$BA$3:$BC$10,O331-1,3) * INDEX($W$5:$W$8,N331)  /5,0)*5</f>
        <v>70</v>
      </c>
      <c r="T331" s="18" t="str">
        <f>INDEX(卡牌!$H$4:$H$39,MATCH(卡牌值!M331,卡牌!$A$4:$A$39,0))</f>
        <v>雷修身材料</v>
      </c>
      <c r="U331" s="18">
        <f>ROUND(INDEX(挂机派遣!$BD$3:$BD$10,O331-1)  *  INDEX($W$5:$W$8,N331)  /5,0)*5</f>
        <v>20</v>
      </c>
      <c r="V331" s="18">
        <f t="shared" ref="V331:V332" si="95">ROUND(INDEX($E$5:$E$13,O331-1)*INDEX($W$5:$W$8,N331)/1000,0)*1000</f>
        <v>23000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804</v>
      </c>
      <c r="Q332" s="18">
        <f>ROUND(INDEX(挂机派遣!$AW$3:$BD$10,卡牌值!O332-1,4)*INDEX($W$5:$W$8,N332)/10,0)*10</f>
        <v>240</v>
      </c>
      <c r="R332" s="14" t="s">
        <v>808</v>
      </c>
      <c r="S332" s="18">
        <f>ROUND(INDEX(挂机派遣!$BA$3:$BC$10,O332-1,3) * INDEX($W$5:$W$8,N332)  /5,0)*5</f>
        <v>85</v>
      </c>
      <c r="T332" s="18" t="str">
        <f>INDEX(卡牌!$H$4:$H$39,MATCH(卡牌值!M332,卡牌!$A$4:$A$39,0))</f>
        <v>雷修身材料</v>
      </c>
      <c r="U332" s="18">
        <f>ROUND(INDEX(挂机派遣!$BD$3:$BD$10,O332-1)  *  INDEX($W$5:$W$8,N332)  /5,0)*5</f>
        <v>75</v>
      </c>
      <c r="V332" s="18">
        <f t="shared" si="95"/>
        <v>46000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762</v>
      </c>
      <c r="Q334" s="18">
        <f>ROUND(INDEX(挂机派遣!$AW$3:$BD$10,卡牌值!O334-1,1)*INDEX($W$5:$W$8,N334)/10,0)*10</f>
        <v>50</v>
      </c>
      <c r="V334" s="18">
        <f>ROUND(INDEX($E$5:$E$13,O334-1)*INDEX($W$5:$W$8,N334)/50,0)*50</f>
        <v>600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762</v>
      </c>
      <c r="Q335" s="18">
        <f>ROUND(INDEX(挂机派遣!$AW$3:$BD$10,卡牌值!O335-1,1)*INDEX($W$5:$W$8,N335)/10,0)*10</f>
        <v>120</v>
      </c>
      <c r="R335" s="14" t="s">
        <v>805</v>
      </c>
      <c r="S335" s="18">
        <f>ROUND(INDEX(挂机派遣!$BA$3:$BC$10,O335-1,1) * INDEX($W$5:$W$8,N335)  /5,0)*5</f>
        <v>20</v>
      </c>
      <c r="V335" s="18">
        <f>ROUND(INDEX($E$5:$E$13,O335-1)*INDEX($W$5:$W$8,N335)/500,0)*500</f>
        <v>3500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800</v>
      </c>
      <c r="Q336" s="18">
        <f>ROUND(INDEX(挂机派遣!$AW$3:$BD$10,卡牌值!O336-1,2)*INDEX($W$5:$W$8,N336)/10,0)*10</f>
        <v>70</v>
      </c>
      <c r="R336" s="14" t="s">
        <v>805</v>
      </c>
      <c r="S336" s="18">
        <f>ROUND(INDEX(挂机派遣!$BA$3:$BC$10,O336-1,1) * INDEX($W$5:$W$8,N336)  /5,0)*5</f>
        <v>50</v>
      </c>
      <c r="V336" s="18">
        <f t="shared" ref="V336:V338" si="96">ROUND(INDEX($E$5:$E$13,O336-1)*INDEX($W$5:$W$8,N336)/500,0)*500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763</v>
      </c>
      <c r="Q337" s="18">
        <f>ROUND(INDEX(挂机派遣!$AW$3:$BD$10,卡牌值!O337-1,2)*INDEX($W$5:$W$8,N337)/10,0)*10</f>
        <v>160</v>
      </c>
      <c r="R337" s="14" t="s">
        <v>806</v>
      </c>
      <c r="S337" s="18">
        <f>ROUND(INDEX(挂机派遣!$BA$3:$BC$10,O337-1,2) * INDEX($W$5:$W$8,N337)  /5,0)*5</f>
        <v>35</v>
      </c>
      <c r="V337" s="18">
        <f t="shared" si="96"/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801</v>
      </c>
      <c r="Q338" s="18">
        <f>ROUND(INDEX(挂机派遣!$AW$3:$BD$10,卡牌值!O338-1,3)*INDEX($W$5:$W$8,N338)/10,0)*10</f>
        <v>100</v>
      </c>
      <c r="R338" s="14" t="s">
        <v>807</v>
      </c>
      <c r="S338" s="18">
        <f>ROUND(INDEX(挂机派遣!$BA$3:$BC$10,O338-1,2) * INDEX($W$5:$W$8,N338)  /5,0)*5</f>
        <v>90</v>
      </c>
      <c r="V338" s="18">
        <f t="shared" si="96"/>
        <v>9000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802</v>
      </c>
      <c r="Q339" s="18">
        <f>ROUND(INDEX(挂机派遣!$AW$3:$BD$10,卡牌值!O339-1,3)*INDEX($W$5:$W$8,N339)/10,0)*10</f>
        <v>240</v>
      </c>
      <c r="R339" s="14" t="s">
        <v>808</v>
      </c>
      <c r="S339" s="18">
        <f>ROUND(INDEX(挂机派遣!$BA$3:$BC$10,O339-1,3) * INDEX($W$5:$W$8,N339)  /5,0)*5</f>
        <v>40</v>
      </c>
      <c r="V339" s="18">
        <f>ROUND(INDEX($E$5:$E$13,O339-1)*INDEX($W$5:$W$8,N339)/1000,0)*1000</f>
        <v>10000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803</v>
      </c>
      <c r="Q340" s="18">
        <f>ROUND(INDEX(挂机派遣!$AW$3:$BD$10,卡牌值!O340-1,4)*INDEX($W$5:$W$8,N340)/10,0)*10</f>
        <v>80</v>
      </c>
      <c r="R340" s="14" t="s">
        <v>808</v>
      </c>
      <c r="S340" s="18">
        <f>ROUND(INDEX(挂机派遣!$BA$3:$BC$10,O340-1,3) * INDEX($W$5:$W$8,N340)  /5,0)*5</f>
        <v>55</v>
      </c>
      <c r="T340" s="18" t="str">
        <f>INDEX(卡牌!$H$4:$H$39,MATCH(卡牌值!M340,卡牌!$A$4:$A$39,0))</f>
        <v>风修身材料</v>
      </c>
      <c r="U340" s="18">
        <f>ROUND(INDEX(挂机派遣!$BD$3:$BD$10,O340-1)  *  INDEX($W$5:$W$8,N340)  /5,0)*5</f>
        <v>15</v>
      </c>
      <c r="V340" s="18">
        <f t="shared" ref="V340:V341" si="97">ROUND(INDEX($E$5:$E$13,O340-1)*INDEX($W$5:$W$8,N340)/1000,0)*1000</f>
        <v>19000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804</v>
      </c>
      <c r="Q341" s="18">
        <f>ROUND(INDEX(挂机派遣!$AW$3:$BD$10,卡牌值!O341-1,4)*INDEX($W$5:$W$8,N341)/10,0)*10</f>
        <v>190</v>
      </c>
      <c r="R341" s="14" t="s">
        <v>808</v>
      </c>
      <c r="S341" s="18">
        <f>ROUND(INDEX(挂机派遣!$BA$3:$BC$10,O341-1,3) * INDEX($W$5:$W$8,N341)  /5,0)*5</f>
        <v>70</v>
      </c>
      <c r="T341" s="18" t="str">
        <f>INDEX(卡牌!$H$4:$H$39,MATCH(卡牌值!M341,卡牌!$A$4:$A$39,0))</f>
        <v>风修身材料</v>
      </c>
      <c r="U341" s="18">
        <f>ROUND(INDEX(挂机派遣!$BD$3:$BD$10,O341-1)  *  INDEX($W$5:$W$8,N341)  /5,0)*5</f>
        <v>60</v>
      </c>
      <c r="V341" s="18">
        <f t="shared" si="97"/>
        <v>37000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W13" sqref="W13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53" t="s">
        <v>433</v>
      </c>
      <c r="B3" s="53"/>
      <c r="C3" s="53"/>
      <c r="D3" s="53"/>
      <c r="E3" s="53"/>
      <c r="F3" s="53"/>
      <c r="G3" s="53"/>
      <c r="H3" s="53"/>
    </row>
    <row r="4" spans="1:18" ht="17.25" x14ac:dyDescent="0.2">
      <c r="A4" s="13" t="s">
        <v>426</v>
      </c>
      <c r="B4" s="13" t="s">
        <v>447</v>
      </c>
      <c r="C4" s="13" t="s">
        <v>428</v>
      </c>
      <c r="D4" s="13" t="s">
        <v>431</v>
      </c>
      <c r="E4" s="13" t="s">
        <v>429</v>
      </c>
      <c r="F4" s="13" t="s">
        <v>430</v>
      </c>
      <c r="G4" s="13" t="s">
        <v>436</v>
      </c>
      <c r="H4" s="13" t="s">
        <v>427</v>
      </c>
      <c r="J4" s="13" t="s">
        <v>434</v>
      </c>
      <c r="K4" s="13" t="s">
        <v>435</v>
      </c>
      <c r="L4" s="13" t="s">
        <v>438</v>
      </c>
      <c r="M4" s="13" t="s">
        <v>437</v>
      </c>
      <c r="N4" s="13" t="s">
        <v>440</v>
      </c>
      <c r="P4" s="13" t="s">
        <v>439</v>
      </c>
      <c r="Q4" s="22" t="s">
        <v>441</v>
      </c>
      <c r="R4" s="22" t="s">
        <v>531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3"/>
  <sheetViews>
    <sheetView topLeftCell="AA1" workbookViewId="0">
      <selection activeCell="AJ8" sqref="AJ8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30" width="13.25" customWidth="1"/>
    <col min="33" max="33" width="8.625" customWidth="1"/>
    <col min="39" max="39" width="8.125" customWidth="1"/>
    <col min="41" max="41" width="13.375" customWidth="1"/>
    <col min="42" max="42" width="10" customWidth="1"/>
    <col min="43" max="43" width="7.875" customWidth="1"/>
    <col min="51" max="51" width="10.625" customWidth="1"/>
    <col min="52" max="52" width="10.125" customWidth="1"/>
    <col min="61" max="61" width="11.875" customWidth="1"/>
  </cols>
  <sheetData>
    <row r="1" spans="1:62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Z1" t="s">
        <v>623</v>
      </c>
    </row>
    <row r="2" spans="1:62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S2">
        <v>0.5</v>
      </c>
      <c r="AT2">
        <v>0.35</v>
      </c>
      <c r="AU2">
        <v>0.25</v>
      </c>
      <c r="AX2">
        <v>0.4</v>
      </c>
      <c r="BC2">
        <v>0.6</v>
      </c>
      <c r="BI2" s="18">
        <f>SUM(BI4:BI33)</f>
        <v>200</v>
      </c>
      <c r="BJ2" s="18">
        <f>SUM(BI4:BI13)</f>
        <v>17</v>
      </c>
    </row>
    <row r="3" spans="1:62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S3" s="13" t="s">
        <v>380</v>
      </c>
      <c r="T3" s="13" t="s">
        <v>381</v>
      </c>
      <c r="V3" s="13" t="s">
        <v>386</v>
      </c>
      <c r="W3" s="13" t="s">
        <v>382</v>
      </c>
      <c r="X3" s="13" t="s">
        <v>384</v>
      </c>
      <c r="Y3" s="13" t="s">
        <v>385</v>
      </c>
      <c r="AB3" s="13" t="s">
        <v>383</v>
      </c>
      <c r="AC3" s="13" t="s">
        <v>330</v>
      </c>
      <c r="AD3" s="13" t="s">
        <v>613</v>
      </c>
      <c r="AF3" s="18">
        <f>SUMPRODUCT(AG4:AI4,AG6:AI6,AG7:AI7)</f>
        <v>52</v>
      </c>
      <c r="AG3" s="13" t="s">
        <v>387</v>
      </c>
      <c r="AH3" s="13" t="s">
        <v>388</v>
      </c>
      <c r="AI3" s="13" t="s">
        <v>389</v>
      </c>
      <c r="AL3" s="13" t="s">
        <v>393</v>
      </c>
      <c r="AM3" s="13" t="s">
        <v>631</v>
      </c>
      <c r="AN3" s="13" t="s">
        <v>381</v>
      </c>
      <c r="AO3" s="13" t="s">
        <v>394</v>
      </c>
      <c r="AP3" s="13" t="s">
        <v>387</v>
      </c>
      <c r="AQ3" s="13" t="s">
        <v>388</v>
      </c>
      <c r="AR3" s="13" t="s">
        <v>389</v>
      </c>
      <c r="AS3" s="13" t="s">
        <v>387</v>
      </c>
      <c r="AT3" s="13" t="s">
        <v>388</v>
      </c>
      <c r="AU3" s="13" t="s">
        <v>389</v>
      </c>
      <c r="AW3" s="13" t="s">
        <v>629</v>
      </c>
      <c r="AX3" s="13" t="s">
        <v>627</v>
      </c>
      <c r="AY3" s="13" t="s">
        <v>636</v>
      </c>
      <c r="AZ3" s="13" t="s">
        <v>624</v>
      </c>
      <c r="BA3" s="13" t="s">
        <v>625</v>
      </c>
      <c r="BB3" s="13" t="s">
        <v>626</v>
      </c>
      <c r="BC3" s="13" t="s">
        <v>627</v>
      </c>
      <c r="BD3" s="13" t="s">
        <v>637</v>
      </c>
      <c r="BE3" s="13" t="s">
        <v>624</v>
      </c>
      <c r="BF3" s="13" t="s">
        <v>625</v>
      </c>
      <c r="BG3" s="13" t="s">
        <v>626</v>
      </c>
      <c r="BI3" s="20" t="s">
        <v>396</v>
      </c>
    </row>
    <row r="4" spans="1:62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S4" s="14">
        <v>1</v>
      </c>
      <c r="T4" s="1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18">
        <f>SUMIFS(金币汇总!$P$6:$P$105,金币汇总!$C$6:$C$105,"&lt;"&amp;神器与芦花古楼!V4)</f>
        <v>9575.6</v>
      </c>
      <c r="AF4" s="17" t="s">
        <v>390</v>
      </c>
      <c r="AG4" s="14">
        <v>1</v>
      </c>
      <c r="AH4" s="14">
        <v>1.5</v>
      </c>
      <c r="AI4" s="14">
        <v>2</v>
      </c>
      <c r="AL4" s="14">
        <v>1</v>
      </c>
      <c r="AM4" s="14">
        <v>1</v>
      </c>
      <c r="AN4" s="18">
        <f>SUM(AM$4:AM4)</f>
        <v>1</v>
      </c>
      <c r="AO4" s="18">
        <f t="shared" ref="AO4:AO33" si="0">INDEX($AC$4:$AC$93,AN4)</f>
        <v>0</v>
      </c>
      <c r="AP4" s="18"/>
      <c r="AQ4" s="18"/>
      <c r="AR4" s="18"/>
      <c r="AS4" s="18"/>
      <c r="AT4" s="18"/>
      <c r="AU4" s="18"/>
      <c r="AW4" s="18">
        <f>MATCH(AN4,游戏节奏!$B$4:$B$103,1)</f>
        <v>19</v>
      </c>
      <c r="AX4" s="18">
        <f>INDEX(金币汇总!$I$6:$I$105,神器与芦花古楼!$AW4)*$AM4*AX$2</f>
        <v>11200</v>
      </c>
      <c r="AY4" s="18">
        <f>AX4</f>
        <v>11200</v>
      </c>
      <c r="AZ4" s="18">
        <f>INT(AY4/$AG$19*$AG$18/5)*5</f>
        <v>530</v>
      </c>
      <c r="BA4" s="18">
        <f>INT(AY4/$AG$19*$AH$18/5)*5</f>
        <v>1065</v>
      </c>
      <c r="BB4" s="18">
        <f>INT(AY4/$AG$19*$AI$18/5)*5</f>
        <v>2665</v>
      </c>
      <c r="BC4" s="18">
        <f>INDEX(金币汇总!$I$6:$I$105,神器与芦花古楼!$AW4)*$AM4*BC$2</f>
        <v>16800</v>
      </c>
      <c r="BD4" s="18">
        <f>BC4</f>
        <v>16800</v>
      </c>
      <c r="BE4" s="18">
        <f>INT(BD4/$AI$19*$AG$17/5)*5</f>
        <v>275</v>
      </c>
      <c r="BF4" s="18">
        <f>INT(BD4/$AI$19*$AH$17/5)*5</f>
        <v>410</v>
      </c>
      <c r="BG4" s="18">
        <f>INT(BD4/$AI$19*$AI$17/5)*5</f>
        <v>685</v>
      </c>
      <c r="BI4" s="14">
        <v>1</v>
      </c>
    </row>
    <row r="5" spans="1:62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S5" s="14">
        <v>2</v>
      </c>
      <c r="T5" s="14">
        <v>1</v>
      </c>
      <c r="V5" s="14">
        <v>2</v>
      </c>
      <c r="W5" s="14">
        <f t="shared" ref="W5:W63" si="1">SUMIFS(E$4:E$32,$T$4:$T$32,"="&amp;V5)+INDEX(K$4:K$33,INDEX($S$4:$S$33,MATCH(V5,$T$4:$T$33,1)))</f>
        <v>6100</v>
      </c>
      <c r="X5" s="14">
        <f t="shared" ref="X5:X63" si="2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8">
        <f>SUM(Y$4:Y5)*4</f>
        <v>400</v>
      </c>
      <c r="AD5" s="18">
        <f>SUMIFS(金币汇总!$P$6:$P$105,金币汇总!$C$6:$C$105,"&lt;"&amp;神器与芦花古楼!V5,金币汇总!$C$6:$C$105,"&gt;"&amp;V4)</f>
        <v>17897.599999999999</v>
      </c>
      <c r="AF5" s="17" t="s">
        <v>395</v>
      </c>
      <c r="AG5" s="14">
        <v>1</v>
      </c>
      <c r="AH5" s="14">
        <v>2</v>
      </c>
      <c r="AI5" s="14">
        <v>5</v>
      </c>
      <c r="AJ5" s="18">
        <f>SUMPRODUCT(AG5:AI5,AG6:AI6,AG7:AI7)</f>
        <v>110</v>
      </c>
      <c r="AL5" s="14">
        <v>2</v>
      </c>
      <c r="AM5" s="14">
        <v>1</v>
      </c>
      <c r="AN5" s="18">
        <f>SUM(AM$4:AM5)</f>
        <v>2</v>
      </c>
      <c r="AO5" s="18">
        <f t="shared" si="0"/>
        <v>400</v>
      </c>
      <c r="AP5" s="18">
        <f t="shared" ref="AP5:AP33" si="3">INT($AO5/$AF$3*AG$4/5)*5</f>
        <v>5</v>
      </c>
      <c r="AQ5" s="18">
        <f t="shared" ref="AQ5:AQ33" si="4">INT($AO5/$AF$3*AH$4/5)*5</f>
        <v>10</v>
      </c>
      <c r="AR5" s="18">
        <f t="shared" ref="AR5:AR33" si="5">INT($AO5/$AF$3*AI$4/5)*5</f>
        <v>15</v>
      </c>
      <c r="AS5" s="18">
        <f t="shared" ref="AS5:AS33" si="6">INT(AP5*AG$6*AS$2)</f>
        <v>5</v>
      </c>
      <c r="AT5" s="18">
        <f t="shared" ref="AT5:AT33" si="7">INT(AQ5*AH$6*AT$2)</f>
        <v>14</v>
      </c>
      <c r="AU5" s="18">
        <f t="shared" ref="AU5:AU33" si="8">INT(AR5*AI$6*AU$2)</f>
        <v>22</v>
      </c>
      <c r="AW5" s="18">
        <f>MATCH(AN5,游戏节奏!$B$4:$B$103,1)</f>
        <v>24</v>
      </c>
      <c r="AX5" s="18">
        <f>INDEX(金币汇总!$I$6:$I$105,神器与芦花古楼!$AW5)*$AM5*AX$2</f>
        <v>20160</v>
      </c>
      <c r="AY5" s="18">
        <f t="shared" ref="AY5:AY14" si="9">AX5</f>
        <v>20160</v>
      </c>
      <c r="AZ5" s="18">
        <f t="shared" ref="AZ5:AZ33" si="10">INT(AY5/$AG$19*$AG$18/5)*5</f>
        <v>960</v>
      </c>
      <c r="BA5" s="18">
        <f t="shared" ref="BA5:BA33" si="11">INT(AY5/$AG$19*$AH$18/5)*5</f>
        <v>1920</v>
      </c>
      <c r="BB5" s="18">
        <f t="shared" ref="BB5:BB33" si="12">INT(AY5/$AG$19*$AI$18/5)*5</f>
        <v>4800</v>
      </c>
      <c r="BC5" s="18">
        <f>INDEX(金币汇总!$I$6:$I$105,神器与芦花古楼!$AW5)*$AM5*BC$2</f>
        <v>30240</v>
      </c>
      <c r="BD5" s="18">
        <f t="shared" ref="BD5:BD14" si="13">BC5</f>
        <v>30240</v>
      </c>
      <c r="BE5" s="18">
        <f t="shared" ref="BE5:BE33" si="14">INT(BD5/$AI$19*$AG$17/5)*5</f>
        <v>495</v>
      </c>
      <c r="BF5" s="18">
        <f t="shared" ref="BF5:BF33" si="15">INT(BD5/$AI$19*$AH$17/5)*5</f>
        <v>740</v>
      </c>
      <c r="BG5" s="18">
        <f t="shared" ref="BG5:BG33" si="16">INT(BD5/$AI$19*$AI$17/5)*5</f>
        <v>1235</v>
      </c>
      <c r="BI5" s="14">
        <v>1</v>
      </c>
    </row>
    <row r="6" spans="1:62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S6" s="14">
        <v>3</v>
      </c>
      <c r="T6" s="14">
        <v>1</v>
      </c>
      <c r="V6" s="14">
        <v>3</v>
      </c>
      <c r="W6" s="14">
        <f t="shared" si="1"/>
        <v>5300</v>
      </c>
      <c r="X6" s="14">
        <f t="shared" si="2"/>
        <v>185</v>
      </c>
      <c r="Y6" s="14">
        <f t="shared" ref="Y6:Y63" si="17">INDEX($O$4:$O$33,MATCH(V6,$T$4:$T$33,1))</f>
        <v>100</v>
      </c>
      <c r="AB6" s="14">
        <f>SUM(X$4:X6)*4</f>
        <v>1880</v>
      </c>
      <c r="AC6" s="18">
        <f>SUM(Y$4:Y6)*4</f>
        <v>800</v>
      </c>
      <c r="AD6" s="18">
        <f>SUMIFS(金币汇总!$P$6:$P$105,金币汇总!$C$6:$C$105,"&lt;"&amp;神器与芦花古楼!V6,金币汇总!$C$6:$C$105,"&gt;"&amp;V5)</f>
        <v>19851.2</v>
      </c>
      <c r="AF6" s="17" t="s">
        <v>391</v>
      </c>
      <c r="AG6" s="14">
        <v>2</v>
      </c>
      <c r="AH6" s="14">
        <v>4</v>
      </c>
      <c r="AI6" s="14">
        <v>6</v>
      </c>
      <c r="AL6" s="14">
        <v>3</v>
      </c>
      <c r="AM6" s="14">
        <v>1</v>
      </c>
      <c r="AN6" s="18">
        <f>SUM(AM$4:AM6)</f>
        <v>3</v>
      </c>
      <c r="AO6" s="18">
        <f t="shared" si="0"/>
        <v>800</v>
      </c>
      <c r="AP6" s="18">
        <f t="shared" si="3"/>
        <v>15</v>
      </c>
      <c r="AQ6" s="18">
        <f t="shared" si="4"/>
        <v>20</v>
      </c>
      <c r="AR6" s="18">
        <f t="shared" si="5"/>
        <v>30</v>
      </c>
      <c r="AS6" s="18">
        <f t="shared" si="6"/>
        <v>15</v>
      </c>
      <c r="AT6" s="18">
        <f t="shared" si="7"/>
        <v>28</v>
      </c>
      <c r="AU6" s="18">
        <f t="shared" si="8"/>
        <v>45</v>
      </c>
      <c r="AW6" s="18">
        <f>MATCH(AN6,游戏节奏!$B$4:$B$103,1)</f>
        <v>29</v>
      </c>
      <c r="AX6" s="18">
        <f>INDEX(金币汇总!$I$6:$I$105,神器与芦花古楼!$AW6)*$AM6*AX$2</f>
        <v>22840</v>
      </c>
      <c r="AY6" s="18">
        <f t="shared" si="9"/>
        <v>22840</v>
      </c>
      <c r="AZ6" s="18">
        <f t="shared" si="10"/>
        <v>1085</v>
      </c>
      <c r="BA6" s="18">
        <f t="shared" si="11"/>
        <v>2175</v>
      </c>
      <c r="BB6" s="18">
        <f t="shared" si="12"/>
        <v>5435</v>
      </c>
      <c r="BC6" s="18">
        <f>INDEX(金币汇总!$I$6:$I$105,神器与芦花古楼!$AW6)*$AM6*BC$2</f>
        <v>34260</v>
      </c>
      <c r="BD6" s="18">
        <f t="shared" si="13"/>
        <v>34260</v>
      </c>
      <c r="BE6" s="18">
        <f t="shared" si="14"/>
        <v>560</v>
      </c>
      <c r="BF6" s="18">
        <f t="shared" si="15"/>
        <v>840</v>
      </c>
      <c r="BG6" s="18">
        <f t="shared" si="16"/>
        <v>1400</v>
      </c>
      <c r="BI6" s="14">
        <v>1</v>
      </c>
    </row>
    <row r="7" spans="1:62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S7" s="14">
        <v>4</v>
      </c>
      <c r="T7" s="14">
        <v>1</v>
      </c>
      <c r="V7" s="14">
        <v>4</v>
      </c>
      <c r="W7" s="14">
        <f t="shared" si="1"/>
        <v>6400</v>
      </c>
      <c r="X7" s="14">
        <f t="shared" si="2"/>
        <v>225</v>
      </c>
      <c r="Y7" s="14">
        <f t="shared" si="17"/>
        <v>200</v>
      </c>
      <c r="AB7" s="14">
        <f>SUM(X$4:X7)*4</f>
        <v>2780</v>
      </c>
      <c r="AC7" s="18">
        <f>SUM(Y$4:Y7)*4</f>
        <v>1600</v>
      </c>
      <c r="AD7" s="18">
        <f>SUMIFS(金币汇总!$P$6:$P$105,金币汇总!$C$6:$C$105,"&lt;"&amp;神器与芦花古楼!V7,金币汇总!$C$6:$C$105,"&gt;"&amp;V6)</f>
        <v>34319.200000000004</v>
      </c>
      <c r="AF7" s="17" t="s">
        <v>392</v>
      </c>
      <c r="AG7" s="14">
        <v>2</v>
      </c>
      <c r="AH7" s="14">
        <v>2</v>
      </c>
      <c r="AI7" s="14">
        <v>3</v>
      </c>
      <c r="AL7" s="14">
        <v>4</v>
      </c>
      <c r="AM7" s="14">
        <v>1</v>
      </c>
      <c r="AN7" s="18">
        <f>SUM(AM$4:AM7)</f>
        <v>4</v>
      </c>
      <c r="AO7" s="18">
        <f t="shared" si="0"/>
        <v>1600</v>
      </c>
      <c r="AP7" s="18">
        <f t="shared" si="3"/>
        <v>30</v>
      </c>
      <c r="AQ7" s="18">
        <f t="shared" si="4"/>
        <v>45</v>
      </c>
      <c r="AR7" s="18">
        <f t="shared" si="5"/>
        <v>60</v>
      </c>
      <c r="AS7" s="18">
        <f t="shared" si="6"/>
        <v>30</v>
      </c>
      <c r="AT7" s="18">
        <f t="shared" si="7"/>
        <v>63</v>
      </c>
      <c r="AU7" s="18">
        <f t="shared" si="8"/>
        <v>90</v>
      </c>
      <c r="AW7" s="18">
        <f>MATCH(AN7,游戏节奏!$B$4:$B$103,1)</f>
        <v>34</v>
      </c>
      <c r="AX7" s="18">
        <f>INDEX(金币汇总!$I$6:$I$105,神器与芦花古楼!$AW7)*$AM7*AX$2</f>
        <v>32680</v>
      </c>
      <c r="AY7" s="18">
        <f t="shared" si="9"/>
        <v>32680</v>
      </c>
      <c r="AZ7" s="18">
        <f t="shared" si="10"/>
        <v>1555</v>
      </c>
      <c r="BA7" s="18">
        <f t="shared" si="11"/>
        <v>3110</v>
      </c>
      <c r="BB7" s="18">
        <f t="shared" si="12"/>
        <v>7780</v>
      </c>
      <c r="BC7" s="18">
        <f>INDEX(金币汇总!$I$6:$I$105,神器与芦花古楼!$AW7)*$AM7*BC$2</f>
        <v>49020</v>
      </c>
      <c r="BD7" s="18">
        <f t="shared" si="13"/>
        <v>49020</v>
      </c>
      <c r="BE7" s="18">
        <f t="shared" si="14"/>
        <v>800</v>
      </c>
      <c r="BF7" s="18">
        <f t="shared" si="15"/>
        <v>1205</v>
      </c>
      <c r="BG7" s="18">
        <f t="shared" si="16"/>
        <v>2005</v>
      </c>
      <c r="BI7" s="14">
        <v>1</v>
      </c>
    </row>
    <row r="8" spans="1:62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S8" s="14">
        <v>5</v>
      </c>
      <c r="T8" s="14">
        <v>2</v>
      </c>
      <c r="V8" s="14">
        <v>5</v>
      </c>
      <c r="W8" s="14">
        <f t="shared" si="1"/>
        <v>7600</v>
      </c>
      <c r="X8" s="14">
        <f t="shared" si="2"/>
        <v>265</v>
      </c>
      <c r="Y8" s="14">
        <f t="shared" si="17"/>
        <v>200</v>
      </c>
      <c r="AB8" s="14">
        <f>SUM(X$4:X8)*4</f>
        <v>3840</v>
      </c>
      <c r="AC8" s="18">
        <f>SUM(Y$4:Y8)*4</f>
        <v>2400</v>
      </c>
      <c r="AD8" s="18">
        <f>SUMIFS(金币汇总!$P$6:$P$105,金币汇总!$C$6:$C$105,"&lt;"&amp;神器与芦花古楼!V8,金币汇总!$C$6:$C$105,"&gt;"&amp;V7)</f>
        <v>29272.799999999999</v>
      </c>
      <c r="AL8" s="14">
        <v>5</v>
      </c>
      <c r="AM8" s="14">
        <v>2</v>
      </c>
      <c r="AN8" s="18">
        <f>SUM(AM$4:AM8)</f>
        <v>6</v>
      </c>
      <c r="AO8" s="18">
        <f t="shared" si="0"/>
        <v>3200</v>
      </c>
      <c r="AP8" s="18">
        <f t="shared" si="3"/>
        <v>60</v>
      </c>
      <c r="AQ8" s="18">
        <f t="shared" si="4"/>
        <v>90</v>
      </c>
      <c r="AR8" s="18">
        <f t="shared" si="5"/>
        <v>120</v>
      </c>
      <c r="AS8" s="18">
        <f t="shared" si="6"/>
        <v>60</v>
      </c>
      <c r="AT8" s="18">
        <f t="shared" si="7"/>
        <v>126</v>
      </c>
      <c r="AU8" s="18">
        <f t="shared" si="8"/>
        <v>180</v>
      </c>
      <c r="AW8" s="18">
        <f>MATCH(AN8,游戏节奏!$B$4:$B$103,1)</f>
        <v>43</v>
      </c>
      <c r="AX8" s="18">
        <f>INDEX(金币汇总!$I$6:$I$105,神器与芦花古楼!$AW8)*$AM8*AX$2</f>
        <v>95200</v>
      </c>
      <c r="AY8" s="18">
        <f t="shared" si="9"/>
        <v>95200</v>
      </c>
      <c r="AZ8" s="18">
        <f t="shared" si="10"/>
        <v>4530</v>
      </c>
      <c r="BA8" s="18">
        <f t="shared" si="11"/>
        <v>9065</v>
      </c>
      <c r="BB8" s="18">
        <f t="shared" si="12"/>
        <v>22665</v>
      </c>
      <c r="BC8" s="18">
        <f>INDEX(金币汇总!$I$6:$I$105,神器与芦花古楼!$AW8)*$AM8*BC$2</f>
        <v>142800</v>
      </c>
      <c r="BD8" s="18">
        <f t="shared" si="13"/>
        <v>142800</v>
      </c>
      <c r="BE8" s="18">
        <f t="shared" si="14"/>
        <v>2340</v>
      </c>
      <c r="BF8" s="18">
        <f t="shared" si="15"/>
        <v>3510</v>
      </c>
      <c r="BG8" s="18">
        <f t="shared" si="16"/>
        <v>5850</v>
      </c>
      <c r="BI8" s="14">
        <v>2</v>
      </c>
    </row>
    <row r="9" spans="1:62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S9" s="14">
        <v>6</v>
      </c>
      <c r="T9" s="14">
        <v>2</v>
      </c>
      <c r="V9" s="14">
        <v>6</v>
      </c>
      <c r="W9" s="14">
        <f t="shared" si="1"/>
        <v>8800</v>
      </c>
      <c r="X9" s="14">
        <f t="shared" si="2"/>
        <v>305</v>
      </c>
      <c r="Y9" s="14">
        <f t="shared" si="17"/>
        <v>200</v>
      </c>
      <c r="AB9" s="14">
        <f>SUM(X$4:X9)*4</f>
        <v>5060</v>
      </c>
      <c r="AC9" s="18">
        <f>SUM(Y$4:Y9)*4</f>
        <v>3200</v>
      </c>
      <c r="AD9" s="18">
        <f>SUMIFS(金币汇总!$P$6:$P$105,金币汇总!$C$6:$C$105,"&lt;"&amp;神器与芦花古楼!V9,金币汇总!$C$6:$C$105,"&gt;"&amp;V8)</f>
        <v>32730.800000000003</v>
      </c>
      <c r="AF9" s="17" t="s">
        <v>398</v>
      </c>
      <c r="AG9" s="14">
        <v>400</v>
      </c>
      <c r="AL9" s="14">
        <v>6</v>
      </c>
      <c r="AM9" s="14">
        <v>2</v>
      </c>
      <c r="AN9" s="18">
        <f>SUM(AM$4:AM9)</f>
        <v>8</v>
      </c>
      <c r="AO9" s="18">
        <f t="shared" si="0"/>
        <v>5600</v>
      </c>
      <c r="AP9" s="18">
        <f t="shared" si="3"/>
        <v>105</v>
      </c>
      <c r="AQ9" s="18">
        <f t="shared" si="4"/>
        <v>160</v>
      </c>
      <c r="AR9" s="18">
        <f t="shared" si="5"/>
        <v>215</v>
      </c>
      <c r="AS9" s="18">
        <f t="shared" si="6"/>
        <v>105</v>
      </c>
      <c r="AT9" s="18">
        <f t="shared" si="7"/>
        <v>224</v>
      </c>
      <c r="AU9" s="18">
        <f t="shared" si="8"/>
        <v>322</v>
      </c>
      <c r="AW9" s="18">
        <f>MATCH(AN9,游戏节奏!$B$4:$B$103,1)</f>
        <v>49</v>
      </c>
      <c r="AX9" s="18">
        <f>INDEX(金币汇总!$I$6:$I$105,神器与芦花古楼!$AW9)*$AM9*AX$2</f>
        <v>96800</v>
      </c>
      <c r="AY9" s="18">
        <f t="shared" si="9"/>
        <v>96800</v>
      </c>
      <c r="AZ9" s="18">
        <f t="shared" si="10"/>
        <v>4605</v>
      </c>
      <c r="BA9" s="18">
        <f t="shared" si="11"/>
        <v>9215</v>
      </c>
      <c r="BB9" s="18">
        <f t="shared" si="12"/>
        <v>23045</v>
      </c>
      <c r="BC9" s="18">
        <f>INDEX(金币汇总!$I$6:$I$105,神器与芦花古楼!$AW9)*$AM9*BC$2</f>
        <v>145200</v>
      </c>
      <c r="BD9" s="18">
        <f t="shared" si="13"/>
        <v>145200</v>
      </c>
      <c r="BE9" s="18">
        <f t="shared" si="14"/>
        <v>2380</v>
      </c>
      <c r="BF9" s="18">
        <f t="shared" si="15"/>
        <v>3570</v>
      </c>
      <c r="BG9" s="18">
        <f t="shared" si="16"/>
        <v>5950</v>
      </c>
      <c r="BI9" s="14">
        <v>2</v>
      </c>
    </row>
    <row r="10" spans="1:62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S10" s="14">
        <v>7</v>
      </c>
      <c r="T10" s="14">
        <v>2</v>
      </c>
      <c r="V10" s="14">
        <v>7</v>
      </c>
      <c r="W10" s="14">
        <f t="shared" si="1"/>
        <v>10250</v>
      </c>
      <c r="X10" s="14">
        <f t="shared" si="2"/>
        <v>345</v>
      </c>
      <c r="Y10" s="14">
        <f t="shared" si="17"/>
        <v>300</v>
      </c>
      <c r="AB10" s="14">
        <f>SUM(X$4:X10)*4</f>
        <v>6440</v>
      </c>
      <c r="AC10" s="18">
        <f>SUM(Y$4:Y10)*4</f>
        <v>4400</v>
      </c>
      <c r="AD10" s="18">
        <f>SUMIFS(金币汇总!$P$6:$P$105,金币汇总!$C$6:$C$105,"&lt;"&amp;神器与芦花古楼!V10,金币汇总!$C$6:$C$105,"&gt;"&amp;V9)</f>
        <v>46544</v>
      </c>
      <c r="AF10" s="17" t="s">
        <v>397</v>
      </c>
      <c r="AG10" s="18">
        <f>G32*4*AG9</f>
        <v>240000</v>
      </c>
      <c r="AH10" s="18">
        <f>SUM(AB4:AB18)</f>
        <v>112540</v>
      </c>
      <c r="AL10" s="14">
        <v>7</v>
      </c>
      <c r="AM10" s="14">
        <v>2</v>
      </c>
      <c r="AN10" s="18">
        <f>SUM(AM$4:AM10)</f>
        <v>10</v>
      </c>
      <c r="AO10" s="18">
        <f t="shared" si="0"/>
        <v>8000</v>
      </c>
      <c r="AP10" s="18">
        <f t="shared" si="3"/>
        <v>150</v>
      </c>
      <c r="AQ10" s="18">
        <f t="shared" si="4"/>
        <v>230</v>
      </c>
      <c r="AR10" s="18">
        <f t="shared" si="5"/>
        <v>305</v>
      </c>
      <c r="AS10" s="18">
        <f t="shared" si="6"/>
        <v>150</v>
      </c>
      <c r="AT10" s="18">
        <f t="shared" si="7"/>
        <v>322</v>
      </c>
      <c r="AU10" s="18">
        <f t="shared" si="8"/>
        <v>457</v>
      </c>
      <c r="AW10" s="18">
        <f>MATCH(AN10,游戏节奏!$B$4:$B$103,1)</f>
        <v>55</v>
      </c>
      <c r="AX10" s="18">
        <f>INDEX(金币汇总!$I$6:$I$105,神器与芦花古楼!$AW10)*$AM10*AX$2</f>
        <v>138560</v>
      </c>
      <c r="AY10" s="18">
        <f t="shared" si="9"/>
        <v>138560</v>
      </c>
      <c r="AZ10" s="18">
        <f t="shared" si="10"/>
        <v>6595</v>
      </c>
      <c r="BA10" s="18">
        <f t="shared" si="11"/>
        <v>13195</v>
      </c>
      <c r="BB10" s="18">
        <f t="shared" si="12"/>
        <v>32990</v>
      </c>
      <c r="BC10" s="18">
        <f>INDEX(金币汇总!$I$6:$I$105,神器与芦花古楼!$AW10)*$AM10*BC$2</f>
        <v>207840</v>
      </c>
      <c r="BD10" s="18">
        <f t="shared" si="13"/>
        <v>207840</v>
      </c>
      <c r="BE10" s="18">
        <f t="shared" si="14"/>
        <v>3405</v>
      </c>
      <c r="BF10" s="18">
        <f t="shared" si="15"/>
        <v>5110</v>
      </c>
      <c r="BG10" s="18">
        <f t="shared" si="16"/>
        <v>8515</v>
      </c>
      <c r="BI10" s="14">
        <v>2</v>
      </c>
    </row>
    <row r="11" spans="1:62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S11" s="14">
        <v>8</v>
      </c>
      <c r="T11" s="14">
        <v>3</v>
      </c>
      <c r="V11" s="14">
        <v>8</v>
      </c>
      <c r="W11" s="14">
        <f t="shared" si="1"/>
        <v>7500</v>
      </c>
      <c r="X11" s="14">
        <f t="shared" si="2"/>
        <v>275</v>
      </c>
      <c r="Y11" s="14">
        <f t="shared" si="17"/>
        <v>300</v>
      </c>
      <c r="AB11" s="14">
        <f>SUM(X$4:X11)*4</f>
        <v>7540</v>
      </c>
      <c r="AC11" s="18">
        <f>SUM(Y$4:Y11)*4</f>
        <v>5600</v>
      </c>
      <c r="AD11" s="18">
        <f>SUMIFS(金币汇总!$P$6:$P$105,金币汇总!$C$6:$C$105,"&lt;"&amp;神器与芦花古楼!V11,金币汇总!$C$6:$C$105,"&gt;"&amp;V10)</f>
        <v>55022.400000000009</v>
      </c>
      <c r="AF11" s="17" t="s">
        <v>399</v>
      </c>
      <c r="AG11" s="18">
        <f>AG10/(AJ5*BI2)</f>
        <v>10.909090909090908</v>
      </c>
      <c r="AH11" s="18">
        <f>INT(AH10/AJ5/BJ2)</f>
        <v>60</v>
      </c>
      <c r="AL11" s="14">
        <v>8</v>
      </c>
      <c r="AM11" s="14">
        <v>2</v>
      </c>
      <c r="AN11" s="18">
        <f>SUM(AM$4:AM11)</f>
        <v>12</v>
      </c>
      <c r="AO11" s="18">
        <f t="shared" si="0"/>
        <v>10800</v>
      </c>
      <c r="AP11" s="18">
        <f t="shared" si="3"/>
        <v>205</v>
      </c>
      <c r="AQ11" s="18">
        <f t="shared" si="4"/>
        <v>310</v>
      </c>
      <c r="AR11" s="18">
        <f t="shared" si="5"/>
        <v>415</v>
      </c>
      <c r="AS11" s="18">
        <f t="shared" si="6"/>
        <v>205</v>
      </c>
      <c r="AT11" s="18">
        <f t="shared" si="7"/>
        <v>434</v>
      </c>
      <c r="AU11" s="18">
        <f t="shared" si="8"/>
        <v>622</v>
      </c>
      <c r="AW11" s="18">
        <f>MATCH(AN11,游戏节奏!$B$4:$B$103,1)</f>
        <v>61</v>
      </c>
      <c r="AX11" s="18">
        <f>INDEX(金币汇总!$I$6:$I$105,神器与芦花古楼!$AW11)*$AM11*AX$2</f>
        <v>140160</v>
      </c>
      <c r="AY11" s="18">
        <f t="shared" si="9"/>
        <v>140160</v>
      </c>
      <c r="AZ11" s="18">
        <f t="shared" si="10"/>
        <v>6670</v>
      </c>
      <c r="BA11" s="18">
        <f t="shared" si="11"/>
        <v>13345</v>
      </c>
      <c r="BB11" s="18">
        <f t="shared" si="12"/>
        <v>33370</v>
      </c>
      <c r="BC11" s="18">
        <f>INDEX(金币汇总!$I$6:$I$105,神器与芦花古楼!$AW11)*$AM11*BC$2</f>
        <v>210240</v>
      </c>
      <c r="BD11" s="18">
        <f t="shared" si="13"/>
        <v>210240</v>
      </c>
      <c r="BE11" s="18">
        <f t="shared" si="14"/>
        <v>3445</v>
      </c>
      <c r="BF11" s="18">
        <f t="shared" si="15"/>
        <v>5165</v>
      </c>
      <c r="BG11" s="18">
        <f t="shared" si="16"/>
        <v>8615</v>
      </c>
      <c r="BI11" s="14">
        <v>2</v>
      </c>
    </row>
    <row r="12" spans="1:62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S12" s="14">
        <v>9</v>
      </c>
      <c r="T12" s="14">
        <v>3</v>
      </c>
      <c r="V12" s="14">
        <v>9</v>
      </c>
      <c r="W12" s="14">
        <f t="shared" si="1"/>
        <v>8000</v>
      </c>
      <c r="X12" s="14">
        <f t="shared" si="2"/>
        <v>290</v>
      </c>
      <c r="Y12" s="14">
        <f t="shared" si="17"/>
        <v>300</v>
      </c>
      <c r="AB12" s="14">
        <f>SUM(X$4:X12)*4</f>
        <v>8700</v>
      </c>
      <c r="AC12" s="18">
        <f>SUM(Y$4:Y12)*4</f>
        <v>6800</v>
      </c>
      <c r="AD12" s="18">
        <f>SUMIFS(金币汇总!$P$6:$P$105,金币汇总!$C$6:$C$105,"&lt;"&amp;神器与芦花古楼!V12,金币汇总!$C$6:$C$105,"&gt;"&amp;V11)</f>
        <v>39867.199999999997</v>
      </c>
      <c r="AF12" s="17" t="s">
        <v>400</v>
      </c>
      <c r="AG12" s="14">
        <v>20</v>
      </c>
      <c r="AL12" s="14">
        <v>9</v>
      </c>
      <c r="AM12" s="14">
        <v>2</v>
      </c>
      <c r="AN12" s="18">
        <f>SUM(AM$4:AM12)</f>
        <v>14</v>
      </c>
      <c r="AO12" s="18">
        <f t="shared" si="0"/>
        <v>14000</v>
      </c>
      <c r="AP12" s="18">
        <f t="shared" si="3"/>
        <v>265</v>
      </c>
      <c r="AQ12" s="18">
        <f t="shared" si="4"/>
        <v>400</v>
      </c>
      <c r="AR12" s="18">
        <f t="shared" si="5"/>
        <v>535</v>
      </c>
      <c r="AS12" s="18">
        <f t="shared" si="6"/>
        <v>265</v>
      </c>
      <c r="AT12" s="18">
        <f t="shared" si="7"/>
        <v>560</v>
      </c>
      <c r="AU12" s="18">
        <f t="shared" si="8"/>
        <v>802</v>
      </c>
      <c r="AW12" s="18">
        <f>MATCH(AN12,游戏节奏!$B$4:$B$103,1)</f>
        <v>67</v>
      </c>
      <c r="AX12" s="18">
        <f>INDEX(金币汇总!$I$6:$I$105,神器与芦花古楼!$AW12)*$AM12*AX$2</f>
        <v>141760</v>
      </c>
      <c r="AY12" s="18">
        <f t="shared" si="9"/>
        <v>141760</v>
      </c>
      <c r="AZ12" s="18">
        <f t="shared" si="10"/>
        <v>6750</v>
      </c>
      <c r="BA12" s="18">
        <f t="shared" si="11"/>
        <v>13500</v>
      </c>
      <c r="BB12" s="18">
        <f t="shared" si="12"/>
        <v>33750</v>
      </c>
      <c r="BC12" s="18">
        <f>INDEX(金币汇总!$I$6:$I$105,神器与芦花古楼!$AW12)*$AM12*BC$2</f>
        <v>212640</v>
      </c>
      <c r="BD12" s="18">
        <f t="shared" si="13"/>
        <v>212640</v>
      </c>
      <c r="BE12" s="18">
        <f t="shared" si="14"/>
        <v>3485</v>
      </c>
      <c r="BF12" s="18">
        <f t="shared" si="15"/>
        <v>5225</v>
      </c>
      <c r="BG12" s="18">
        <f t="shared" si="16"/>
        <v>8710</v>
      </c>
      <c r="BI12" s="14">
        <v>2</v>
      </c>
    </row>
    <row r="13" spans="1:62" ht="16.5" x14ac:dyDescent="0.2">
      <c r="A13">
        <v>1</v>
      </c>
      <c r="B13">
        <v>10</v>
      </c>
      <c r="C13">
        <v>1501010</v>
      </c>
      <c r="D13" t="s">
        <v>316</v>
      </c>
      <c r="E13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2000</v>
      </c>
      <c r="L13" t="s">
        <v>327</v>
      </c>
      <c r="M13">
        <v>100</v>
      </c>
      <c r="N13" t="s">
        <v>330</v>
      </c>
      <c r="O13">
        <v>100</v>
      </c>
      <c r="S13" s="14">
        <v>10</v>
      </c>
      <c r="T13" s="14">
        <v>4</v>
      </c>
      <c r="V13" s="14">
        <v>10</v>
      </c>
      <c r="W13" s="14">
        <f t="shared" si="1"/>
        <v>9000</v>
      </c>
      <c r="X13" s="14">
        <f t="shared" si="2"/>
        <v>305</v>
      </c>
      <c r="Y13" s="14">
        <f t="shared" si="17"/>
        <v>300</v>
      </c>
      <c r="AB13" s="14">
        <f>SUM(X$4:X13)*4</f>
        <v>9920</v>
      </c>
      <c r="AC13" s="18">
        <f>SUM(Y$4:Y13)*4</f>
        <v>8000</v>
      </c>
      <c r="AD13" s="18">
        <f>SUMIFS(金币汇总!$P$6:$P$105,金币汇总!$C$6:$C$105,"&lt;"&amp;神器与芦花古楼!V13,金币汇总!$C$6:$C$105,"&gt;"&amp;V12)</f>
        <v>42093.600000000006</v>
      </c>
      <c r="AF13" s="17" t="s">
        <v>401</v>
      </c>
      <c r="AG13" s="14">
        <v>300</v>
      </c>
      <c r="AL13" s="14">
        <v>10</v>
      </c>
      <c r="AM13" s="14">
        <v>2</v>
      </c>
      <c r="AN13" s="18">
        <f>SUM(AM$4:AM13)</f>
        <v>16</v>
      </c>
      <c r="AO13" s="18">
        <f t="shared" si="0"/>
        <v>17200</v>
      </c>
      <c r="AP13" s="18">
        <f t="shared" si="3"/>
        <v>330</v>
      </c>
      <c r="AQ13" s="18">
        <f t="shared" si="4"/>
        <v>495</v>
      </c>
      <c r="AR13" s="18">
        <f t="shared" si="5"/>
        <v>660</v>
      </c>
      <c r="AS13" s="18">
        <f t="shared" si="6"/>
        <v>330</v>
      </c>
      <c r="AT13" s="18">
        <f t="shared" si="7"/>
        <v>693</v>
      </c>
      <c r="AU13" s="18">
        <f t="shared" si="8"/>
        <v>990</v>
      </c>
      <c r="AW13" s="18">
        <f>MATCH(AN13,游戏节奏!$B$4:$B$103,1)</f>
        <v>72</v>
      </c>
      <c r="AX13" s="18">
        <f>INDEX(金币汇总!$I$6:$I$105,神器与芦花古楼!$AW13)*$AM13*AX$2</f>
        <v>193600</v>
      </c>
      <c r="AY13" s="18">
        <f t="shared" si="9"/>
        <v>193600</v>
      </c>
      <c r="AZ13" s="18">
        <f t="shared" si="10"/>
        <v>9215</v>
      </c>
      <c r="BA13" s="18">
        <f t="shared" si="11"/>
        <v>18435</v>
      </c>
      <c r="BB13" s="18">
        <f t="shared" si="12"/>
        <v>46095</v>
      </c>
      <c r="BC13" s="18">
        <f>INDEX(金币汇总!$I$6:$I$105,神器与芦花古楼!$AW13)*$AM13*BC$2</f>
        <v>290400</v>
      </c>
      <c r="BD13" s="18">
        <f t="shared" si="13"/>
        <v>290400</v>
      </c>
      <c r="BE13" s="18">
        <f t="shared" si="14"/>
        <v>4760</v>
      </c>
      <c r="BF13" s="18">
        <f t="shared" si="15"/>
        <v>7140</v>
      </c>
      <c r="BG13" s="18">
        <f t="shared" si="16"/>
        <v>11900</v>
      </c>
      <c r="BI13" s="14">
        <v>3</v>
      </c>
    </row>
    <row r="14" spans="1:62" ht="16.5" x14ac:dyDescent="0.2">
      <c r="A14">
        <v>1</v>
      </c>
      <c r="B14">
        <v>11</v>
      </c>
      <c r="C14">
        <v>1501011</v>
      </c>
      <c r="D14" t="s">
        <v>316</v>
      </c>
      <c r="E14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2200</v>
      </c>
      <c r="L14" t="s">
        <v>327</v>
      </c>
      <c r="M14">
        <v>110</v>
      </c>
      <c r="N14" t="s">
        <v>330</v>
      </c>
      <c r="O14">
        <v>200</v>
      </c>
      <c r="S14" s="14">
        <v>11</v>
      </c>
      <c r="T14" s="14">
        <v>4</v>
      </c>
      <c r="V14" s="14">
        <v>11</v>
      </c>
      <c r="W14" s="14">
        <f t="shared" si="1"/>
        <v>4500</v>
      </c>
      <c r="X14" s="14">
        <f t="shared" si="2"/>
        <v>200</v>
      </c>
      <c r="Y14" s="14">
        <f t="shared" si="17"/>
        <v>300</v>
      </c>
      <c r="AB14" s="14">
        <f>SUM(X$4:X14)*4</f>
        <v>10720</v>
      </c>
      <c r="AC14" s="18">
        <f>SUM(Y$4:Y14)*4</f>
        <v>9200</v>
      </c>
      <c r="AD14" s="18">
        <f>SUMIFS(金币汇总!$P$6:$P$105,金币汇总!$C$6:$C$105,"&lt;"&amp;神器与芦花古楼!V14,金币汇总!$C$6:$C$105,"&gt;"&amp;V13)</f>
        <v>77174.400000000009</v>
      </c>
      <c r="AL14" s="14">
        <v>11</v>
      </c>
      <c r="AM14" s="14">
        <v>2</v>
      </c>
      <c r="AN14" s="18">
        <f>SUM(AM$4:AM14)</f>
        <v>18</v>
      </c>
      <c r="AO14" s="18">
        <f t="shared" si="0"/>
        <v>20400</v>
      </c>
      <c r="AP14" s="18">
        <f t="shared" si="3"/>
        <v>390</v>
      </c>
      <c r="AQ14" s="18">
        <f t="shared" si="4"/>
        <v>585</v>
      </c>
      <c r="AR14" s="18">
        <f t="shared" si="5"/>
        <v>780</v>
      </c>
      <c r="AS14" s="18">
        <f t="shared" si="6"/>
        <v>390</v>
      </c>
      <c r="AT14" s="18">
        <f t="shared" si="7"/>
        <v>819</v>
      </c>
      <c r="AU14" s="18">
        <f t="shared" si="8"/>
        <v>1170</v>
      </c>
      <c r="AW14" s="18">
        <f>MATCH(AN14,游戏节奏!$B$4:$B$103,1)</f>
        <v>76</v>
      </c>
      <c r="AX14" s="18">
        <f>INDEX(金币汇总!$I$6:$I$105,神器与芦花古楼!$AW14)*$AM14*AX$2</f>
        <v>195200</v>
      </c>
      <c r="AY14" s="18">
        <f t="shared" si="9"/>
        <v>195200</v>
      </c>
      <c r="AZ14" s="18">
        <f t="shared" si="10"/>
        <v>9295</v>
      </c>
      <c r="BA14" s="18">
        <f t="shared" si="11"/>
        <v>18590</v>
      </c>
      <c r="BB14" s="18">
        <f t="shared" si="12"/>
        <v>46475</v>
      </c>
      <c r="BC14" s="18">
        <f>INDEX(金币汇总!$I$6:$I$105,神器与芦花古楼!$AW14)*$AM14*BC$2</f>
        <v>292800</v>
      </c>
      <c r="BD14" s="18">
        <f t="shared" si="13"/>
        <v>292800</v>
      </c>
      <c r="BE14" s="18">
        <f t="shared" si="14"/>
        <v>4800</v>
      </c>
      <c r="BF14" s="18">
        <f t="shared" si="15"/>
        <v>7200</v>
      </c>
      <c r="BG14" s="18">
        <f t="shared" si="16"/>
        <v>12000</v>
      </c>
      <c r="BI14" s="14">
        <v>3</v>
      </c>
    </row>
    <row r="15" spans="1:62" ht="16.5" x14ac:dyDescent="0.2">
      <c r="A15">
        <v>1</v>
      </c>
      <c r="B15">
        <v>12</v>
      </c>
      <c r="C15">
        <v>1501012</v>
      </c>
      <c r="D15" t="s">
        <v>316</v>
      </c>
      <c r="E15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2400</v>
      </c>
      <c r="L15" t="s">
        <v>327</v>
      </c>
      <c r="M15">
        <v>120</v>
      </c>
      <c r="N15" t="s">
        <v>330</v>
      </c>
      <c r="O15">
        <v>200</v>
      </c>
      <c r="S15" s="14">
        <v>12</v>
      </c>
      <c r="T15" s="14">
        <v>5</v>
      </c>
      <c r="V15" s="14">
        <v>12</v>
      </c>
      <c r="W15" s="14">
        <f t="shared" si="1"/>
        <v>10000</v>
      </c>
      <c r="X15" s="14">
        <f t="shared" si="2"/>
        <v>320</v>
      </c>
      <c r="Y15" s="14">
        <f t="shared" si="17"/>
        <v>400</v>
      </c>
      <c r="AB15" s="14">
        <f>SUM(X$4:X15)*4</f>
        <v>12000</v>
      </c>
      <c r="AC15" s="18">
        <f>SUM(Y$4:Y15)*4</f>
        <v>10800</v>
      </c>
      <c r="AD15" s="18">
        <f>SUMIFS(金币汇总!$P$6:$P$105,金币汇总!$C$6:$C$105,"&lt;"&amp;神器与芦花古楼!V15,金币汇总!$C$6:$C$105,"&gt;"&amp;V14)</f>
        <v>57283.200000000004</v>
      </c>
      <c r="AL15" s="14">
        <v>12</v>
      </c>
      <c r="AM15" s="14">
        <v>2</v>
      </c>
      <c r="AN15" s="18">
        <f>SUM(AM$4:AM15)</f>
        <v>20</v>
      </c>
      <c r="AO15" s="18">
        <f t="shared" si="0"/>
        <v>23600</v>
      </c>
      <c r="AP15" s="18">
        <f t="shared" si="3"/>
        <v>450</v>
      </c>
      <c r="AQ15" s="18">
        <f t="shared" si="4"/>
        <v>680</v>
      </c>
      <c r="AR15" s="18">
        <f t="shared" si="5"/>
        <v>905</v>
      </c>
      <c r="AS15" s="18">
        <f t="shared" si="6"/>
        <v>450</v>
      </c>
      <c r="AT15" s="18">
        <f t="shared" si="7"/>
        <v>952</v>
      </c>
      <c r="AU15" s="18">
        <f t="shared" si="8"/>
        <v>1357</v>
      </c>
      <c r="AW15" s="18">
        <f>MATCH(AN15,游戏节奏!$B$4:$B$103,1)</f>
        <v>80</v>
      </c>
      <c r="AX15" s="18">
        <f>INDEX(金币汇总!$I$6:$I$105,神器与芦花古楼!$AW15)*$AM15*AX$2</f>
        <v>206400</v>
      </c>
      <c r="AY15" s="18">
        <f>INT(($AX$30-$AX$14)/17+AY14)</f>
        <v>219717</v>
      </c>
      <c r="AZ15" s="18">
        <f t="shared" si="10"/>
        <v>10460</v>
      </c>
      <c r="BA15" s="18">
        <f t="shared" si="11"/>
        <v>20925</v>
      </c>
      <c r="BB15" s="18">
        <f t="shared" si="12"/>
        <v>52310</v>
      </c>
      <c r="BC15" s="18">
        <f>INDEX(金币汇总!$I$6:$I$105,神器与芦花古楼!$AW15)*$AM15*BC$2</f>
        <v>309600</v>
      </c>
      <c r="BD15" s="18">
        <f>INT(($AX$30-$AX$14)/17+BD14)</f>
        <v>317317</v>
      </c>
      <c r="BE15" s="18">
        <f t="shared" si="14"/>
        <v>5200</v>
      </c>
      <c r="BF15" s="18">
        <f t="shared" si="15"/>
        <v>7800</v>
      </c>
      <c r="BG15" s="18">
        <f t="shared" si="16"/>
        <v>13000</v>
      </c>
      <c r="BI15" s="14">
        <v>3</v>
      </c>
    </row>
    <row r="16" spans="1:62" ht="17.25" x14ac:dyDescent="0.2">
      <c r="A16">
        <v>1</v>
      </c>
      <c r="B16">
        <v>13</v>
      </c>
      <c r="C16">
        <v>1501013</v>
      </c>
      <c r="D16" t="s">
        <v>316</v>
      </c>
      <c r="E16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2600</v>
      </c>
      <c r="L16" t="s">
        <v>327</v>
      </c>
      <c r="M16">
        <v>130</v>
      </c>
      <c r="N16" t="s">
        <v>330</v>
      </c>
      <c r="O16">
        <v>200</v>
      </c>
      <c r="S16" s="14">
        <v>13</v>
      </c>
      <c r="T16" s="14">
        <v>5</v>
      </c>
      <c r="V16" s="14">
        <v>13</v>
      </c>
      <c r="W16" s="14">
        <f t="shared" si="1"/>
        <v>5000</v>
      </c>
      <c r="X16" s="14">
        <f t="shared" si="2"/>
        <v>210</v>
      </c>
      <c r="Y16" s="14">
        <f t="shared" si="17"/>
        <v>400</v>
      </c>
      <c r="AB16" s="14">
        <f>SUM(X$4:X16)*4</f>
        <v>12840</v>
      </c>
      <c r="AC16" s="18">
        <f>SUM(Y$4:Y16)*4</f>
        <v>12400</v>
      </c>
      <c r="AD16" s="18">
        <f>SUMIFS(金币汇总!$P$6:$P$105,金币汇总!$C$6:$C$105,"&lt;"&amp;神器与芦花古楼!V16,金币汇总!$C$6:$C$105,"&gt;"&amp;V15)</f>
        <v>70264</v>
      </c>
      <c r="AG16" s="13" t="s">
        <v>387</v>
      </c>
      <c r="AH16" s="13" t="s">
        <v>388</v>
      </c>
      <c r="AI16" s="13" t="s">
        <v>389</v>
      </c>
      <c r="AL16" s="14">
        <v>13</v>
      </c>
      <c r="AM16" s="14">
        <v>2</v>
      </c>
      <c r="AN16" s="18">
        <f>SUM(AM$4:AM16)</f>
        <v>22</v>
      </c>
      <c r="AO16" s="18">
        <f t="shared" si="0"/>
        <v>27200</v>
      </c>
      <c r="AP16" s="18">
        <f t="shared" si="3"/>
        <v>520</v>
      </c>
      <c r="AQ16" s="18">
        <f t="shared" si="4"/>
        <v>780</v>
      </c>
      <c r="AR16" s="18">
        <f t="shared" si="5"/>
        <v>1045</v>
      </c>
      <c r="AS16" s="18">
        <f t="shared" si="6"/>
        <v>520</v>
      </c>
      <c r="AT16" s="18">
        <f t="shared" si="7"/>
        <v>1092</v>
      </c>
      <c r="AU16" s="18">
        <f t="shared" si="8"/>
        <v>1567</v>
      </c>
      <c r="AW16" s="18">
        <f>MATCH(AN16,游戏节奏!$B$4:$B$103,1)</f>
        <v>82</v>
      </c>
      <c r="AX16" s="18">
        <f>INDEX(金币汇总!$I$6:$I$105,神器与芦花古楼!$AW16)*$AM16*AX$2</f>
        <v>206400</v>
      </c>
      <c r="AY16" s="18">
        <f t="shared" ref="AY16:AY33" si="18">INT(($AX$30-$AX$14)/17+AY15)</f>
        <v>244234</v>
      </c>
      <c r="AZ16" s="18">
        <f t="shared" si="10"/>
        <v>11630</v>
      </c>
      <c r="BA16" s="18">
        <f t="shared" si="11"/>
        <v>23260</v>
      </c>
      <c r="BB16" s="18">
        <f t="shared" si="12"/>
        <v>58150</v>
      </c>
      <c r="BC16" s="18">
        <f>INDEX(金币汇总!$I$6:$I$105,神器与芦花古楼!$AW16)*$AM16*BC$2</f>
        <v>309600</v>
      </c>
      <c r="BD16" s="18">
        <f t="shared" ref="BD16:BD33" si="19">INT(($AX$30-$AX$14)/17+BD15)</f>
        <v>341834</v>
      </c>
      <c r="BE16" s="18">
        <f t="shared" si="14"/>
        <v>5600</v>
      </c>
      <c r="BF16" s="18">
        <f t="shared" si="15"/>
        <v>8405</v>
      </c>
      <c r="BG16" s="18">
        <f t="shared" si="16"/>
        <v>14005</v>
      </c>
      <c r="BI16" s="14">
        <v>3</v>
      </c>
    </row>
    <row r="17" spans="1:61" ht="18.75" customHeight="1" x14ac:dyDescent="0.2">
      <c r="A17">
        <v>1</v>
      </c>
      <c r="B17">
        <v>14</v>
      </c>
      <c r="C17">
        <v>1501014</v>
      </c>
      <c r="D17" t="s">
        <v>316</v>
      </c>
      <c r="E17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2800</v>
      </c>
      <c r="L17" t="s">
        <v>327</v>
      </c>
      <c r="M17">
        <v>140</v>
      </c>
      <c r="N17" t="s">
        <v>330</v>
      </c>
      <c r="O17">
        <v>200</v>
      </c>
      <c r="S17" s="14">
        <v>14</v>
      </c>
      <c r="T17" s="14">
        <v>6</v>
      </c>
      <c r="V17" s="14">
        <v>14</v>
      </c>
      <c r="W17" s="14">
        <f t="shared" si="1"/>
        <v>11000</v>
      </c>
      <c r="X17" s="14">
        <f t="shared" si="2"/>
        <v>335</v>
      </c>
      <c r="Y17" s="14">
        <f t="shared" si="17"/>
        <v>400</v>
      </c>
      <c r="AB17" s="14">
        <f>SUM(X$4:X17)*4</f>
        <v>14180</v>
      </c>
      <c r="AC17" s="18">
        <f>SUM(Y$4:Y17)*4</f>
        <v>14000</v>
      </c>
      <c r="AD17" s="18">
        <f>SUMIFS(金币汇总!$P$6:$P$105,金币汇总!$C$6:$C$105,"&lt;"&amp;神器与芦花古楼!V17,金币汇总!$C$6:$C$105,"&gt;"&amp;V16)</f>
        <v>73035.200000000012</v>
      </c>
      <c r="AF17" s="17" t="s">
        <v>632</v>
      </c>
      <c r="AG17" s="14">
        <v>1</v>
      </c>
      <c r="AH17" s="14">
        <v>1.5</v>
      </c>
      <c r="AI17" s="14">
        <v>2.5</v>
      </c>
      <c r="AL17" s="14">
        <v>14</v>
      </c>
      <c r="AM17" s="14">
        <v>2</v>
      </c>
      <c r="AN17" s="18">
        <f>SUM(AM$4:AM17)</f>
        <v>24</v>
      </c>
      <c r="AO17" s="18">
        <f t="shared" si="0"/>
        <v>31200</v>
      </c>
      <c r="AP17" s="18">
        <f t="shared" si="3"/>
        <v>600</v>
      </c>
      <c r="AQ17" s="18">
        <f t="shared" si="4"/>
        <v>900</v>
      </c>
      <c r="AR17" s="18">
        <f t="shared" si="5"/>
        <v>1200</v>
      </c>
      <c r="AS17" s="18">
        <f t="shared" si="6"/>
        <v>600</v>
      </c>
      <c r="AT17" s="18">
        <f t="shared" si="7"/>
        <v>1260</v>
      </c>
      <c r="AU17" s="18">
        <f t="shared" si="8"/>
        <v>1800</v>
      </c>
      <c r="AW17" s="18">
        <f>MATCH(AN17,游戏节奏!$B$4:$B$103,1)</f>
        <v>84</v>
      </c>
      <c r="AX17" s="18">
        <f>INDEX(金币汇总!$I$6:$I$105,神器与芦花古楼!$AW17)*$AM17*AX$2</f>
        <v>206400</v>
      </c>
      <c r="AY17" s="18">
        <f t="shared" si="18"/>
        <v>268751</v>
      </c>
      <c r="AZ17" s="18">
        <f t="shared" si="10"/>
        <v>12795</v>
      </c>
      <c r="BA17" s="18">
        <f t="shared" si="11"/>
        <v>25595</v>
      </c>
      <c r="BB17" s="18">
        <f t="shared" si="12"/>
        <v>63985</v>
      </c>
      <c r="BC17" s="18">
        <f>INDEX(金币汇总!$I$6:$I$105,神器与芦花古楼!$AW17)*$AM17*BC$2</f>
        <v>309600</v>
      </c>
      <c r="BD17" s="18">
        <f t="shared" si="19"/>
        <v>366351</v>
      </c>
      <c r="BE17" s="18">
        <f t="shared" si="14"/>
        <v>6005</v>
      </c>
      <c r="BF17" s="18">
        <f t="shared" si="15"/>
        <v>9005</v>
      </c>
      <c r="BG17" s="18">
        <f t="shared" si="16"/>
        <v>15010</v>
      </c>
      <c r="BI17" s="14">
        <v>3</v>
      </c>
    </row>
    <row r="18" spans="1:61" ht="16.5" x14ac:dyDescent="0.2">
      <c r="A18">
        <v>1</v>
      </c>
      <c r="B18">
        <v>15</v>
      </c>
      <c r="C18">
        <v>1501015</v>
      </c>
      <c r="D18" t="s">
        <v>316</v>
      </c>
      <c r="E18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3000</v>
      </c>
      <c r="L18" t="s">
        <v>327</v>
      </c>
      <c r="M18">
        <v>150</v>
      </c>
      <c r="N18" t="s">
        <v>330</v>
      </c>
      <c r="O18">
        <v>200</v>
      </c>
      <c r="S18" s="14">
        <v>15</v>
      </c>
      <c r="T18" s="14">
        <v>6</v>
      </c>
      <c r="V18" s="14">
        <v>15</v>
      </c>
      <c r="W18" s="14">
        <f t="shared" si="1"/>
        <v>5500</v>
      </c>
      <c r="X18" s="14">
        <f t="shared" si="2"/>
        <v>220</v>
      </c>
      <c r="Y18" s="14">
        <f t="shared" si="17"/>
        <v>400</v>
      </c>
      <c r="AB18" s="14">
        <f>SUM(X$4:X18)*4</f>
        <v>15060</v>
      </c>
      <c r="AC18" s="18">
        <f>SUM(Y$4:Y18)*4</f>
        <v>15600</v>
      </c>
      <c r="AD18" s="18">
        <f>SUMIFS(金币汇总!$P$6:$P$105,金币汇总!$C$6:$C$105,"&lt;"&amp;神器与芦花古楼!V18,金币汇总!$C$6:$C$105,"&gt;"&amp;V17)</f>
        <v>37556.800000000003</v>
      </c>
      <c r="AF18" s="17" t="s">
        <v>633</v>
      </c>
      <c r="AG18" s="14">
        <v>1</v>
      </c>
      <c r="AH18" s="14">
        <v>2</v>
      </c>
      <c r="AI18" s="14">
        <v>5</v>
      </c>
      <c r="AL18" s="14">
        <v>15</v>
      </c>
      <c r="AM18" s="14">
        <v>2</v>
      </c>
      <c r="AN18" s="18">
        <f>SUM(AM$4:AM18)</f>
        <v>26</v>
      </c>
      <c r="AO18" s="18">
        <f t="shared" si="0"/>
        <v>35200</v>
      </c>
      <c r="AP18" s="18">
        <f t="shared" si="3"/>
        <v>675</v>
      </c>
      <c r="AQ18" s="18">
        <f t="shared" si="4"/>
        <v>1015</v>
      </c>
      <c r="AR18" s="18">
        <f t="shared" si="5"/>
        <v>1350</v>
      </c>
      <c r="AS18" s="18">
        <f t="shared" si="6"/>
        <v>675</v>
      </c>
      <c r="AT18" s="18">
        <f t="shared" si="7"/>
        <v>1421</v>
      </c>
      <c r="AU18" s="18">
        <f t="shared" si="8"/>
        <v>2025</v>
      </c>
      <c r="AW18" s="18">
        <f>MATCH(AN18,游戏节奏!$B$4:$B$103,1)</f>
        <v>86</v>
      </c>
      <c r="AX18" s="18">
        <f>INDEX(金币汇总!$I$6:$I$105,神器与芦花古楼!$AW18)*$AM18*AX$2</f>
        <v>225600</v>
      </c>
      <c r="AY18" s="18">
        <f t="shared" si="18"/>
        <v>293268</v>
      </c>
      <c r="AZ18" s="18">
        <f t="shared" si="10"/>
        <v>13965</v>
      </c>
      <c r="BA18" s="18">
        <f t="shared" si="11"/>
        <v>27930</v>
      </c>
      <c r="BB18" s="18">
        <f t="shared" si="12"/>
        <v>69825</v>
      </c>
      <c r="BC18" s="18">
        <f>INDEX(金币汇总!$I$6:$I$105,神器与芦花古楼!$AW18)*$AM18*BC$2</f>
        <v>338400</v>
      </c>
      <c r="BD18" s="18">
        <f t="shared" si="19"/>
        <v>390868</v>
      </c>
      <c r="BE18" s="18">
        <f t="shared" si="14"/>
        <v>6405</v>
      </c>
      <c r="BF18" s="18">
        <f t="shared" si="15"/>
        <v>9610</v>
      </c>
      <c r="BG18" s="18">
        <f t="shared" si="16"/>
        <v>16015</v>
      </c>
      <c r="BI18" s="14">
        <v>5</v>
      </c>
    </row>
    <row r="19" spans="1:61" ht="16.5" x14ac:dyDescent="0.2">
      <c r="A19">
        <v>1</v>
      </c>
      <c r="B19">
        <v>16</v>
      </c>
      <c r="C19">
        <v>1501016</v>
      </c>
      <c r="D19" t="s">
        <v>316</v>
      </c>
      <c r="E19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3250</v>
      </c>
      <c r="L19" t="s">
        <v>327</v>
      </c>
      <c r="M19">
        <v>160</v>
      </c>
      <c r="N19" t="s">
        <v>330</v>
      </c>
      <c r="O19">
        <v>300</v>
      </c>
      <c r="S19" s="14">
        <v>16</v>
      </c>
      <c r="T19" s="14">
        <v>7</v>
      </c>
      <c r="V19" s="14">
        <v>16</v>
      </c>
      <c r="W19" s="14">
        <f t="shared" si="1"/>
        <v>12000</v>
      </c>
      <c r="X19" s="14">
        <f t="shared" si="2"/>
        <v>350</v>
      </c>
      <c r="Y19" s="14">
        <f t="shared" si="17"/>
        <v>400</v>
      </c>
      <c r="AB19" s="14">
        <f>SUM(X$4:X19)*4</f>
        <v>16460</v>
      </c>
      <c r="AC19" s="18">
        <f>SUM(Y$4:Y19)*4</f>
        <v>17200</v>
      </c>
      <c r="AD19" s="18">
        <f>SUMIFS(金币汇总!$P$6:$P$105,金币汇总!$C$6:$C$105,"&lt;"&amp;神器与芦花古楼!V19,金币汇总!$C$6:$C$105,"&gt;"&amp;V18)</f>
        <v>78433.600000000006</v>
      </c>
      <c r="AF19" s="17" t="s">
        <v>634</v>
      </c>
      <c r="AG19" s="18">
        <f>SUMPRODUCT(AG7:AI7,AG18:AI18)</f>
        <v>21</v>
      </c>
      <c r="AH19" s="17" t="s">
        <v>635</v>
      </c>
      <c r="AI19" s="18">
        <f>SUMPRODUCT(AG6:AI6,AG7:AI7,AG17:AI17)</f>
        <v>61</v>
      </c>
      <c r="AL19" s="14">
        <v>16</v>
      </c>
      <c r="AM19" s="14">
        <v>2</v>
      </c>
      <c r="AN19" s="18">
        <f>SUM(AM$4:AM19)</f>
        <v>28</v>
      </c>
      <c r="AO19" s="18">
        <f t="shared" si="0"/>
        <v>39200</v>
      </c>
      <c r="AP19" s="18">
        <f t="shared" si="3"/>
        <v>750</v>
      </c>
      <c r="AQ19" s="18">
        <f t="shared" si="4"/>
        <v>1130</v>
      </c>
      <c r="AR19" s="18">
        <f t="shared" si="5"/>
        <v>1505</v>
      </c>
      <c r="AS19" s="18">
        <f t="shared" si="6"/>
        <v>750</v>
      </c>
      <c r="AT19" s="18">
        <f t="shared" si="7"/>
        <v>1582</v>
      </c>
      <c r="AU19" s="18">
        <f t="shared" si="8"/>
        <v>2257</v>
      </c>
      <c r="AW19" s="18">
        <f>MATCH(AN19,游戏节奏!$B$4:$B$103,1)</f>
        <v>88</v>
      </c>
      <c r="AX19" s="18">
        <f>INDEX(金币汇总!$I$6:$I$105,神器与芦花古楼!$AW19)*$AM19*AX$2</f>
        <v>225600</v>
      </c>
      <c r="AY19" s="18">
        <f t="shared" si="18"/>
        <v>317785</v>
      </c>
      <c r="AZ19" s="18">
        <f t="shared" si="10"/>
        <v>15130</v>
      </c>
      <c r="BA19" s="18">
        <f t="shared" si="11"/>
        <v>30265</v>
      </c>
      <c r="BB19" s="18">
        <f t="shared" si="12"/>
        <v>75660</v>
      </c>
      <c r="BC19" s="18">
        <f>INDEX(金币汇总!$I$6:$I$105,神器与芦花古楼!$AW19)*$AM19*BC$2</f>
        <v>338400</v>
      </c>
      <c r="BD19" s="18">
        <f t="shared" si="19"/>
        <v>415385</v>
      </c>
      <c r="BE19" s="18">
        <f t="shared" si="14"/>
        <v>6805</v>
      </c>
      <c r="BF19" s="18">
        <f t="shared" si="15"/>
        <v>10210</v>
      </c>
      <c r="BG19" s="18">
        <f t="shared" si="16"/>
        <v>17020</v>
      </c>
      <c r="BI19" s="14">
        <v>5</v>
      </c>
    </row>
    <row r="20" spans="1:61" ht="16.5" x14ac:dyDescent="0.2">
      <c r="A20">
        <v>1</v>
      </c>
      <c r="B20">
        <v>17</v>
      </c>
      <c r="C20">
        <v>1501017</v>
      </c>
      <c r="D20" t="s">
        <v>316</v>
      </c>
      <c r="E20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3500</v>
      </c>
      <c r="L20" t="s">
        <v>327</v>
      </c>
      <c r="M20">
        <v>170</v>
      </c>
      <c r="N20" t="s">
        <v>330</v>
      </c>
      <c r="O20">
        <v>300</v>
      </c>
      <c r="S20" s="14">
        <v>17</v>
      </c>
      <c r="T20" s="14">
        <v>7</v>
      </c>
      <c r="V20" s="14">
        <v>17</v>
      </c>
      <c r="W20" s="14">
        <f t="shared" si="1"/>
        <v>6000</v>
      </c>
      <c r="X20" s="14">
        <f t="shared" si="2"/>
        <v>230</v>
      </c>
      <c r="Y20" s="14">
        <f t="shared" si="17"/>
        <v>400</v>
      </c>
      <c r="AB20" s="14">
        <f>SUM(X$4:X20)*4</f>
        <v>17380</v>
      </c>
      <c r="AC20" s="18">
        <f>SUM(Y$4:Y20)*4</f>
        <v>18800</v>
      </c>
      <c r="AD20" s="18">
        <f>SUMIFS(金币汇总!$P$6:$P$105,金币汇总!$C$6:$C$105,"&lt;"&amp;神器与芦花古楼!V20,金币汇总!$C$6:$C$105,"&gt;"&amp;V19)</f>
        <v>82638.400000000009</v>
      </c>
      <c r="AL20" s="14">
        <v>17</v>
      </c>
      <c r="AM20" s="14">
        <v>2</v>
      </c>
      <c r="AN20" s="18">
        <f>SUM(AM$4:AM20)</f>
        <v>30</v>
      </c>
      <c r="AO20" s="18">
        <f t="shared" si="0"/>
        <v>43200</v>
      </c>
      <c r="AP20" s="18">
        <f t="shared" si="3"/>
        <v>830</v>
      </c>
      <c r="AQ20" s="18">
        <f t="shared" si="4"/>
        <v>1245</v>
      </c>
      <c r="AR20" s="18">
        <f t="shared" si="5"/>
        <v>1660</v>
      </c>
      <c r="AS20" s="18">
        <f t="shared" si="6"/>
        <v>830</v>
      </c>
      <c r="AT20" s="18">
        <f t="shared" si="7"/>
        <v>1743</v>
      </c>
      <c r="AU20" s="18">
        <f t="shared" si="8"/>
        <v>2490</v>
      </c>
      <c r="AW20" s="18">
        <f>MATCH(AN20,游戏节奏!$B$4:$B$103,1)</f>
        <v>90</v>
      </c>
      <c r="AX20" s="18">
        <f>INDEX(金币汇总!$I$6:$I$105,神器与芦花古楼!$AW20)*$AM20*AX$2</f>
        <v>225600</v>
      </c>
      <c r="AY20" s="18">
        <f t="shared" si="18"/>
        <v>342302</v>
      </c>
      <c r="AZ20" s="18">
        <f t="shared" si="10"/>
        <v>16300</v>
      </c>
      <c r="BA20" s="18">
        <f t="shared" si="11"/>
        <v>32600</v>
      </c>
      <c r="BB20" s="18">
        <f t="shared" si="12"/>
        <v>81500</v>
      </c>
      <c r="BC20" s="18">
        <f>INDEX(金币汇总!$I$6:$I$105,神器与芦花古楼!$AW20)*$AM20*BC$2</f>
        <v>338400</v>
      </c>
      <c r="BD20" s="18">
        <f t="shared" si="19"/>
        <v>439902</v>
      </c>
      <c r="BE20" s="18">
        <f t="shared" si="14"/>
        <v>7210</v>
      </c>
      <c r="BF20" s="18">
        <f t="shared" si="15"/>
        <v>10815</v>
      </c>
      <c r="BG20" s="18">
        <f t="shared" si="16"/>
        <v>18025</v>
      </c>
      <c r="BI20" s="14">
        <v>5</v>
      </c>
    </row>
    <row r="21" spans="1:61" ht="16.5" x14ac:dyDescent="0.2">
      <c r="A21">
        <v>1</v>
      </c>
      <c r="B21">
        <v>18</v>
      </c>
      <c r="C21">
        <v>1501018</v>
      </c>
      <c r="D21" t="s">
        <v>316</v>
      </c>
      <c r="E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3750</v>
      </c>
      <c r="L21" t="s">
        <v>327</v>
      </c>
      <c r="M21">
        <v>180</v>
      </c>
      <c r="N21" t="s">
        <v>330</v>
      </c>
      <c r="O21">
        <v>300</v>
      </c>
      <c r="S21" s="14">
        <v>18</v>
      </c>
      <c r="T21" s="14">
        <v>8</v>
      </c>
      <c r="V21" s="14">
        <v>18</v>
      </c>
      <c r="W21" s="14">
        <f t="shared" si="1"/>
        <v>13000</v>
      </c>
      <c r="X21" s="14">
        <f t="shared" si="2"/>
        <v>365</v>
      </c>
      <c r="Y21" s="14">
        <f t="shared" si="17"/>
        <v>400</v>
      </c>
      <c r="AB21" s="14">
        <f>SUM(X$4:X21)*4</f>
        <v>18840</v>
      </c>
      <c r="AC21" s="18">
        <f>SUM(Y$4:Y21)*4</f>
        <v>20400</v>
      </c>
      <c r="AD21" s="18">
        <f>SUMIFS(金币汇总!$P$6:$P$105,金币汇总!$C$6:$C$105,"&lt;"&amp;神器与芦花古楼!V21,金币汇总!$C$6:$C$105,"&gt;"&amp;V20)</f>
        <v>42896</v>
      </c>
      <c r="AL21" s="14">
        <v>18</v>
      </c>
      <c r="AM21" s="14">
        <v>2</v>
      </c>
      <c r="AN21" s="18">
        <f>SUM(AM$4:AM21)</f>
        <v>32</v>
      </c>
      <c r="AO21" s="18">
        <f t="shared" si="0"/>
        <v>47200</v>
      </c>
      <c r="AP21" s="18">
        <f t="shared" si="3"/>
        <v>905</v>
      </c>
      <c r="AQ21" s="18">
        <f t="shared" si="4"/>
        <v>1360</v>
      </c>
      <c r="AR21" s="18">
        <f t="shared" si="5"/>
        <v>1815</v>
      </c>
      <c r="AS21" s="18">
        <f t="shared" si="6"/>
        <v>905</v>
      </c>
      <c r="AT21" s="18">
        <f t="shared" si="7"/>
        <v>1904</v>
      </c>
      <c r="AU21" s="18">
        <f t="shared" si="8"/>
        <v>2722</v>
      </c>
      <c r="AW21" s="18">
        <f>MATCH(AN21,游戏节奏!$B$4:$B$103,1)</f>
        <v>91</v>
      </c>
      <c r="AX21" s="18">
        <f>INDEX(金币汇总!$I$6:$I$105,神器与芦花古楼!$AW21)*$AM21*AX$2</f>
        <v>225600</v>
      </c>
      <c r="AY21" s="18">
        <f t="shared" si="18"/>
        <v>366819</v>
      </c>
      <c r="AZ21" s="18">
        <f t="shared" si="10"/>
        <v>17465</v>
      </c>
      <c r="BA21" s="18">
        <f t="shared" si="11"/>
        <v>34935</v>
      </c>
      <c r="BB21" s="18">
        <f t="shared" si="12"/>
        <v>87335</v>
      </c>
      <c r="BC21" s="18">
        <f>INDEX(金币汇总!$I$6:$I$105,神器与芦花古楼!$AW21)*$AM21*BC$2</f>
        <v>338400</v>
      </c>
      <c r="BD21" s="18">
        <f t="shared" si="19"/>
        <v>464419</v>
      </c>
      <c r="BE21" s="18">
        <f t="shared" si="14"/>
        <v>7610</v>
      </c>
      <c r="BF21" s="18">
        <f t="shared" si="15"/>
        <v>11420</v>
      </c>
      <c r="BG21" s="18">
        <f t="shared" si="16"/>
        <v>19030</v>
      </c>
      <c r="BI21" s="14">
        <v>5</v>
      </c>
    </row>
    <row r="22" spans="1:61" ht="16.5" x14ac:dyDescent="0.2">
      <c r="A22">
        <v>1</v>
      </c>
      <c r="B22">
        <v>19</v>
      </c>
      <c r="C22">
        <v>1501019</v>
      </c>
      <c r="D22" t="s">
        <v>316</v>
      </c>
      <c r="E22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4000</v>
      </c>
      <c r="L22" t="s">
        <v>327</v>
      </c>
      <c r="M22">
        <v>190</v>
      </c>
      <c r="N22" t="s">
        <v>330</v>
      </c>
      <c r="O22">
        <v>300</v>
      </c>
      <c r="S22" s="14">
        <v>19</v>
      </c>
      <c r="T22" s="14">
        <v>9</v>
      </c>
      <c r="V22" s="14">
        <v>19</v>
      </c>
      <c r="W22" s="14">
        <f t="shared" si="1"/>
        <v>6500</v>
      </c>
      <c r="X22" s="14">
        <f t="shared" si="2"/>
        <v>240</v>
      </c>
      <c r="Y22" s="14">
        <f t="shared" si="17"/>
        <v>400</v>
      </c>
      <c r="AB22" s="14">
        <f>SUM(X$4:X22)*4</f>
        <v>19800</v>
      </c>
      <c r="AC22" s="18">
        <f>SUM(Y$4:Y22)*4</f>
        <v>22000</v>
      </c>
      <c r="AD22" s="18">
        <f>SUMIFS(金币汇总!$P$6:$P$105,金币汇总!$C$6:$C$105,"&lt;"&amp;神器与芦花古楼!V22,金币汇总!$C$6:$C$105,"&gt;"&amp;V21)</f>
        <v>89960.8</v>
      </c>
      <c r="AL22" s="14">
        <v>19</v>
      </c>
      <c r="AM22" s="14">
        <v>2</v>
      </c>
      <c r="AN22" s="18">
        <f>SUM(AM$4:AM22)</f>
        <v>34</v>
      </c>
      <c r="AO22" s="18">
        <f t="shared" si="0"/>
        <v>51200</v>
      </c>
      <c r="AP22" s="18">
        <f t="shared" si="3"/>
        <v>980</v>
      </c>
      <c r="AQ22" s="18">
        <f t="shared" si="4"/>
        <v>1475</v>
      </c>
      <c r="AR22" s="18">
        <f t="shared" si="5"/>
        <v>1965</v>
      </c>
      <c r="AS22" s="18">
        <f t="shared" si="6"/>
        <v>980</v>
      </c>
      <c r="AT22" s="18">
        <f t="shared" si="7"/>
        <v>2065</v>
      </c>
      <c r="AU22" s="18">
        <f t="shared" si="8"/>
        <v>2947</v>
      </c>
      <c r="AW22" s="18">
        <f>MATCH(AN22,游戏节奏!$B$4:$B$103,1)</f>
        <v>92</v>
      </c>
      <c r="AX22" s="18">
        <f>INDEX(金币汇总!$I$6:$I$105,神器与芦花古楼!$AW22)*$AM22*AX$2</f>
        <v>225600</v>
      </c>
      <c r="AY22" s="18">
        <f t="shared" si="18"/>
        <v>391336</v>
      </c>
      <c r="AZ22" s="18">
        <f t="shared" si="10"/>
        <v>18635</v>
      </c>
      <c r="BA22" s="18">
        <f t="shared" si="11"/>
        <v>37270</v>
      </c>
      <c r="BB22" s="18">
        <f t="shared" si="12"/>
        <v>93175</v>
      </c>
      <c r="BC22" s="18">
        <f>INDEX(金币汇总!$I$6:$I$105,神器与芦花古楼!$AW22)*$AM22*BC$2</f>
        <v>338400</v>
      </c>
      <c r="BD22" s="18">
        <f t="shared" si="19"/>
        <v>488936</v>
      </c>
      <c r="BE22" s="18">
        <f t="shared" si="14"/>
        <v>8015</v>
      </c>
      <c r="BF22" s="18">
        <f t="shared" si="15"/>
        <v>12020</v>
      </c>
      <c r="BG22" s="18">
        <f t="shared" si="16"/>
        <v>20035</v>
      </c>
      <c r="BI22" s="14">
        <v>5</v>
      </c>
    </row>
    <row r="23" spans="1:61" ht="16.5" x14ac:dyDescent="0.2">
      <c r="A23">
        <v>1</v>
      </c>
      <c r="B23">
        <v>20</v>
      </c>
      <c r="C23">
        <v>1501020</v>
      </c>
      <c r="D23" t="s">
        <v>316</v>
      </c>
      <c r="E23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4500</v>
      </c>
      <c r="L23" t="s">
        <v>327</v>
      </c>
      <c r="M23">
        <v>200</v>
      </c>
      <c r="N23" t="s">
        <v>330</v>
      </c>
      <c r="O23">
        <v>300</v>
      </c>
      <c r="S23" s="14">
        <v>20</v>
      </c>
      <c r="T23" s="14">
        <v>10</v>
      </c>
      <c r="V23" s="14">
        <v>20</v>
      </c>
      <c r="W23" s="14">
        <f t="shared" si="1"/>
        <v>14000</v>
      </c>
      <c r="X23" s="14">
        <f t="shared" si="2"/>
        <v>380</v>
      </c>
      <c r="Y23" s="14">
        <f t="shared" si="17"/>
        <v>400</v>
      </c>
      <c r="AB23" s="14">
        <f>SUM(X$4:X23)*4</f>
        <v>21320</v>
      </c>
      <c r="AC23" s="18">
        <f>SUM(Y$4:Y23)*4</f>
        <v>23600</v>
      </c>
      <c r="AD23" s="18">
        <f>SUMIFS(金币汇总!$P$6:$P$105,金币汇总!$C$6:$C$105,"&lt;"&amp;神器与芦花古楼!V23,金币汇总!$C$6:$C$105,"&gt;"&amp;V22)</f>
        <v>46575.200000000004</v>
      </c>
      <c r="AL23" s="14">
        <v>20</v>
      </c>
      <c r="AM23" s="14">
        <v>2</v>
      </c>
      <c r="AN23" s="18">
        <f>SUM(AM$4:AM23)</f>
        <v>36</v>
      </c>
      <c r="AO23" s="18">
        <f t="shared" si="0"/>
        <v>55200</v>
      </c>
      <c r="AP23" s="18">
        <f t="shared" si="3"/>
        <v>1060</v>
      </c>
      <c r="AQ23" s="18">
        <f t="shared" si="4"/>
        <v>1590</v>
      </c>
      <c r="AR23" s="18">
        <f t="shared" si="5"/>
        <v>2120</v>
      </c>
      <c r="AS23" s="18">
        <f t="shared" si="6"/>
        <v>1060</v>
      </c>
      <c r="AT23" s="18">
        <f t="shared" si="7"/>
        <v>2226</v>
      </c>
      <c r="AU23" s="18">
        <f t="shared" si="8"/>
        <v>3180</v>
      </c>
      <c r="AW23" s="18">
        <f>MATCH(AN23,游戏节奏!$B$4:$B$103,1)</f>
        <v>93</v>
      </c>
      <c r="AX23" s="18">
        <f>INDEX(金币汇总!$I$6:$I$105,神器与芦花古楼!$AW23)*$AM23*AX$2</f>
        <v>225600</v>
      </c>
      <c r="AY23" s="18">
        <f t="shared" si="18"/>
        <v>415853</v>
      </c>
      <c r="AZ23" s="18">
        <f t="shared" si="10"/>
        <v>19800</v>
      </c>
      <c r="BA23" s="18">
        <f t="shared" si="11"/>
        <v>39605</v>
      </c>
      <c r="BB23" s="18">
        <f t="shared" si="12"/>
        <v>99010</v>
      </c>
      <c r="BC23" s="18">
        <f>INDEX(金币汇总!$I$6:$I$105,神器与芦花古楼!$AW23)*$AM23*BC$2</f>
        <v>338400</v>
      </c>
      <c r="BD23" s="18">
        <f t="shared" si="19"/>
        <v>513453</v>
      </c>
      <c r="BE23" s="18">
        <f t="shared" si="14"/>
        <v>8415</v>
      </c>
      <c r="BF23" s="18">
        <f t="shared" si="15"/>
        <v>12625</v>
      </c>
      <c r="BG23" s="18">
        <f t="shared" si="16"/>
        <v>21040</v>
      </c>
      <c r="BI23" s="14">
        <v>10</v>
      </c>
    </row>
    <row r="24" spans="1:61" ht="16.5" x14ac:dyDescent="0.2">
      <c r="A24">
        <v>1</v>
      </c>
      <c r="B24">
        <v>21</v>
      </c>
      <c r="C24">
        <v>1501021</v>
      </c>
      <c r="D24" t="s">
        <v>316</v>
      </c>
      <c r="E24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5000</v>
      </c>
      <c r="L24" t="s">
        <v>327</v>
      </c>
      <c r="M24">
        <v>210</v>
      </c>
      <c r="N24" t="s">
        <v>330</v>
      </c>
      <c r="O24">
        <v>400</v>
      </c>
      <c r="S24" s="14">
        <v>21</v>
      </c>
      <c r="T24" s="14">
        <v>12</v>
      </c>
      <c r="V24" s="14">
        <v>21</v>
      </c>
      <c r="W24" s="14">
        <f t="shared" si="1"/>
        <v>7000</v>
      </c>
      <c r="X24" s="14">
        <f t="shared" si="2"/>
        <v>250</v>
      </c>
      <c r="Y24" s="14">
        <f t="shared" si="17"/>
        <v>400</v>
      </c>
      <c r="AB24" s="14">
        <f>SUM(X$4:X24)*4</f>
        <v>22320</v>
      </c>
      <c r="AC24" s="18">
        <f>SUM(Y$4:Y24)*4</f>
        <v>25200</v>
      </c>
      <c r="AD24" s="18">
        <f>SUMIFS(金币汇总!$P$6:$P$105,金币汇总!$C$6:$C$105,"&lt;"&amp;神器与芦花古楼!V24,金币汇总!$C$6:$C$105,"&gt;"&amp;V23)</f>
        <v>96340</v>
      </c>
      <c r="AL24" s="14">
        <v>21</v>
      </c>
      <c r="AM24" s="14">
        <v>2</v>
      </c>
      <c r="AN24" s="18">
        <f>SUM(AM$4:AM24)</f>
        <v>38</v>
      </c>
      <c r="AO24" s="18">
        <f t="shared" si="0"/>
        <v>59200</v>
      </c>
      <c r="AP24" s="18">
        <f t="shared" si="3"/>
        <v>1135</v>
      </c>
      <c r="AQ24" s="18">
        <f t="shared" si="4"/>
        <v>1705</v>
      </c>
      <c r="AR24" s="18">
        <f t="shared" si="5"/>
        <v>2275</v>
      </c>
      <c r="AS24" s="18">
        <f t="shared" si="6"/>
        <v>1135</v>
      </c>
      <c r="AT24" s="18">
        <f t="shared" si="7"/>
        <v>2387</v>
      </c>
      <c r="AU24" s="18">
        <f t="shared" si="8"/>
        <v>3412</v>
      </c>
      <c r="AW24" s="18">
        <f>MATCH(AN24,游戏节奏!$B$4:$B$103,1)</f>
        <v>94</v>
      </c>
      <c r="AX24" s="18">
        <f>INDEX(金币汇总!$I$6:$I$105,神器与芦花古楼!$AW24)*$AM24*AX$2</f>
        <v>225600</v>
      </c>
      <c r="AY24" s="18">
        <f t="shared" si="18"/>
        <v>440370</v>
      </c>
      <c r="AZ24" s="18">
        <f t="shared" si="10"/>
        <v>20970</v>
      </c>
      <c r="BA24" s="18">
        <f t="shared" si="11"/>
        <v>41940</v>
      </c>
      <c r="BB24" s="18">
        <f t="shared" si="12"/>
        <v>104850</v>
      </c>
      <c r="BC24" s="18">
        <f>INDEX(金币汇总!$I$6:$I$105,神器与芦花古楼!$AW24)*$AM24*BC$2</f>
        <v>338400</v>
      </c>
      <c r="BD24" s="18">
        <f t="shared" si="19"/>
        <v>537970</v>
      </c>
      <c r="BE24" s="18">
        <f t="shared" si="14"/>
        <v>8815</v>
      </c>
      <c r="BF24" s="18">
        <f t="shared" si="15"/>
        <v>13225</v>
      </c>
      <c r="BG24" s="18">
        <f t="shared" si="16"/>
        <v>22045</v>
      </c>
      <c r="BI24" s="14">
        <v>10</v>
      </c>
    </row>
    <row r="25" spans="1:61" ht="16.5" x14ac:dyDescent="0.2">
      <c r="A25">
        <v>1</v>
      </c>
      <c r="B25">
        <v>22</v>
      </c>
      <c r="C25">
        <v>1501022</v>
      </c>
      <c r="D25" t="s">
        <v>316</v>
      </c>
      <c r="E25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5500</v>
      </c>
      <c r="L25" t="s">
        <v>327</v>
      </c>
      <c r="M25">
        <v>220</v>
      </c>
      <c r="N25" t="s">
        <v>330</v>
      </c>
      <c r="O25">
        <v>400</v>
      </c>
      <c r="S25" s="14">
        <v>22</v>
      </c>
      <c r="T25" s="14">
        <v>14</v>
      </c>
      <c r="V25" s="14">
        <v>22</v>
      </c>
      <c r="W25" s="14">
        <f t="shared" si="1"/>
        <v>15000</v>
      </c>
      <c r="X25" s="14">
        <f t="shared" si="2"/>
        <v>395</v>
      </c>
      <c r="Y25" s="14">
        <f t="shared" si="17"/>
        <v>500</v>
      </c>
      <c r="AB25" s="14">
        <f>SUM(X$4:X25)*4</f>
        <v>23900</v>
      </c>
      <c r="AC25" s="18">
        <f>SUM(Y$4:Y25)*4</f>
        <v>27200</v>
      </c>
      <c r="AD25" s="18">
        <f>SUMIFS(金币汇总!$P$6:$P$105,金币汇总!$C$6:$C$105,"&lt;"&amp;神器与芦花古楼!V25,金币汇总!$C$6:$C$105,"&gt;"&amp;V24)</f>
        <v>58527.200000000004</v>
      </c>
      <c r="AL25" s="14">
        <v>22</v>
      </c>
      <c r="AM25" s="14">
        <v>2</v>
      </c>
      <c r="AN25" s="18">
        <f>SUM(AM$4:AM25)</f>
        <v>40</v>
      </c>
      <c r="AO25" s="18">
        <f t="shared" si="0"/>
        <v>63200</v>
      </c>
      <c r="AP25" s="18">
        <f t="shared" si="3"/>
        <v>1215</v>
      </c>
      <c r="AQ25" s="18">
        <f t="shared" si="4"/>
        <v>1820</v>
      </c>
      <c r="AR25" s="18">
        <f t="shared" si="5"/>
        <v>2430</v>
      </c>
      <c r="AS25" s="18">
        <f t="shared" si="6"/>
        <v>1215</v>
      </c>
      <c r="AT25" s="18">
        <f t="shared" si="7"/>
        <v>2548</v>
      </c>
      <c r="AU25" s="18">
        <f t="shared" si="8"/>
        <v>3645</v>
      </c>
      <c r="AW25" s="18">
        <f>MATCH(AN25,游戏节奏!$B$4:$B$103,1)</f>
        <v>95</v>
      </c>
      <c r="AX25" s="18">
        <f>INDEX(金币汇总!$I$6:$I$105,神器与芦花古楼!$AW25)*$AM25*AX$2</f>
        <v>225600</v>
      </c>
      <c r="AY25" s="18">
        <f t="shared" si="18"/>
        <v>464887</v>
      </c>
      <c r="AZ25" s="18">
        <f t="shared" si="10"/>
        <v>22135</v>
      </c>
      <c r="BA25" s="18">
        <f t="shared" si="11"/>
        <v>44270</v>
      </c>
      <c r="BB25" s="18">
        <f t="shared" si="12"/>
        <v>110685</v>
      </c>
      <c r="BC25" s="18">
        <f>INDEX(金币汇总!$I$6:$I$105,神器与芦花古楼!$AW25)*$AM25*BC$2</f>
        <v>338400</v>
      </c>
      <c r="BD25" s="18">
        <f t="shared" si="19"/>
        <v>562487</v>
      </c>
      <c r="BE25" s="18">
        <f t="shared" si="14"/>
        <v>9220</v>
      </c>
      <c r="BF25" s="18">
        <f t="shared" si="15"/>
        <v>13830</v>
      </c>
      <c r="BG25" s="18">
        <f t="shared" si="16"/>
        <v>23050</v>
      </c>
      <c r="BI25" s="14">
        <v>10</v>
      </c>
    </row>
    <row r="26" spans="1:61" ht="16.5" x14ac:dyDescent="0.2">
      <c r="A26">
        <v>1</v>
      </c>
      <c r="B26">
        <v>23</v>
      </c>
      <c r="C26">
        <v>1501023</v>
      </c>
      <c r="D26" t="s">
        <v>316</v>
      </c>
      <c r="E26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6000</v>
      </c>
      <c r="L26" t="s">
        <v>327</v>
      </c>
      <c r="M26">
        <v>230</v>
      </c>
      <c r="N26" t="s">
        <v>330</v>
      </c>
      <c r="O26">
        <v>400</v>
      </c>
      <c r="S26" s="14">
        <v>23</v>
      </c>
      <c r="T26" s="14">
        <v>16</v>
      </c>
      <c r="V26" s="14">
        <v>23</v>
      </c>
      <c r="W26" s="14">
        <f t="shared" si="1"/>
        <v>7500</v>
      </c>
      <c r="X26" s="14">
        <f t="shared" si="2"/>
        <v>260</v>
      </c>
      <c r="Y26" s="14">
        <f t="shared" si="17"/>
        <v>500</v>
      </c>
      <c r="AB26" s="14">
        <f>SUM(X$4:X26)*4</f>
        <v>24940</v>
      </c>
      <c r="AC26" s="18">
        <f>SUM(Y$4:Y26)*4</f>
        <v>29200</v>
      </c>
      <c r="AD26" s="18">
        <f>SUMIFS(金币汇总!$P$6:$P$105,金币汇总!$C$6:$C$105,"&lt;"&amp;神器与芦花古楼!V26,金币汇总!$C$6:$C$105,"&gt;"&amp;V25)</f>
        <v>144144.79999999999</v>
      </c>
      <c r="AL26" s="14">
        <v>23</v>
      </c>
      <c r="AM26" s="14">
        <v>5</v>
      </c>
      <c r="AN26" s="18">
        <f>SUM(AM$4:AM26)</f>
        <v>45</v>
      </c>
      <c r="AO26" s="18">
        <f t="shared" si="0"/>
        <v>73200</v>
      </c>
      <c r="AP26" s="18">
        <f t="shared" si="3"/>
        <v>1405</v>
      </c>
      <c r="AQ26" s="18">
        <f t="shared" si="4"/>
        <v>2110</v>
      </c>
      <c r="AR26" s="18">
        <f t="shared" si="5"/>
        <v>2815</v>
      </c>
      <c r="AS26" s="18">
        <f t="shared" si="6"/>
        <v>1405</v>
      </c>
      <c r="AT26" s="18">
        <f t="shared" si="7"/>
        <v>2954</v>
      </c>
      <c r="AU26" s="18">
        <f t="shared" si="8"/>
        <v>4222</v>
      </c>
      <c r="AW26" s="18">
        <f>MATCH(AN26,游戏节奏!$B$4:$B$103,1)</f>
        <v>97</v>
      </c>
      <c r="AX26" s="18">
        <f>INDEX(金币汇总!$I$6:$I$105,神器与芦花古楼!$AW26)*$AM26*AX$2</f>
        <v>564000</v>
      </c>
      <c r="AY26" s="18">
        <f t="shared" si="18"/>
        <v>489404</v>
      </c>
      <c r="AZ26" s="18">
        <f t="shared" si="10"/>
        <v>23300</v>
      </c>
      <c r="BA26" s="18">
        <f t="shared" si="11"/>
        <v>46605</v>
      </c>
      <c r="BB26" s="18">
        <f t="shared" si="12"/>
        <v>116520</v>
      </c>
      <c r="BC26" s="18">
        <f>INDEX(金币汇总!$I$6:$I$105,神器与芦花古楼!$AW26)*$AM26*BC$2</f>
        <v>846000</v>
      </c>
      <c r="BD26" s="18">
        <f t="shared" si="19"/>
        <v>587004</v>
      </c>
      <c r="BE26" s="18">
        <f t="shared" si="14"/>
        <v>9620</v>
      </c>
      <c r="BF26" s="18">
        <f t="shared" si="15"/>
        <v>14430</v>
      </c>
      <c r="BG26" s="18">
        <f t="shared" si="16"/>
        <v>24055</v>
      </c>
      <c r="BI26" s="14">
        <v>10</v>
      </c>
    </row>
    <row r="27" spans="1:61" ht="16.5" x14ac:dyDescent="0.2">
      <c r="A27">
        <v>1</v>
      </c>
      <c r="B27">
        <v>24</v>
      </c>
      <c r="C27">
        <v>1501024</v>
      </c>
      <c r="D27" t="s">
        <v>316</v>
      </c>
      <c r="E27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6500</v>
      </c>
      <c r="L27" t="s">
        <v>327</v>
      </c>
      <c r="M27">
        <v>240</v>
      </c>
      <c r="N27" t="s">
        <v>330</v>
      </c>
      <c r="O27">
        <v>400</v>
      </c>
      <c r="S27" s="14">
        <v>24</v>
      </c>
      <c r="T27" s="14">
        <v>18</v>
      </c>
      <c r="V27" s="14">
        <v>24</v>
      </c>
      <c r="W27" s="14">
        <f t="shared" si="1"/>
        <v>16000</v>
      </c>
      <c r="X27" s="14">
        <f t="shared" si="2"/>
        <v>410</v>
      </c>
      <c r="Y27" s="14">
        <f t="shared" si="17"/>
        <v>500</v>
      </c>
      <c r="AB27" s="14">
        <f>SUM(X$4:X27)*4</f>
        <v>26580</v>
      </c>
      <c r="AC27" s="18">
        <f>SUM(Y$4:Y27)*4</f>
        <v>31200</v>
      </c>
      <c r="AD27" s="18">
        <f>SUMIFS(金币汇总!$P$6:$P$105,金币汇总!$C$6:$C$105,"&lt;"&amp;神器与芦花古楼!V27,金币汇总!$C$6:$C$105,"&gt;"&amp;V26)</f>
        <v>76181.600000000006</v>
      </c>
      <c r="AL27" s="14">
        <v>24</v>
      </c>
      <c r="AM27" s="14">
        <v>5</v>
      </c>
      <c r="AN27" s="18">
        <f>SUM(AM$4:AM27)</f>
        <v>50</v>
      </c>
      <c r="AO27" s="18">
        <f t="shared" si="0"/>
        <v>83200</v>
      </c>
      <c r="AP27" s="18">
        <f t="shared" si="3"/>
        <v>1600</v>
      </c>
      <c r="AQ27" s="18">
        <f t="shared" si="4"/>
        <v>2400</v>
      </c>
      <c r="AR27" s="18">
        <f t="shared" si="5"/>
        <v>3200</v>
      </c>
      <c r="AS27" s="18">
        <f t="shared" si="6"/>
        <v>1600</v>
      </c>
      <c r="AT27" s="18">
        <f t="shared" si="7"/>
        <v>3360</v>
      </c>
      <c r="AU27" s="18">
        <f t="shared" si="8"/>
        <v>4800</v>
      </c>
      <c r="AW27" s="18">
        <f>MATCH(AN27,游戏节奏!$B$4:$B$103,1)</f>
        <v>100</v>
      </c>
      <c r="AX27" s="18">
        <f>INDEX(金币汇总!$I$6:$I$105,神器与芦花古楼!$AW27)*$AM27*AX$2</f>
        <v>612000</v>
      </c>
      <c r="AY27" s="18">
        <f t="shared" si="18"/>
        <v>513921</v>
      </c>
      <c r="AZ27" s="18">
        <f t="shared" si="10"/>
        <v>24470</v>
      </c>
      <c r="BA27" s="18">
        <f t="shared" si="11"/>
        <v>48940</v>
      </c>
      <c r="BB27" s="18">
        <f t="shared" si="12"/>
        <v>122360</v>
      </c>
      <c r="BC27" s="18">
        <f>INDEX(金币汇总!$I$6:$I$105,神器与芦花古楼!$AW27)*$AM27*BC$2</f>
        <v>918000</v>
      </c>
      <c r="BD27" s="18">
        <f t="shared" si="19"/>
        <v>611521</v>
      </c>
      <c r="BE27" s="18">
        <f t="shared" si="14"/>
        <v>10020</v>
      </c>
      <c r="BF27" s="18">
        <f t="shared" si="15"/>
        <v>15035</v>
      </c>
      <c r="BG27" s="18">
        <f t="shared" si="16"/>
        <v>25060</v>
      </c>
      <c r="BI27" s="14">
        <v>10</v>
      </c>
    </row>
    <row r="28" spans="1:61" ht="16.5" x14ac:dyDescent="0.2">
      <c r="A28">
        <v>1</v>
      </c>
      <c r="B28">
        <v>25</v>
      </c>
      <c r="C28">
        <v>1501025</v>
      </c>
      <c r="D28" t="s">
        <v>316</v>
      </c>
      <c r="E28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7000</v>
      </c>
      <c r="L28" t="s">
        <v>327</v>
      </c>
      <c r="M28">
        <v>250</v>
      </c>
      <c r="N28" t="s">
        <v>330</v>
      </c>
      <c r="O28">
        <v>400</v>
      </c>
      <c r="S28" s="14">
        <v>25</v>
      </c>
      <c r="T28" s="14">
        <v>20</v>
      </c>
      <c r="V28" s="14">
        <v>25</v>
      </c>
      <c r="W28" s="14">
        <f t="shared" si="1"/>
        <v>8000</v>
      </c>
      <c r="X28" s="14">
        <f t="shared" si="2"/>
        <v>270</v>
      </c>
      <c r="Y28" s="14">
        <f t="shared" si="17"/>
        <v>500</v>
      </c>
      <c r="AB28" s="14">
        <f>SUM(X$4:X28)*4</f>
        <v>27660</v>
      </c>
      <c r="AC28" s="18">
        <f>SUM(Y$4:Y28)*4</f>
        <v>33200</v>
      </c>
      <c r="AD28" s="18">
        <f>SUMIFS(金币汇总!$P$6:$P$105,金币汇总!$C$6:$C$105,"&lt;"&amp;神器与芦花古楼!V28,金币汇总!$C$6:$C$105,"&gt;"&amp;V27)</f>
        <v>78921.200000000012</v>
      </c>
      <c r="AL28" s="14">
        <v>25</v>
      </c>
      <c r="AM28" s="14">
        <v>5</v>
      </c>
      <c r="AN28" s="18">
        <f>SUM(AM$4:AM28)</f>
        <v>55</v>
      </c>
      <c r="AO28" s="18">
        <f t="shared" si="0"/>
        <v>93200</v>
      </c>
      <c r="AP28" s="18">
        <f t="shared" si="3"/>
        <v>1790</v>
      </c>
      <c r="AQ28" s="18">
        <f t="shared" si="4"/>
        <v>2685</v>
      </c>
      <c r="AR28" s="18">
        <f t="shared" si="5"/>
        <v>3580</v>
      </c>
      <c r="AS28" s="18">
        <f t="shared" si="6"/>
        <v>1790</v>
      </c>
      <c r="AT28" s="18">
        <f t="shared" si="7"/>
        <v>3759</v>
      </c>
      <c r="AU28" s="18">
        <f t="shared" si="8"/>
        <v>5370</v>
      </c>
      <c r="AW28" s="18">
        <f>MATCH(AN28,游戏节奏!$B$4:$B$103,1)</f>
        <v>100</v>
      </c>
      <c r="AX28" s="18">
        <f>INDEX(金币汇总!$I$6:$I$105,神器与芦花古楼!$AW28)*$AM28*AX$2</f>
        <v>612000</v>
      </c>
      <c r="AY28" s="18">
        <f t="shared" si="18"/>
        <v>538438</v>
      </c>
      <c r="AZ28" s="18">
        <f t="shared" si="10"/>
        <v>25635</v>
      </c>
      <c r="BA28" s="18">
        <f t="shared" si="11"/>
        <v>51275</v>
      </c>
      <c r="BB28" s="18">
        <f t="shared" si="12"/>
        <v>128195</v>
      </c>
      <c r="BC28" s="18">
        <f>INDEX(金币汇总!$I$6:$I$105,神器与芦花古楼!$AW28)*$AM28*BC$2</f>
        <v>918000</v>
      </c>
      <c r="BD28" s="18">
        <f t="shared" si="19"/>
        <v>636038</v>
      </c>
      <c r="BE28" s="18">
        <f t="shared" si="14"/>
        <v>10425</v>
      </c>
      <c r="BF28" s="18">
        <f t="shared" si="15"/>
        <v>15640</v>
      </c>
      <c r="BG28" s="18">
        <f t="shared" si="16"/>
        <v>26065</v>
      </c>
      <c r="BI28" s="14">
        <v>15</v>
      </c>
    </row>
    <row r="29" spans="1:61" ht="16.5" x14ac:dyDescent="0.2">
      <c r="A29">
        <v>1</v>
      </c>
      <c r="B29">
        <v>26</v>
      </c>
      <c r="C29">
        <v>1501026</v>
      </c>
      <c r="D29" t="s">
        <v>316</v>
      </c>
      <c r="E29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7500</v>
      </c>
      <c r="L29" t="s">
        <v>327</v>
      </c>
      <c r="M29">
        <v>260</v>
      </c>
      <c r="N29" t="s">
        <v>330</v>
      </c>
      <c r="O29">
        <v>500</v>
      </c>
      <c r="S29" s="14">
        <v>26</v>
      </c>
      <c r="T29" s="14">
        <v>22</v>
      </c>
      <c r="V29" s="14">
        <v>26</v>
      </c>
      <c r="W29" s="14">
        <f t="shared" si="1"/>
        <v>17000</v>
      </c>
      <c r="X29" s="14">
        <f t="shared" si="2"/>
        <v>425</v>
      </c>
      <c r="Y29" s="14">
        <f t="shared" si="17"/>
        <v>500</v>
      </c>
      <c r="AB29" s="14">
        <f>SUM(X$4:X29)*4</f>
        <v>29360</v>
      </c>
      <c r="AC29" s="18">
        <f>SUM(Y$4:Y29)*4</f>
        <v>35200</v>
      </c>
      <c r="AD29" s="18">
        <f>SUMIFS(金币汇总!$P$6:$P$105,金币汇总!$C$6:$C$105,"&lt;"&amp;神器与芦花古楼!V29,金币汇总!$C$6:$C$105,"&gt;"&amp;V28)</f>
        <v>82335.200000000012</v>
      </c>
      <c r="AL29" s="14">
        <v>26</v>
      </c>
      <c r="AM29" s="14">
        <v>5</v>
      </c>
      <c r="AN29" s="18">
        <f>SUM(AM$4:AM29)</f>
        <v>60</v>
      </c>
      <c r="AO29" s="18">
        <f t="shared" si="0"/>
        <v>103200</v>
      </c>
      <c r="AP29" s="18">
        <f t="shared" si="3"/>
        <v>1980</v>
      </c>
      <c r="AQ29" s="18">
        <f t="shared" si="4"/>
        <v>2975</v>
      </c>
      <c r="AR29" s="18">
        <f t="shared" si="5"/>
        <v>3965</v>
      </c>
      <c r="AS29" s="18">
        <f t="shared" si="6"/>
        <v>1980</v>
      </c>
      <c r="AT29" s="18">
        <f t="shared" si="7"/>
        <v>4165</v>
      </c>
      <c r="AU29" s="18">
        <f t="shared" si="8"/>
        <v>5947</v>
      </c>
      <c r="AW29" s="18">
        <f>MATCH(AN29,游戏节奏!$B$4:$B$103,1)</f>
        <v>100</v>
      </c>
      <c r="AX29" s="18">
        <f>INDEX(金币汇总!$I$6:$I$105,神器与芦花古楼!$AW29)*$AM29*AX$2</f>
        <v>612000</v>
      </c>
      <c r="AY29" s="18">
        <f t="shared" si="18"/>
        <v>562955</v>
      </c>
      <c r="AZ29" s="18">
        <f t="shared" si="10"/>
        <v>26805</v>
      </c>
      <c r="BA29" s="18">
        <f t="shared" si="11"/>
        <v>53610</v>
      </c>
      <c r="BB29" s="18">
        <f t="shared" si="12"/>
        <v>134035</v>
      </c>
      <c r="BC29" s="18">
        <f>INDEX(金币汇总!$I$6:$I$105,神器与芦花古楼!$AW29)*$AM29*BC$2</f>
        <v>918000</v>
      </c>
      <c r="BD29" s="18">
        <f t="shared" si="19"/>
        <v>660555</v>
      </c>
      <c r="BE29" s="18">
        <f t="shared" si="14"/>
        <v>10825</v>
      </c>
      <c r="BF29" s="18">
        <f t="shared" si="15"/>
        <v>16240</v>
      </c>
      <c r="BG29" s="18">
        <f t="shared" si="16"/>
        <v>27070</v>
      </c>
      <c r="BI29" s="14">
        <v>15</v>
      </c>
    </row>
    <row r="30" spans="1:61" ht="16.5" x14ac:dyDescent="0.2">
      <c r="A30">
        <v>1</v>
      </c>
      <c r="B30">
        <v>27</v>
      </c>
      <c r="C30">
        <v>1501027</v>
      </c>
      <c r="D30" t="s">
        <v>316</v>
      </c>
      <c r="E30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8000</v>
      </c>
      <c r="L30" t="s">
        <v>327</v>
      </c>
      <c r="M30">
        <v>270</v>
      </c>
      <c r="N30" t="s">
        <v>330</v>
      </c>
      <c r="O30">
        <v>500</v>
      </c>
      <c r="S30" s="14">
        <v>27</v>
      </c>
      <c r="T30" s="14">
        <v>24</v>
      </c>
      <c r="V30" s="14">
        <v>27</v>
      </c>
      <c r="W30" s="14">
        <f t="shared" si="1"/>
        <v>8500</v>
      </c>
      <c r="X30" s="14">
        <f t="shared" si="2"/>
        <v>280</v>
      </c>
      <c r="Y30" s="14">
        <f t="shared" si="17"/>
        <v>500</v>
      </c>
      <c r="AB30" s="14">
        <f>SUM(X$4:X30)*4</f>
        <v>30480</v>
      </c>
      <c r="AC30" s="18">
        <f>SUM(Y$4:Y30)*4</f>
        <v>37200</v>
      </c>
      <c r="AD30" s="18">
        <f>SUMIFS(金币汇总!$P$6:$P$105,金币汇总!$C$6:$C$105,"&lt;"&amp;神器与芦花古楼!V30,金币汇总!$C$6:$C$105,"&gt;"&amp;V29)</f>
        <v>85097.600000000006</v>
      </c>
      <c r="AL30" s="14">
        <v>27</v>
      </c>
      <c r="AM30" s="14">
        <v>5</v>
      </c>
      <c r="AN30" s="18">
        <f>SUM(AM$4:AM30)</f>
        <v>65</v>
      </c>
      <c r="AO30" s="18">
        <f t="shared" si="0"/>
        <v>113200</v>
      </c>
      <c r="AP30" s="18">
        <f t="shared" si="3"/>
        <v>2175</v>
      </c>
      <c r="AQ30" s="18">
        <f t="shared" si="4"/>
        <v>3265</v>
      </c>
      <c r="AR30" s="18">
        <f t="shared" si="5"/>
        <v>4350</v>
      </c>
      <c r="AS30" s="18">
        <f t="shared" si="6"/>
        <v>2175</v>
      </c>
      <c r="AT30" s="18">
        <f t="shared" si="7"/>
        <v>4571</v>
      </c>
      <c r="AU30" s="18">
        <f t="shared" si="8"/>
        <v>6525</v>
      </c>
      <c r="AW30" s="18">
        <f>MATCH(AN30,游戏节奏!$B$4:$B$103,1)</f>
        <v>100</v>
      </c>
      <c r="AX30" s="18">
        <f>INDEX(金币汇总!$I$6:$I$105,神器与芦花古楼!$AW30)*$AM30*AX$2</f>
        <v>612000</v>
      </c>
      <c r="AY30" s="18">
        <f t="shared" si="18"/>
        <v>587472</v>
      </c>
      <c r="AZ30" s="18">
        <f t="shared" si="10"/>
        <v>27970</v>
      </c>
      <c r="BA30" s="18">
        <f t="shared" si="11"/>
        <v>55945</v>
      </c>
      <c r="BB30" s="18">
        <f t="shared" si="12"/>
        <v>139870</v>
      </c>
      <c r="BC30" s="18">
        <f>INDEX(金币汇总!$I$6:$I$105,神器与芦花古楼!$AW30)*$AM30*BC$2</f>
        <v>918000</v>
      </c>
      <c r="BD30" s="18">
        <f t="shared" si="19"/>
        <v>685072</v>
      </c>
      <c r="BE30" s="18">
        <f t="shared" si="14"/>
        <v>11230</v>
      </c>
      <c r="BF30" s="18">
        <f t="shared" si="15"/>
        <v>16845</v>
      </c>
      <c r="BG30" s="18">
        <f t="shared" si="16"/>
        <v>28075</v>
      </c>
      <c r="BI30" s="14">
        <v>15</v>
      </c>
    </row>
    <row r="31" spans="1:61" ht="16.5" x14ac:dyDescent="0.2">
      <c r="A31">
        <v>1</v>
      </c>
      <c r="B31">
        <v>28</v>
      </c>
      <c r="C31">
        <v>1501028</v>
      </c>
      <c r="D31" t="s">
        <v>316</v>
      </c>
      <c r="E3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8500</v>
      </c>
      <c r="L31" t="s">
        <v>327</v>
      </c>
      <c r="M31">
        <v>280</v>
      </c>
      <c r="N31" t="s">
        <v>330</v>
      </c>
      <c r="O31">
        <v>500</v>
      </c>
      <c r="S31" s="14">
        <v>28</v>
      </c>
      <c r="T31" s="14">
        <v>26</v>
      </c>
      <c r="V31" s="14">
        <v>28</v>
      </c>
      <c r="W31" s="14">
        <f t="shared" si="1"/>
        <v>18000</v>
      </c>
      <c r="X31" s="14">
        <f t="shared" si="2"/>
        <v>440</v>
      </c>
      <c r="Y31" s="14">
        <f t="shared" si="17"/>
        <v>500</v>
      </c>
      <c r="AB31" s="14">
        <f>SUM(X$4:X31)*4</f>
        <v>32240</v>
      </c>
      <c r="AC31" s="18">
        <f>SUM(Y$4:Y31)*4</f>
        <v>39200</v>
      </c>
      <c r="AD31" s="18">
        <f>SUMIFS(金币汇总!$P$6:$P$105,金币汇总!$C$6:$C$105,"&lt;"&amp;神器与芦花古楼!V31,金币汇总!$C$6:$C$105,"&gt;"&amp;V30)</f>
        <v>87859.6</v>
      </c>
      <c r="AL31" s="14">
        <v>28</v>
      </c>
      <c r="AM31" s="14">
        <v>5</v>
      </c>
      <c r="AN31" s="18">
        <f>SUM(AM$4:AM31)</f>
        <v>70</v>
      </c>
      <c r="AO31" s="18">
        <f t="shared" si="0"/>
        <v>123200</v>
      </c>
      <c r="AP31" s="18">
        <f t="shared" si="3"/>
        <v>2365</v>
      </c>
      <c r="AQ31" s="18">
        <f t="shared" si="4"/>
        <v>3550</v>
      </c>
      <c r="AR31" s="18">
        <f t="shared" si="5"/>
        <v>4735</v>
      </c>
      <c r="AS31" s="18">
        <f t="shared" si="6"/>
        <v>2365</v>
      </c>
      <c r="AT31" s="18">
        <f t="shared" si="7"/>
        <v>4970</v>
      </c>
      <c r="AU31" s="18">
        <f t="shared" si="8"/>
        <v>7102</v>
      </c>
      <c r="AW31" s="18">
        <f>MATCH(AN31,游戏节奏!$B$4:$B$103,1)</f>
        <v>100</v>
      </c>
      <c r="AX31" s="18">
        <f>INDEX(金币汇总!$I$6:$I$105,神器与芦花古楼!$AW31)*$AM31*AX$2</f>
        <v>612000</v>
      </c>
      <c r="AY31" s="18">
        <f t="shared" si="18"/>
        <v>611989</v>
      </c>
      <c r="AZ31" s="18">
        <f t="shared" si="10"/>
        <v>29140</v>
      </c>
      <c r="BA31" s="18">
        <f t="shared" si="11"/>
        <v>58280</v>
      </c>
      <c r="BB31" s="18">
        <f t="shared" si="12"/>
        <v>145710</v>
      </c>
      <c r="BC31" s="18">
        <f>INDEX(金币汇总!$I$6:$I$105,神器与芦花古楼!$AW31)*$AM31*BC$2</f>
        <v>918000</v>
      </c>
      <c r="BD31" s="18">
        <f t="shared" si="19"/>
        <v>709589</v>
      </c>
      <c r="BE31" s="18">
        <f t="shared" si="14"/>
        <v>11630</v>
      </c>
      <c r="BF31" s="18">
        <f t="shared" si="15"/>
        <v>17445</v>
      </c>
      <c r="BG31" s="18">
        <f t="shared" si="16"/>
        <v>29080</v>
      </c>
      <c r="BI31" s="14">
        <v>15</v>
      </c>
    </row>
    <row r="32" spans="1:61" ht="16.5" x14ac:dyDescent="0.2">
      <c r="A32">
        <v>1</v>
      </c>
      <c r="B32">
        <v>29</v>
      </c>
      <c r="C32">
        <v>1501029</v>
      </c>
      <c r="D32" t="s">
        <v>316</v>
      </c>
      <c r="E32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9000</v>
      </c>
      <c r="L32" t="s">
        <v>327</v>
      </c>
      <c r="M32">
        <v>290</v>
      </c>
      <c r="N32" t="s">
        <v>330</v>
      </c>
      <c r="O32">
        <v>500</v>
      </c>
      <c r="S32" s="14">
        <v>29</v>
      </c>
      <c r="T32" s="14">
        <v>28</v>
      </c>
      <c r="V32" s="14">
        <v>29</v>
      </c>
      <c r="W32" s="14">
        <f t="shared" si="1"/>
        <v>9000</v>
      </c>
      <c r="X32" s="14">
        <f t="shared" si="2"/>
        <v>290</v>
      </c>
      <c r="Y32" s="14">
        <f t="shared" si="17"/>
        <v>500</v>
      </c>
      <c r="AB32" s="14">
        <f>SUM(X$4:X32)*4</f>
        <v>33400</v>
      </c>
      <c r="AC32" s="18">
        <f>SUM(Y$4:Y32)*4</f>
        <v>41200</v>
      </c>
      <c r="AD32" s="18">
        <f>SUMIFS(金币汇总!$P$6:$P$105,金币汇总!$C$6:$C$105,"&lt;"&amp;神器与芦花古楼!V32,金币汇总!$C$6:$C$105,"&gt;"&amp;V31)</f>
        <v>90621.6</v>
      </c>
      <c r="AL32" s="14">
        <v>29</v>
      </c>
      <c r="AM32" s="14">
        <v>5</v>
      </c>
      <c r="AN32" s="18">
        <f>SUM(AM$4:AM32)</f>
        <v>75</v>
      </c>
      <c r="AO32" s="18">
        <f t="shared" si="0"/>
        <v>133200</v>
      </c>
      <c r="AP32" s="18">
        <f t="shared" si="3"/>
        <v>2560</v>
      </c>
      <c r="AQ32" s="18">
        <f t="shared" si="4"/>
        <v>3840</v>
      </c>
      <c r="AR32" s="18">
        <f t="shared" si="5"/>
        <v>5120</v>
      </c>
      <c r="AS32" s="18">
        <f t="shared" si="6"/>
        <v>2560</v>
      </c>
      <c r="AT32" s="18">
        <f t="shared" si="7"/>
        <v>5376</v>
      </c>
      <c r="AU32" s="18">
        <f t="shared" si="8"/>
        <v>7680</v>
      </c>
      <c r="AW32" s="18">
        <f>MATCH(AN32,游戏节奏!$B$4:$B$103,1)</f>
        <v>100</v>
      </c>
      <c r="AX32" s="18">
        <f>INDEX(金币汇总!$I$6:$I$105,神器与芦花古楼!$AW32)*$AM32*AX$2</f>
        <v>612000</v>
      </c>
      <c r="AY32" s="18">
        <f t="shared" si="18"/>
        <v>636506</v>
      </c>
      <c r="AZ32" s="18">
        <f t="shared" si="10"/>
        <v>30305</v>
      </c>
      <c r="BA32" s="18">
        <f t="shared" si="11"/>
        <v>60615</v>
      </c>
      <c r="BB32" s="18">
        <f t="shared" si="12"/>
        <v>151545</v>
      </c>
      <c r="BC32" s="18">
        <f>INDEX(金币汇总!$I$6:$I$105,神器与芦花古楼!$AW32)*$AM32*BC$2</f>
        <v>918000</v>
      </c>
      <c r="BD32" s="18">
        <f t="shared" si="19"/>
        <v>734106</v>
      </c>
      <c r="BE32" s="18">
        <f t="shared" si="14"/>
        <v>12030</v>
      </c>
      <c r="BF32" s="18">
        <f t="shared" si="15"/>
        <v>18050</v>
      </c>
      <c r="BG32" s="18">
        <f t="shared" si="16"/>
        <v>30085</v>
      </c>
      <c r="BI32" s="14">
        <v>15</v>
      </c>
    </row>
    <row r="33" spans="1:61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10000</v>
      </c>
      <c r="L33" t="s">
        <v>327</v>
      </c>
      <c r="M33">
        <v>300</v>
      </c>
      <c r="N33" t="s">
        <v>330</v>
      </c>
      <c r="O33">
        <v>500</v>
      </c>
      <c r="S33" s="14">
        <v>30</v>
      </c>
      <c r="T33" s="14">
        <v>30</v>
      </c>
      <c r="V33" s="14">
        <v>30</v>
      </c>
      <c r="W33" s="14">
        <f t="shared" si="1"/>
        <v>10000</v>
      </c>
      <c r="X33" s="14">
        <f t="shared" si="2"/>
        <v>300</v>
      </c>
      <c r="Y33" s="14">
        <f t="shared" si="17"/>
        <v>500</v>
      </c>
      <c r="AB33" s="14">
        <f>SUM(X$4:X33)*4</f>
        <v>34600</v>
      </c>
      <c r="AC33" s="18">
        <f>SUM(Y$4:Y33)*4</f>
        <v>43200</v>
      </c>
      <c r="AD33" s="18">
        <f>SUMIFS(金币汇总!$P$6:$P$105,金币汇总!$C$6:$C$105,"&lt;"&amp;神器与芦花古楼!V33,金币汇总!$C$6:$C$105,"&gt;"&amp;V32)</f>
        <v>93383.6</v>
      </c>
      <c r="AL33" s="14">
        <v>30</v>
      </c>
      <c r="AM33" s="14">
        <v>5</v>
      </c>
      <c r="AN33" s="18">
        <f>SUM(AM$4:AM33)</f>
        <v>80</v>
      </c>
      <c r="AO33" s="18">
        <f t="shared" si="0"/>
        <v>143200</v>
      </c>
      <c r="AP33" s="18">
        <f t="shared" si="3"/>
        <v>2750</v>
      </c>
      <c r="AQ33" s="18">
        <f t="shared" si="4"/>
        <v>4130</v>
      </c>
      <c r="AR33" s="18">
        <f t="shared" si="5"/>
        <v>5505</v>
      </c>
      <c r="AS33" s="18">
        <f t="shared" si="6"/>
        <v>2750</v>
      </c>
      <c r="AT33" s="18">
        <f t="shared" si="7"/>
        <v>5782</v>
      </c>
      <c r="AU33" s="18">
        <f t="shared" si="8"/>
        <v>8257</v>
      </c>
      <c r="AW33" s="18">
        <f>MATCH(AN33,游戏节奏!$B$4:$B$103,1)</f>
        <v>100</v>
      </c>
      <c r="AX33" s="18">
        <f>INDEX(金币汇总!$I$6:$I$105,神器与芦花古楼!$AW33)*$AM33*AX$2</f>
        <v>612000</v>
      </c>
      <c r="AY33" s="18">
        <f t="shared" si="18"/>
        <v>661023</v>
      </c>
      <c r="AZ33" s="18">
        <f t="shared" si="10"/>
        <v>31475</v>
      </c>
      <c r="BA33" s="18">
        <f t="shared" si="11"/>
        <v>62950</v>
      </c>
      <c r="BB33" s="18">
        <f t="shared" si="12"/>
        <v>157385</v>
      </c>
      <c r="BC33" s="18">
        <f>INDEX(金币汇总!$I$6:$I$105,神器与芦花古楼!$AW33)*$AM33*BC$2</f>
        <v>918000</v>
      </c>
      <c r="BD33" s="18">
        <f t="shared" si="19"/>
        <v>758623</v>
      </c>
      <c r="BE33" s="18">
        <f t="shared" si="14"/>
        <v>12435</v>
      </c>
      <c r="BF33" s="18">
        <f t="shared" si="15"/>
        <v>18650</v>
      </c>
      <c r="BG33" s="18">
        <f t="shared" si="16"/>
        <v>31090</v>
      </c>
      <c r="BI33" s="14">
        <v>21</v>
      </c>
    </row>
    <row r="34" spans="1:61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V34" s="14">
        <v>31</v>
      </c>
      <c r="W34" s="14">
        <f t="shared" si="1"/>
        <v>10000</v>
      </c>
      <c r="X34" s="14">
        <f t="shared" si="2"/>
        <v>300</v>
      </c>
      <c r="Y34" s="14">
        <f t="shared" si="17"/>
        <v>500</v>
      </c>
      <c r="AB34" s="14">
        <f>SUM(X$4:X34)*4</f>
        <v>35800</v>
      </c>
      <c r="AC34" s="18">
        <f>SUM(Y$4:Y34)*4</f>
        <v>45200</v>
      </c>
      <c r="AD34" s="18">
        <f>SUMIFS(金币汇总!$P$6:$P$105,金币汇总!$C$6:$C$105,"&lt;"&amp;神器与芦花古楼!V34,金币汇总!$C$6:$C$105,"&gt;"&amp;V33)</f>
        <v>101662.40000000001</v>
      </c>
    </row>
    <row r="35" spans="1:61" ht="16.5" x14ac:dyDescent="0.2">
      <c r="A35">
        <v>2</v>
      </c>
      <c r="B35">
        <v>2</v>
      </c>
      <c r="C35">
        <v>1502002</v>
      </c>
      <c r="D35" t="s">
        <v>316</v>
      </c>
      <c r="E35">
        <v>1100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V35" s="14">
        <v>32</v>
      </c>
      <c r="W35" s="14">
        <f t="shared" si="1"/>
        <v>10000</v>
      </c>
      <c r="X35" s="14">
        <f t="shared" si="2"/>
        <v>300</v>
      </c>
      <c r="Y35" s="14">
        <f t="shared" si="17"/>
        <v>500</v>
      </c>
      <c r="AB35" s="14">
        <f>SUM(X$4:X35)*4</f>
        <v>37000</v>
      </c>
      <c r="AC35" s="18">
        <f>SUM(Y$4:Y35)*4</f>
        <v>47200</v>
      </c>
      <c r="AD35" s="18">
        <f>SUMIFS(金币汇总!$P$6:$P$105,金币汇总!$C$6:$C$105,"&lt;"&amp;神器与芦花古楼!V35,金币汇总!$C$6:$C$105,"&gt;"&amp;V34)</f>
        <v>111332</v>
      </c>
    </row>
    <row r="36" spans="1:61" ht="16.5" x14ac:dyDescent="0.2">
      <c r="A36">
        <v>2</v>
      </c>
      <c r="B36">
        <v>3</v>
      </c>
      <c r="C36">
        <v>1502003</v>
      </c>
      <c r="D36" t="s">
        <v>316</v>
      </c>
      <c r="E36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V36" s="14">
        <v>33</v>
      </c>
      <c r="W36" s="14">
        <f t="shared" si="1"/>
        <v>10000</v>
      </c>
      <c r="X36" s="14">
        <f t="shared" si="2"/>
        <v>300</v>
      </c>
      <c r="Y36" s="14">
        <f t="shared" si="17"/>
        <v>500</v>
      </c>
      <c r="AB36" s="14">
        <f>SUM(X$4:X36)*4</f>
        <v>38200</v>
      </c>
      <c r="AC36" s="18">
        <f>SUM(Y$4:Y36)*4</f>
        <v>49200</v>
      </c>
      <c r="AD36" s="18">
        <f>SUMIFS(金币汇总!$P$6:$P$105,金币汇总!$C$6:$C$105,"&lt;"&amp;神器与芦花古楼!V36,金币汇总!$C$6:$C$105,"&gt;"&amp;V35)</f>
        <v>121002</v>
      </c>
    </row>
    <row r="37" spans="1:61" ht="16.5" x14ac:dyDescent="0.2">
      <c r="A37">
        <v>2</v>
      </c>
      <c r="B37">
        <v>4</v>
      </c>
      <c r="C37">
        <v>1502004</v>
      </c>
      <c r="D37" t="s">
        <v>316</v>
      </c>
      <c r="E37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V37" s="14">
        <v>34</v>
      </c>
      <c r="W37" s="14">
        <f t="shared" si="1"/>
        <v>10000</v>
      </c>
      <c r="X37" s="14">
        <f t="shared" si="2"/>
        <v>300</v>
      </c>
      <c r="Y37" s="14">
        <f t="shared" si="17"/>
        <v>500</v>
      </c>
      <c r="AB37" s="14">
        <f>SUM(X$4:X37)*4</f>
        <v>39400</v>
      </c>
      <c r="AC37" s="18">
        <f>SUM(Y$4:Y37)*4</f>
        <v>51200</v>
      </c>
      <c r="AD37" s="18">
        <f>SUMIFS(金币汇总!$P$6:$P$105,金币汇总!$C$6:$C$105,"&lt;"&amp;神器与芦花古楼!V37,金币汇总!$C$6:$C$105,"&gt;"&amp;V36)</f>
        <v>130672</v>
      </c>
    </row>
    <row r="38" spans="1:61" ht="16.5" x14ac:dyDescent="0.2">
      <c r="A38">
        <v>2</v>
      </c>
      <c r="B38">
        <v>5</v>
      </c>
      <c r="C38">
        <v>1502005</v>
      </c>
      <c r="D38" t="s">
        <v>316</v>
      </c>
      <c r="E38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V38" s="14">
        <v>35</v>
      </c>
      <c r="W38" s="14">
        <f t="shared" si="1"/>
        <v>10000</v>
      </c>
      <c r="X38" s="14">
        <f t="shared" si="2"/>
        <v>300</v>
      </c>
      <c r="Y38" s="14">
        <f t="shared" si="17"/>
        <v>500</v>
      </c>
      <c r="AB38" s="14">
        <f>SUM(X$4:X38)*4</f>
        <v>40600</v>
      </c>
      <c r="AC38" s="18">
        <f>SUM(Y$4:Y38)*4</f>
        <v>53200</v>
      </c>
      <c r="AD38" s="18">
        <f>SUMIFS(金币汇总!$P$6:$P$105,金币汇总!$C$6:$C$105,"&lt;"&amp;神器与芦花古楼!V38,金币汇总!$C$6:$C$105,"&gt;"&amp;V37)</f>
        <v>140341.6</v>
      </c>
    </row>
    <row r="39" spans="1:61" ht="16.5" x14ac:dyDescent="0.2">
      <c r="A39">
        <v>2</v>
      </c>
      <c r="B39">
        <v>6</v>
      </c>
      <c r="C39">
        <v>1502006</v>
      </c>
      <c r="D39" t="s">
        <v>316</v>
      </c>
      <c r="E39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V39" s="14">
        <v>36</v>
      </c>
      <c r="W39" s="14">
        <f t="shared" si="1"/>
        <v>10000</v>
      </c>
      <c r="X39" s="14">
        <f t="shared" si="2"/>
        <v>300</v>
      </c>
      <c r="Y39" s="14">
        <f t="shared" si="17"/>
        <v>500</v>
      </c>
      <c r="AB39" s="14">
        <f>SUM(X$4:X39)*4</f>
        <v>41800</v>
      </c>
      <c r="AC39" s="18">
        <f>SUM(Y$4:Y39)*4</f>
        <v>55200</v>
      </c>
      <c r="AD39" s="18">
        <f>SUMIFS(金币汇总!$P$6:$P$105,金币汇总!$C$6:$C$105,"&lt;"&amp;神器与芦花古楼!V39,金币汇总!$C$6:$C$105,"&gt;"&amp;V38)</f>
        <v>0</v>
      </c>
    </row>
    <row r="40" spans="1:61" ht="16.5" x14ac:dyDescent="0.2">
      <c r="A40">
        <v>2</v>
      </c>
      <c r="B40">
        <v>7</v>
      </c>
      <c r="C40">
        <v>1502007</v>
      </c>
      <c r="D40" t="s">
        <v>316</v>
      </c>
      <c r="E40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V40" s="14">
        <v>37</v>
      </c>
      <c r="W40" s="14">
        <f t="shared" si="1"/>
        <v>10000</v>
      </c>
      <c r="X40" s="14">
        <f t="shared" si="2"/>
        <v>300</v>
      </c>
      <c r="Y40" s="14">
        <f t="shared" si="17"/>
        <v>500</v>
      </c>
      <c r="AB40" s="14">
        <f>SUM(X$4:X40)*4</f>
        <v>43000</v>
      </c>
      <c r="AC40" s="18">
        <f>SUM(Y$4:Y40)*4</f>
        <v>57200</v>
      </c>
      <c r="AD40" s="18">
        <f>SUMIFS(金币汇总!$P$6:$P$105,金币汇总!$C$6:$C$105,"&lt;"&amp;神器与芦花古楼!V40,金币汇总!$C$6:$C$105,"&gt;"&amp;V39)</f>
        <v>163966</v>
      </c>
    </row>
    <row r="41" spans="1:61" ht="16.5" x14ac:dyDescent="0.2">
      <c r="A41">
        <v>2</v>
      </c>
      <c r="B41">
        <v>8</v>
      </c>
      <c r="C41">
        <v>1502008</v>
      </c>
      <c r="D41" t="s">
        <v>316</v>
      </c>
      <c r="E4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V41" s="14">
        <v>38</v>
      </c>
      <c r="W41" s="14">
        <f t="shared" si="1"/>
        <v>10000</v>
      </c>
      <c r="X41" s="14">
        <f t="shared" si="2"/>
        <v>300</v>
      </c>
      <c r="Y41" s="14">
        <f t="shared" si="17"/>
        <v>500</v>
      </c>
      <c r="AB41" s="14">
        <f>SUM(X$4:X41)*4</f>
        <v>44200</v>
      </c>
      <c r="AC41" s="18">
        <f>SUM(Y$4:Y41)*4</f>
        <v>59200</v>
      </c>
      <c r="AD41" s="18">
        <f>SUMIFS(金币汇总!$P$6:$P$105,金币汇总!$C$6:$C$105,"&lt;"&amp;神器与芦花古楼!V41,金币汇总!$C$6:$C$105,"&gt;"&amp;V40)</f>
        <v>174535.6</v>
      </c>
    </row>
    <row r="42" spans="1:61" ht="16.5" x14ac:dyDescent="0.2">
      <c r="A42">
        <v>2</v>
      </c>
      <c r="B42">
        <v>9</v>
      </c>
      <c r="C42">
        <v>1502009</v>
      </c>
      <c r="D42" t="s">
        <v>316</v>
      </c>
      <c r="E42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V42" s="14">
        <v>39</v>
      </c>
      <c r="W42" s="14">
        <f t="shared" si="1"/>
        <v>10000</v>
      </c>
      <c r="X42" s="14">
        <f t="shared" si="2"/>
        <v>300</v>
      </c>
      <c r="Y42" s="14">
        <f t="shared" si="17"/>
        <v>500</v>
      </c>
      <c r="AB42" s="14">
        <f>SUM(X$4:X42)*4</f>
        <v>45400</v>
      </c>
      <c r="AC42" s="18">
        <f>SUM(Y$4:Y42)*4</f>
        <v>61200</v>
      </c>
      <c r="AD42" s="18">
        <f>SUMIFS(金币汇总!$P$6:$P$105,金币汇总!$C$6:$C$105,"&lt;"&amp;神器与芦花古楼!V42,金币汇总!$C$6:$C$105,"&gt;"&amp;V41)</f>
        <v>0</v>
      </c>
    </row>
    <row r="43" spans="1:61" ht="16.5" x14ac:dyDescent="0.2">
      <c r="A43">
        <v>2</v>
      </c>
      <c r="B43">
        <v>10</v>
      </c>
      <c r="C43">
        <v>1502010</v>
      </c>
      <c r="D43" t="s">
        <v>316</v>
      </c>
      <c r="E43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2000</v>
      </c>
      <c r="L43" t="s">
        <v>327</v>
      </c>
      <c r="M43">
        <v>100</v>
      </c>
      <c r="N43" t="s">
        <v>330</v>
      </c>
      <c r="O43">
        <v>100</v>
      </c>
      <c r="V43" s="14">
        <v>40</v>
      </c>
      <c r="W43" s="14">
        <f t="shared" si="1"/>
        <v>10000</v>
      </c>
      <c r="X43" s="14">
        <f t="shared" si="2"/>
        <v>300</v>
      </c>
      <c r="Y43" s="14">
        <f t="shared" si="17"/>
        <v>500</v>
      </c>
      <c r="AB43" s="14">
        <f>SUM(X$4:X43)*4</f>
        <v>46600</v>
      </c>
      <c r="AC43" s="18">
        <f>SUM(Y$4:Y43)*4</f>
        <v>63200</v>
      </c>
      <c r="AD43" s="18">
        <f>SUMIFS(金币汇总!$P$6:$P$105,金币汇总!$C$6:$C$105,"&lt;"&amp;神器与芦花古楼!V43,金币汇总!$C$6:$C$105,"&gt;"&amp;V42)</f>
        <v>185104.80000000002</v>
      </c>
    </row>
    <row r="44" spans="1:61" ht="16.5" x14ac:dyDescent="0.2">
      <c r="A44">
        <v>2</v>
      </c>
      <c r="B44">
        <v>11</v>
      </c>
      <c r="C44">
        <v>1502011</v>
      </c>
      <c r="D44" t="s">
        <v>316</v>
      </c>
      <c r="E44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2200</v>
      </c>
      <c r="L44" t="s">
        <v>327</v>
      </c>
      <c r="M44">
        <v>110</v>
      </c>
      <c r="N44" t="s">
        <v>330</v>
      </c>
      <c r="O44">
        <v>200</v>
      </c>
      <c r="V44" s="14">
        <v>41</v>
      </c>
      <c r="W44" s="14">
        <f t="shared" si="1"/>
        <v>10000</v>
      </c>
      <c r="X44" s="14">
        <f t="shared" si="2"/>
        <v>300</v>
      </c>
      <c r="Y44" s="14">
        <f t="shared" si="17"/>
        <v>500</v>
      </c>
      <c r="AB44" s="14">
        <f>SUM(X$4:X44)*4</f>
        <v>47800</v>
      </c>
      <c r="AC44" s="18">
        <f>SUM(Y$4:Y44)*4</f>
        <v>65200</v>
      </c>
      <c r="AD44" s="18">
        <f>SUMIFS(金币汇总!$P$6:$P$105,金币汇总!$C$6:$C$105,"&lt;"&amp;神器与芦花古楼!V44,金币汇总!$C$6:$C$105,"&gt;"&amp;V43)</f>
        <v>0</v>
      </c>
    </row>
    <row r="45" spans="1:61" ht="16.5" x14ac:dyDescent="0.2">
      <c r="A45">
        <v>2</v>
      </c>
      <c r="B45">
        <v>12</v>
      </c>
      <c r="C45">
        <v>1502012</v>
      </c>
      <c r="D45" t="s">
        <v>316</v>
      </c>
      <c r="E45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2400</v>
      </c>
      <c r="L45" t="s">
        <v>327</v>
      </c>
      <c r="M45">
        <v>120</v>
      </c>
      <c r="N45" t="s">
        <v>330</v>
      </c>
      <c r="O45">
        <v>200</v>
      </c>
      <c r="V45" s="14">
        <v>42</v>
      </c>
      <c r="W45" s="14">
        <f t="shared" si="1"/>
        <v>10000</v>
      </c>
      <c r="X45" s="14">
        <f t="shared" si="2"/>
        <v>300</v>
      </c>
      <c r="Y45" s="14">
        <f t="shared" si="17"/>
        <v>500</v>
      </c>
      <c r="AB45" s="14">
        <f>SUM(X$4:X45)*4</f>
        <v>49000</v>
      </c>
      <c r="AC45" s="18">
        <f>SUM(Y$4:Y45)*4</f>
        <v>67200</v>
      </c>
      <c r="AD45" s="18">
        <f>SUMIFS(金币汇总!$P$6:$P$105,金币汇总!$C$6:$C$105,"&lt;"&amp;神器与芦花古楼!V45,金币汇总!$C$6:$C$105,"&gt;"&amp;V44)</f>
        <v>195674</v>
      </c>
    </row>
    <row r="46" spans="1:61" ht="16.5" x14ac:dyDescent="0.2">
      <c r="A46">
        <v>2</v>
      </c>
      <c r="B46">
        <v>13</v>
      </c>
      <c r="C46">
        <v>1502013</v>
      </c>
      <c r="D46" t="s">
        <v>316</v>
      </c>
      <c r="E46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2600</v>
      </c>
      <c r="L46" t="s">
        <v>327</v>
      </c>
      <c r="M46">
        <v>130</v>
      </c>
      <c r="N46" t="s">
        <v>330</v>
      </c>
      <c r="O46">
        <v>200</v>
      </c>
      <c r="V46" s="14">
        <v>43</v>
      </c>
      <c r="W46" s="14">
        <f t="shared" si="1"/>
        <v>10000</v>
      </c>
      <c r="X46" s="14">
        <f t="shared" si="2"/>
        <v>300</v>
      </c>
      <c r="Y46" s="14">
        <f t="shared" si="17"/>
        <v>500</v>
      </c>
      <c r="AB46" s="14">
        <f>SUM(X$4:X46)*4</f>
        <v>50200</v>
      </c>
      <c r="AC46" s="18">
        <f>SUM(Y$4:Y46)*4</f>
        <v>69200</v>
      </c>
      <c r="AD46" s="18">
        <f>SUMIFS(金币汇总!$P$6:$P$105,金币汇总!$C$6:$C$105,"&lt;"&amp;神器与芦花古楼!V46,金币汇总!$C$6:$C$105,"&gt;"&amp;V45)</f>
        <v>0</v>
      </c>
    </row>
    <row r="47" spans="1:61" ht="16.5" x14ac:dyDescent="0.2">
      <c r="A47">
        <v>2</v>
      </c>
      <c r="B47">
        <v>14</v>
      </c>
      <c r="C47">
        <v>1502014</v>
      </c>
      <c r="D47" t="s">
        <v>316</v>
      </c>
      <c r="E47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2800</v>
      </c>
      <c r="L47" t="s">
        <v>327</v>
      </c>
      <c r="M47">
        <v>140</v>
      </c>
      <c r="N47" t="s">
        <v>330</v>
      </c>
      <c r="O47">
        <v>200</v>
      </c>
      <c r="V47" s="14">
        <v>44</v>
      </c>
      <c r="W47" s="14">
        <f t="shared" si="1"/>
        <v>10000</v>
      </c>
      <c r="X47" s="14">
        <f t="shared" si="2"/>
        <v>300</v>
      </c>
      <c r="Y47" s="14">
        <f t="shared" si="17"/>
        <v>500</v>
      </c>
      <c r="AB47" s="14">
        <f>SUM(X$4:X47)*4</f>
        <v>51400</v>
      </c>
      <c r="AC47" s="18">
        <f>SUM(Y$4:Y47)*4</f>
        <v>71200</v>
      </c>
      <c r="AD47" s="18">
        <f>SUMIFS(金币汇总!$P$6:$P$105,金币汇总!$C$6:$C$105,"&lt;"&amp;神器与芦花古楼!V47,金币汇总!$C$6:$C$105,"&gt;"&amp;V46)</f>
        <v>206243.6</v>
      </c>
    </row>
    <row r="48" spans="1:61" ht="16.5" x14ac:dyDescent="0.2">
      <c r="A48">
        <v>2</v>
      </c>
      <c r="B48">
        <v>15</v>
      </c>
      <c r="C48">
        <v>1502015</v>
      </c>
      <c r="D48" t="s">
        <v>316</v>
      </c>
      <c r="E48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3000</v>
      </c>
      <c r="L48" t="s">
        <v>327</v>
      </c>
      <c r="M48">
        <v>150</v>
      </c>
      <c r="N48" t="s">
        <v>330</v>
      </c>
      <c r="O48">
        <v>200</v>
      </c>
      <c r="V48" s="14">
        <v>45</v>
      </c>
      <c r="W48" s="14">
        <f t="shared" si="1"/>
        <v>10000</v>
      </c>
      <c r="X48" s="14">
        <f t="shared" si="2"/>
        <v>300</v>
      </c>
      <c r="Y48" s="14">
        <f t="shared" si="17"/>
        <v>500</v>
      </c>
      <c r="AB48" s="14">
        <f>SUM(X$4:X48)*4</f>
        <v>52600</v>
      </c>
      <c r="AC48" s="18">
        <f>SUM(Y$4:Y48)*4</f>
        <v>73200</v>
      </c>
      <c r="AD48" s="18">
        <f>SUMIFS(金币汇总!$P$6:$P$105,金币汇总!$C$6:$C$105,"&lt;"&amp;神器与芦花古楼!V48,金币汇总!$C$6:$C$105,"&gt;"&amp;V47)</f>
        <v>0</v>
      </c>
    </row>
    <row r="49" spans="1:30" ht="16.5" x14ac:dyDescent="0.2">
      <c r="A49">
        <v>2</v>
      </c>
      <c r="B49">
        <v>16</v>
      </c>
      <c r="C49">
        <v>1502016</v>
      </c>
      <c r="D49" t="s">
        <v>316</v>
      </c>
      <c r="E49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3250</v>
      </c>
      <c r="L49" t="s">
        <v>327</v>
      </c>
      <c r="M49">
        <v>160</v>
      </c>
      <c r="N49" t="s">
        <v>330</v>
      </c>
      <c r="O49">
        <v>300</v>
      </c>
      <c r="V49" s="14">
        <v>46</v>
      </c>
      <c r="W49" s="14">
        <f t="shared" si="1"/>
        <v>10000</v>
      </c>
      <c r="X49" s="14">
        <f t="shared" si="2"/>
        <v>300</v>
      </c>
      <c r="Y49" s="14">
        <f t="shared" si="17"/>
        <v>500</v>
      </c>
      <c r="AB49" s="14">
        <f>SUM(X$4:X49)*4</f>
        <v>53800</v>
      </c>
      <c r="AC49" s="18">
        <f>SUM(Y$4:Y49)*4</f>
        <v>75200</v>
      </c>
      <c r="AD49" s="18">
        <f>SUMIFS(金币汇总!$P$6:$P$105,金币汇总!$C$6:$C$105,"&lt;"&amp;神器与芦花古楼!V49,金币汇总!$C$6:$C$105,"&gt;"&amp;V48)</f>
        <v>216812.80000000002</v>
      </c>
    </row>
    <row r="50" spans="1:30" ht="16.5" x14ac:dyDescent="0.2">
      <c r="A50">
        <v>2</v>
      </c>
      <c r="B50">
        <v>17</v>
      </c>
      <c r="C50">
        <v>1502017</v>
      </c>
      <c r="D50" t="s">
        <v>316</v>
      </c>
      <c r="E50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3500</v>
      </c>
      <c r="L50" t="s">
        <v>327</v>
      </c>
      <c r="M50">
        <v>170</v>
      </c>
      <c r="N50" t="s">
        <v>330</v>
      </c>
      <c r="O50">
        <v>300</v>
      </c>
      <c r="V50" s="14">
        <v>47</v>
      </c>
      <c r="W50" s="14">
        <f t="shared" si="1"/>
        <v>10000</v>
      </c>
      <c r="X50" s="14">
        <f t="shared" si="2"/>
        <v>300</v>
      </c>
      <c r="Y50" s="14">
        <f t="shared" si="17"/>
        <v>500</v>
      </c>
      <c r="AB50" s="14">
        <f>SUM(X$4:X50)*4</f>
        <v>55000</v>
      </c>
      <c r="AC50" s="18">
        <f>SUM(Y$4:Y50)*4</f>
        <v>77200</v>
      </c>
      <c r="AD50" s="18">
        <f>SUMIFS(金币汇总!$P$6:$P$105,金币汇总!$C$6:$C$105,"&lt;"&amp;神器与芦花古楼!V50,金币汇总!$C$6:$C$105,"&gt;"&amp;V49)</f>
        <v>0</v>
      </c>
    </row>
    <row r="51" spans="1:30" ht="16.5" x14ac:dyDescent="0.2">
      <c r="A51">
        <v>2</v>
      </c>
      <c r="B51">
        <v>18</v>
      </c>
      <c r="C51">
        <v>1502018</v>
      </c>
      <c r="D51" t="s">
        <v>316</v>
      </c>
      <c r="E5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3750</v>
      </c>
      <c r="L51" t="s">
        <v>327</v>
      </c>
      <c r="M51">
        <v>180</v>
      </c>
      <c r="N51" t="s">
        <v>330</v>
      </c>
      <c r="O51">
        <v>300</v>
      </c>
      <c r="V51" s="14">
        <v>48</v>
      </c>
      <c r="W51" s="14">
        <f t="shared" si="1"/>
        <v>10000</v>
      </c>
      <c r="X51" s="14">
        <f t="shared" si="2"/>
        <v>300</v>
      </c>
      <c r="Y51" s="14">
        <f t="shared" si="17"/>
        <v>500</v>
      </c>
      <c r="AB51" s="14">
        <f>SUM(X$4:X51)*4</f>
        <v>56200</v>
      </c>
      <c r="AC51" s="18">
        <f>SUM(Y$4:Y51)*4</f>
        <v>79200</v>
      </c>
      <c r="AD51" s="18">
        <f>SUMIFS(金币汇总!$P$6:$P$105,金币汇总!$C$6:$C$105,"&lt;"&amp;神器与芦花古楼!V51,金币汇总!$C$6:$C$105,"&gt;"&amp;V50)</f>
        <v>238921.60000000001</v>
      </c>
    </row>
    <row r="52" spans="1:30" ht="16.5" x14ac:dyDescent="0.2">
      <c r="A52">
        <v>2</v>
      </c>
      <c r="B52">
        <v>19</v>
      </c>
      <c r="C52">
        <v>1502019</v>
      </c>
      <c r="D52" t="s">
        <v>316</v>
      </c>
      <c r="E52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4000</v>
      </c>
      <c r="L52" t="s">
        <v>327</v>
      </c>
      <c r="M52">
        <v>190</v>
      </c>
      <c r="N52" t="s">
        <v>330</v>
      </c>
      <c r="O52">
        <v>300</v>
      </c>
      <c r="V52" s="14">
        <v>49</v>
      </c>
      <c r="W52" s="14">
        <f t="shared" si="1"/>
        <v>10000</v>
      </c>
      <c r="X52" s="14">
        <f t="shared" si="2"/>
        <v>300</v>
      </c>
      <c r="Y52" s="14">
        <f t="shared" si="17"/>
        <v>500</v>
      </c>
      <c r="AB52" s="14">
        <f>SUM(X$4:X52)*4</f>
        <v>57400</v>
      </c>
      <c r="AC52" s="18">
        <f>SUM(Y$4:Y52)*4</f>
        <v>81200</v>
      </c>
      <c r="AD52" s="18">
        <f>SUMIFS(金币汇总!$P$6:$P$105,金币汇总!$C$6:$C$105,"&lt;"&amp;神器与芦花古楼!V52,金币汇总!$C$6:$C$105,"&gt;"&amp;V51)</f>
        <v>0</v>
      </c>
    </row>
    <row r="53" spans="1:30" ht="16.5" x14ac:dyDescent="0.2">
      <c r="A53">
        <v>2</v>
      </c>
      <c r="B53">
        <v>20</v>
      </c>
      <c r="C53">
        <v>1502020</v>
      </c>
      <c r="D53" t="s">
        <v>316</v>
      </c>
      <c r="E53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4500</v>
      </c>
      <c r="L53" t="s">
        <v>327</v>
      </c>
      <c r="M53">
        <v>200</v>
      </c>
      <c r="N53" t="s">
        <v>330</v>
      </c>
      <c r="O53">
        <v>300</v>
      </c>
      <c r="V53" s="14">
        <v>50</v>
      </c>
      <c r="W53" s="14">
        <f t="shared" si="1"/>
        <v>10000</v>
      </c>
      <c r="X53" s="14">
        <f t="shared" si="2"/>
        <v>300</v>
      </c>
      <c r="Y53" s="14">
        <f t="shared" si="17"/>
        <v>500</v>
      </c>
      <c r="AB53" s="14">
        <f>SUM(X$4:X53)*4</f>
        <v>58600</v>
      </c>
      <c r="AC53" s="18">
        <f>SUM(Y$4:Y53)*4</f>
        <v>83200</v>
      </c>
      <c r="AD53" s="18">
        <f>SUMIFS(金币汇总!$P$6:$P$105,金币汇总!$C$6:$C$105,"&lt;"&amp;神器与芦花古楼!V53,金币汇总!$C$6:$C$105,"&gt;"&amp;V52)</f>
        <v>261030.40000000002</v>
      </c>
    </row>
    <row r="54" spans="1:30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5000</v>
      </c>
      <c r="L54" t="s">
        <v>327</v>
      </c>
      <c r="M54">
        <v>210</v>
      </c>
      <c r="N54" t="s">
        <v>330</v>
      </c>
      <c r="O54">
        <v>400</v>
      </c>
      <c r="V54" s="14">
        <v>51</v>
      </c>
      <c r="W54" s="14">
        <f t="shared" si="1"/>
        <v>10000</v>
      </c>
      <c r="X54" s="14">
        <f t="shared" si="2"/>
        <v>300</v>
      </c>
      <c r="Y54" s="14">
        <f t="shared" si="17"/>
        <v>500</v>
      </c>
      <c r="AB54" s="14">
        <f>SUM(X$4:X54)*4</f>
        <v>59800</v>
      </c>
      <c r="AC54" s="18">
        <f>SUM(Y$4:Y54)*4</f>
        <v>85200</v>
      </c>
      <c r="AD54" s="18">
        <f>SUMIFS(金币汇总!$P$6:$P$105,金币汇总!$C$6:$C$105,"&lt;"&amp;神器与芦花古楼!V54,金币汇总!$C$6:$C$105,"&gt;"&amp;V53)</f>
        <v>0</v>
      </c>
    </row>
    <row r="55" spans="1:30" ht="16.5" x14ac:dyDescent="0.2">
      <c r="A55">
        <v>2</v>
      </c>
      <c r="B55">
        <v>22</v>
      </c>
      <c r="C55">
        <v>1502022</v>
      </c>
      <c r="D55" t="s">
        <v>316</v>
      </c>
      <c r="E55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5500</v>
      </c>
      <c r="L55" t="s">
        <v>327</v>
      </c>
      <c r="M55">
        <v>220</v>
      </c>
      <c r="N55" t="s">
        <v>330</v>
      </c>
      <c r="O55">
        <v>400</v>
      </c>
      <c r="V55" s="14">
        <v>52</v>
      </c>
      <c r="W55" s="14">
        <f t="shared" si="1"/>
        <v>10000</v>
      </c>
      <c r="X55" s="14">
        <f t="shared" si="2"/>
        <v>300</v>
      </c>
      <c r="Y55" s="14">
        <f t="shared" si="17"/>
        <v>500</v>
      </c>
      <c r="AB55" s="14">
        <f>SUM(X$4:X55)*4</f>
        <v>61000</v>
      </c>
      <c r="AC55" s="18">
        <f>SUM(Y$4:Y55)*4</f>
        <v>87200</v>
      </c>
      <c r="AD55" s="18">
        <f>SUMIFS(金币汇总!$P$6:$P$105,金币汇总!$C$6:$C$105,"&lt;"&amp;神器与芦花古楼!V55,金币汇总!$C$6:$C$105,"&gt;"&amp;V54)</f>
        <v>283139.20000000001</v>
      </c>
    </row>
    <row r="56" spans="1:30" ht="16.5" x14ac:dyDescent="0.2">
      <c r="A56">
        <v>2</v>
      </c>
      <c r="B56">
        <v>23</v>
      </c>
      <c r="C56">
        <v>1502023</v>
      </c>
      <c r="D56" t="s">
        <v>316</v>
      </c>
      <c r="E56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6000</v>
      </c>
      <c r="L56" t="s">
        <v>327</v>
      </c>
      <c r="M56">
        <v>230</v>
      </c>
      <c r="N56" t="s">
        <v>330</v>
      </c>
      <c r="O56">
        <v>400</v>
      </c>
      <c r="V56" s="14">
        <v>53</v>
      </c>
      <c r="W56" s="14">
        <f t="shared" si="1"/>
        <v>10000</v>
      </c>
      <c r="X56" s="14">
        <f t="shared" si="2"/>
        <v>300</v>
      </c>
      <c r="Y56" s="14">
        <f t="shared" si="17"/>
        <v>500</v>
      </c>
      <c r="AB56" s="14">
        <f>SUM(X$4:X56)*4</f>
        <v>62200</v>
      </c>
      <c r="AC56" s="18">
        <f>SUM(Y$4:Y56)*4</f>
        <v>89200</v>
      </c>
      <c r="AD56" s="18">
        <f>SUMIFS(金币汇总!$P$6:$P$105,金币汇总!$C$6:$C$105,"&lt;"&amp;神器与芦花古楼!V56,金币汇总!$C$6:$C$105,"&gt;"&amp;V55)</f>
        <v>0</v>
      </c>
    </row>
    <row r="57" spans="1:30" ht="16.5" x14ac:dyDescent="0.2">
      <c r="A57">
        <v>2</v>
      </c>
      <c r="B57">
        <v>24</v>
      </c>
      <c r="C57">
        <v>1502024</v>
      </c>
      <c r="D57" t="s">
        <v>316</v>
      </c>
      <c r="E57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6500</v>
      </c>
      <c r="L57" t="s">
        <v>327</v>
      </c>
      <c r="M57">
        <v>240</v>
      </c>
      <c r="N57" t="s">
        <v>330</v>
      </c>
      <c r="O57">
        <v>400</v>
      </c>
      <c r="V57" s="14">
        <v>54</v>
      </c>
      <c r="W57" s="14">
        <f t="shared" si="1"/>
        <v>10000</v>
      </c>
      <c r="X57" s="14">
        <f t="shared" si="2"/>
        <v>300</v>
      </c>
      <c r="Y57" s="14">
        <f t="shared" si="17"/>
        <v>500</v>
      </c>
      <c r="AB57" s="14">
        <f>SUM(X$4:X57)*4</f>
        <v>63400</v>
      </c>
      <c r="AC57" s="18">
        <f>SUM(Y$4:Y57)*4</f>
        <v>91200</v>
      </c>
      <c r="AD57" s="18">
        <f>SUMIFS(金币汇总!$P$6:$P$105,金币汇总!$C$6:$C$105,"&lt;"&amp;神器与芦花古楼!V57,金币汇总!$C$6:$C$105,"&gt;"&amp;V56)</f>
        <v>0</v>
      </c>
    </row>
    <row r="58" spans="1:30" ht="16.5" x14ac:dyDescent="0.2">
      <c r="A58">
        <v>2</v>
      </c>
      <c r="B58">
        <v>25</v>
      </c>
      <c r="C58">
        <v>1502025</v>
      </c>
      <c r="D58" t="s">
        <v>316</v>
      </c>
      <c r="E58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7000</v>
      </c>
      <c r="L58" t="s">
        <v>327</v>
      </c>
      <c r="M58">
        <v>250</v>
      </c>
      <c r="N58" t="s">
        <v>330</v>
      </c>
      <c r="O58">
        <v>400</v>
      </c>
      <c r="V58" s="14">
        <v>55</v>
      </c>
      <c r="W58" s="14">
        <f t="shared" si="1"/>
        <v>10000</v>
      </c>
      <c r="X58" s="14">
        <f t="shared" si="2"/>
        <v>300</v>
      </c>
      <c r="Y58" s="14">
        <f t="shared" si="17"/>
        <v>500</v>
      </c>
      <c r="AB58" s="14">
        <f>SUM(X$4:X58)*4</f>
        <v>64600</v>
      </c>
      <c r="AC58" s="18">
        <f>SUM(Y$4:Y58)*4</f>
        <v>93200</v>
      </c>
      <c r="AD58" s="18">
        <f>SUMIFS(金币汇总!$P$6:$P$105,金币汇总!$C$6:$C$105,"&lt;"&amp;神器与芦花古楼!V58,金币汇总!$C$6:$C$105,"&gt;"&amp;V57)</f>
        <v>305248</v>
      </c>
    </row>
    <row r="59" spans="1:30" ht="16.5" x14ac:dyDescent="0.2">
      <c r="A59">
        <v>2</v>
      </c>
      <c r="B59">
        <v>26</v>
      </c>
      <c r="C59">
        <v>1502026</v>
      </c>
      <c r="D59" t="s">
        <v>316</v>
      </c>
      <c r="E59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7500</v>
      </c>
      <c r="L59" t="s">
        <v>327</v>
      </c>
      <c r="M59">
        <v>260</v>
      </c>
      <c r="N59" t="s">
        <v>330</v>
      </c>
      <c r="O59">
        <v>500</v>
      </c>
      <c r="V59" s="14">
        <v>56</v>
      </c>
      <c r="W59" s="14">
        <f t="shared" si="1"/>
        <v>10000</v>
      </c>
      <c r="X59" s="14">
        <f t="shared" si="2"/>
        <v>300</v>
      </c>
      <c r="Y59" s="14">
        <f t="shared" si="17"/>
        <v>500</v>
      </c>
      <c r="AB59" s="14">
        <f>SUM(X$4:X59)*4</f>
        <v>65800</v>
      </c>
      <c r="AC59" s="18">
        <f>SUM(Y$4:Y59)*4</f>
        <v>95200</v>
      </c>
      <c r="AD59" s="18">
        <f>SUMIFS(金币汇总!$P$6:$P$105,金币汇总!$C$6:$C$105,"&lt;"&amp;神器与芦花古楼!V59,金币汇总!$C$6:$C$105,"&gt;"&amp;V58)</f>
        <v>0</v>
      </c>
    </row>
    <row r="60" spans="1:30" ht="16.5" x14ac:dyDescent="0.2">
      <c r="A60">
        <v>2</v>
      </c>
      <c r="B60">
        <v>27</v>
      </c>
      <c r="C60">
        <v>1502027</v>
      </c>
      <c r="D60" t="s">
        <v>316</v>
      </c>
      <c r="E60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8000</v>
      </c>
      <c r="L60" t="s">
        <v>327</v>
      </c>
      <c r="M60">
        <v>270</v>
      </c>
      <c r="N60" t="s">
        <v>330</v>
      </c>
      <c r="O60">
        <v>500</v>
      </c>
      <c r="V60" s="14">
        <v>57</v>
      </c>
      <c r="W60" s="14">
        <f t="shared" si="1"/>
        <v>10000</v>
      </c>
      <c r="X60" s="14">
        <f t="shared" si="2"/>
        <v>300</v>
      </c>
      <c r="Y60" s="14">
        <f t="shared" si="17"/>
        <v>500</v>
      </c>
      <c r="AB60" s="14">
        <f>SUM(X$4:X60)*4</f>
        <v>67000</v>
      </c>
      <c r="AC60" s="18">
        <f>SUM(Y$4:Y60)*4</f>
        <v>97200</v>
      </c>
      <c r="AD60" s="18">
        <f>SUMIFS(金币汇总!$P$6:$P$105,金币汇总!$C$6:$C$105,"&lt;"&amp;神器与芦花古楼!V60,金币汇总!$C$6:$C$105,"&gt;"&amp;V59)</f>
        <v>0</v>
      </c>
    </row>
    <row r="61" spans="1:30" ht="16.5" x14ac:dyDescent="0.2">
      <c r="A61">
        <v>2</v>
      </c>
      <c r="B61">
        <v>28</v>
      </c>
      <c r="C61">
        <v>1502028</v>
      </c>
      <c r="D61" t="s">
        <v>316</v>
      </c>
      <c r="E6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8500</v>
      </c>
      <c r="L61" t="s">
        <v>327</v>
      </c>
      <c r="M61">
        <v>280</v>
      </c>
      <c r="N61" t="s">
        <v>330</v>
      </c>
      <c r="O61">
        <v>500</v>
      </c>
      <c r="V61" s="14">
        <v>58</v>
      </c>
      <c r="W61" s="14">
        <f t="shared" si="1"/>
        <v>10000</v>
      </c>
      <c r="X61" s="14">
        <f t="shared" si="2"/>
        <v>300</v>
      </c>
      <c r="Y61" s="14">
        <f t="shared" si="17"/>
        <v>500</v>
      </c>
      <c r="AB61" s="14">
        <f>SUM(X$4:X61)*4</f>
        <v>68200</v>
      </c>
      <c r="AC61" s="18">
        <f>SUM(Y$4:Y61)*4</f>
        <v>99200</v>
      </c>
      <c r="AD61" s="18">
        <f>SUMIFS(金币汇总!$P$6:$P$105,金币汇总!$C$6:$C$105,"&lt;"&amp;神器与芦花古楼!V61,金币汇总!$C$6:$C$105,"&gt;"&amp;V60)</f>
        <v>327356.80000000005</v>
      </c>
    </row>
    <row r="62" spans="1:30" ht="16.5" x14ac:dyDescent="0.2">
      <c r="A62">
        <v>2</v>
      </c>
      <c r="B62">
        <v>29</v>
      </c>
      <c r="C62">
        <v>1502029</v>
      </c>
      <c r="D62" t="s">
        <v>316</v>
      </c>
      <c r="E62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9000</v>
      </c>
      <c r="L62" t="s">
        <v>327</v>
      </c>
      <c r="M62">
        <v>290</v>
      </c>
      <c r="N62" t="s">
        <v>330</v>
      </c>
      <c r="O62">
        <v>500</v>
      </c>
      <c r="V62" s="14">
        <v>59</v>
      </c>
      <c r="W62" s="14">
        <f t="shared" si="1"/>
        <v>10000</v>
      </c>
      <c r="X62" s="14">
        <f t="shared" si="2"/>
        <v>300</v>
      </c>
      <c r="Y62" s="14">
        <f t="shared" si="17"/>
        <v>500</v>
      </c>
      <c r="AB62" s="14">
        <f>SUM(X$4:X62)*4</f>
        <v>69400</v>
      </c>
      <c r="AC62" s="18">
        <f>SUM(Y$4:Y62)*4</f>
        <v>101200</v>
      </c>
      <c r="AD62" s="18">
        <f>SUMIFS(金币汇总!$P$6:$P$105,金币汇总!$C$6:$C$105,"&lt;"&amp;神器与芦花古楼!V62,金币汇总!$C$6:$C$105,"&gt;"&amp;V61)</f>
        <v>0</v>
      </c>
    </row>
    <row r="63" spans="1:30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10000</v>
      </c>
      <c r="L63" t="s">
        <v>327</v>
      </c>
      <c r="M63">
        <v>300</v>
      </c>
      <c r="N63" t="s">
        <v>330</v>
      </c>
      <c r="O63">
        <v>500</v>
      </c>
      <c r="V63" s="14">
        <v>60</v>
      </c>
      <c r="W63" s="14">
        <f t="shared" si="1"/>
        <v>10000</v>
      </c>
      <c r="X63" s="14">
        <f t="shared" si="2"/>
        <v>300</v>
      </c>
      <c r="Y63" s="14">
        <f t="shared" si="17"/>
        <v>500</v>
      </c>
      <c r="AB63" s="14">
        <f>SUM(X$4:X63)*4</f>
        <v>70600</v>
      </c>
      <c r="AC63" s="18">
        <f>SUM(Y$4:Y63)*4</f>
        <v>103200</v>
      </c>
      <c r="AD63" s="18">
        <f>SUMIFS(金币汇总!$P$6:$P$105,金币汇总!$C$6:$C$105,"&lt;"&amp;神器与芦花古楼!V63,金币汇总!$C$6:$C$105,"&gt;"&amp;V62)</f>
        <v>0</v>
      </c>
    </row>
    <row r="64" spans="1:30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V64" s="14">
        <v>61</v>
      </c>
      <c r="W64" s="14">
        <f t="shared" ref="W64:W103" si="20">SUMIFS(E$4:E$32,$T$4:$T$32,"="&amp;V64)+INDEX(K$4:K$33,INDEX($S$4:$S$33,MATCH(V64,$T$4:$T$33,1)))</f>
        <v>10000</v>
      </c>
      <c r="X64" s="14">
        <f t="shared" ref="X64:X93" si="21">SUMIFS(G$4:G$32,$T$4:$T$32,"="&amp;V64)+INDEX(M$4:M$33,INDEX($S$4:$S$33,MATCH(V64,$T$4:$T$33,1)))</f>
        <v>300</v>
      </c>
      <c r="Y64" s="14">
        <f t="shared" ref="Y64:Y93" si="22">INDEX($O$4:$O$33,MATCH(V64,$T$4:$T$33,1))</f>
        <v>500</v>
      </c>
      <c r="AB64" s="14">
        <f>SUM(X$4:X64)*4</f>
        <v>71800</v>
      </c>
      <c r="AC64" s="18">
        <f>SUM(Y$4:Y64)*4</f>
        <v>105200</v>
      </c>
      <c r="AD64" s="18">
        <f>SUMIFS(金币汇总!$P$6:$P$105,金币汇总!$C$6:$C$105,"&lt;"&amp;神器与芦花古楼!V64,金币汇总!$C$6:$C$105,"&gt;"&amp;V63)</f>
        <v>349465.60000000003</v>
      </c>
    </row>
    <row r="65" spans="1:30" ht="16.5" x14ac:dyDescent="0.2">
      <c r="A65">
        <v>3</v>
      </c>
      <c r="B65">
        <v>2</v>
      </c>
      <c r="C65">
        <v>1503002</v>
      </c>
      <c r="D65" t="s">
        <v>316</v>
      </c>
      <c r="E65">
        <v>1100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V65" s="14">
        <v>62</v>
      </c>
      <c r="W65" s="14">
        <f t="shared" si="20"/>
        <v>10000</v>
      </c>
      <c r="X65" s="14">
        <f t="shared" si="21"/>
        <v>300</v>
      </c>
      <c r="Y65" s="14">
        <f t="shared" si="22"/>
        <v>500</v>
      </c>
      <c r="AB65" s="14">
        <f>SUM(X$4:X65)*4</f>
        <v>73000</v>
      </c>
      <c r="AC65" s="18">
        <f>SUM(Y$4:Y65)*4</f>
        <v>107200</v>
      </c>
      <c r="AD65" s="18">
        <f>SUMIFS(金币汇总!$P$6:$P$105,金币汇总!$C$6:$C$105,"&lt;"&amp;神器与芦花古楼!V65,金币汇总!$C$6:$C$105,"&gt;"&amp;V64)</f>
        <v>0</v>
      </c>
    </row>
    <row r="66" spans="1:30" ht="16.5" x14ac:dyDescent="0.2">
      <c r="A66">
        <v>3</v>
      </c>
      <c r="B66">
        <v>3</v>
      </c>
      <c r="C66">
        <v>1503003</v>
      </c>
      <c r="D66" t="s">
        <v>316</v>
      </c>
      <c r="E66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V66" s="14">
        <v>63</v>
      </c>
      <c r="W66" s="14">
        <f t="shared" si="20"/>
        <v>10000</v>
      </c>
      <c r="X66" s="14">
        <f t="shared" si="21"/>
        <v>300</v>
      </c>
      <c r="Y66" s="14">
        <f t="shared" si="22"/>
        <v>500</v>
      </c>
      <c r="AB66" s="14">
        <f>SUM(X$4:X66)*4</f>
        <v>74200</v>
      </c>
      <c r="AC66" s="18">
        <f>SUM(Y$4:Y66)*4</f>
        <v>109200</v>
      </c>
      <c r="AD66" s="18">
        <f>SUMIFS(金币汇总!$P$6:$P$105,金币汇总!$C$6:$C$105,"&lt;"&amp;神器与芦花古楼!V66,金币汇总!$C$6:$C$105,"&gt;"&amp;V65)</f>
        <v>0</v>
      </c>
    </row>
    <row r="67" spans="1:30" ht="16.5" x14ac:dyDescent="0.2">
      <c r="A67">
        <v>3</v>
      </c>
      <c r="B67">
        <v>4</v>
      </c>
      <c r="C67">
        <v>1503004</v>
      </c>
      <c r="D67" t="s">
        <v>316</v>
      </c>
      <c r="E67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V67" s="14">
        <v>64</v>
      </c>
      <c r="W67" s="14">
        <f t="shared" si="20"/>
        <v>10000</v>
      </c>
      <c r="X67" s="14">
        <f t="shared" si="21"/>
        <v>300</v>
      </c>
      <c r="Y67" s="14">
        <f t="shared" si="22"/>
        <v>500</v>
      </c>
      <c r="AB67" s="14">
        <f>SUM(X$4:X67)*4</f>
        <v>75400</v>
      </c>
      <c r="AC67" s="18">
        <f>SUM(Y$4:Y67)*4</f>
        <v>111200</v>
      </c>
      <c r="AD67" s="18">
        <f>SUMIFS(金币汇总!$P$6:$P$105,金币汇总!$C$6:$C$105,"&lt;"&amp;神器与芦花古楼!V67,金币汇总!$C$6:$C$105,"&gt;"&amp;V66)</f>
        <v>371574.4</v>
      </c>
    </row>
    <row r="68" spans="1:30" ht="16.5" x14ac:dyDescent="0.2">
      <c r="A68">
        <v>3</v>
      </c>
      <c r="B68">
        <v>5</v>
      </c>
      <c r="C68">
        <v>1503005</v>
      </c>
      <c r="D68" t="s">
        <v>316</v>
      </c>
      <c r="E68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V68" s="14">
        <v>65</v>
      </c>
      <c r="W68" s="14">
        <f t="shared" si="20"/>
        <v>10000</v>
      </c>
      <c r="X68" s="14">
        <f t="shared" si="21"/>
        <v>300</v>
      </c>
      <c r="Y68" s="14">
        <f t="shared" si="22"/>
        <v>500</v>
      </c>
      <c r="AB68" s="14">
        <f>SUM(X$4:X68)*4</f>
        <v>76600</v>
      </c>
      <c r="AC68" s="18">
        <f>SUM(Y$4:Y68)*4</f>
        <v>113200</v>
      </c>
      <c r="AD68" s="18">
        <f>SUMIFS(金币汇总!$P$6:$P$105,金币汇总!$C$6:$C$105,"&lt;"&amp;神器与芦花古楼!V68,金币汇总!$C$6:$C$105,"&gt;"&amp;V67)</f>
        <v>0</v>
      </c>
    </row>
    <row r="69" spans="1:30" ht="16.5" x14ac:dyDescent="0.2">
      <c r="A69">
        <v>3</v>
      </c>
      <c r="B69">
        <v>6</v>
      </c>
      <c r="C69">
        <v>1503006</v>
      </c>
      <c r="D69" t="s">
        <v>316</v>
      </c>
      <c r="E69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V69" s="14">
        <v>66</v>
      </c>
      <c r="W69" s="14">
        <f t="shared" si="20"/>
        <v>10000</v>
      </c>
      <c r="X69" s="14">
        <f t="shared" si="21"/>
        <v>300</v>
      </c>
      <c r="Y69" s="14">
        <f t="shared" si="22"/>
        <v>500</v>
      </c>
      <c r="AB69" s="14">
        <f>SUM(X$4:X69)*4</f>
        <v>77800</v>
      </c>
      <c r="AC69" s="18">
        <f>SUM(Y$4:Y69)*4</f>
        <v>115200</v>
      </c>
      <c r="AD69" s="18">
        <f>SUMIFS(金币汇总!$P$6:$P$105,金币汇总!$C$6:$C$105,"&lt;"&amp;神器与芦花古楼!V69,金币汇总!$C$6:$C$105,"&gt;"&amp;V68)</f>
        <v>0</v>
      </c>
    </row>
    <row r="70" spans="1:30" ht="16.5" x14ac:dyDescent="0.2">
      <c r="A70">
        <v>3</v>
      </c>
      <c r="B70">
        <v>7</v>
      </c>
      <c r="C70">
        <v>1503007</v>
      </c>
      <c r="D70" t="s">
        <v>316</v>
      </c>
      <c r="E70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V70" s="14">
        <v>67</v>
      </c>
      <c r="W70" s="14">
        <f t="shared" si="20"/>
        <v>10000</v>
      </c>
      <c r="X70" s="14">
        <f t="shared" si="21"/>
        <v>300</v>
      </c>
      <c r="Y70" s="14">
        <f t="shared" si="22"/>
        <v>500</v>
      </c>
      <c r="AB70" s="14">
        <f>SUM(X$4:X70)*4</f>
        <v>79000</v>
      </c>
      <c r="AC70" s="18">
        <f>SUM(Y$4:Y70)*4</f>
        <v>117200</v>
      </c>
      <c r="AD70" s="18">
        <f>SUMIFS(金币汇总!$P$6:$P$105,金币汇总!$C$6:$C$105,"&lt;"&amp;神器与芦花古楼!V70,金币汇总!$C$6:$C$105,"&gt;"&amp;V69)</f>
        <v>0</v>
      </c>
    </row>
    <row r="71" spans="1:30" ht="16.5" x14ac:dyDescent="0.2">
      <c r="A71">
        <v>3</v>
      </c>
      <c r="B71">
        <v>8</v>
      </c>
      <c r="C71">
        <v>1503008</v>
      </c>
      <c r="D71" t="s">
        <v>316</v>
      </c>
      <c r="E7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V71" s="14">
        <v>68</v>
      </c>
      <c r="W71" s="14">
        <f t="shared" si="20"/>
        <v>10000</v>
      </c>
      <c r="X71" s="14">
        <f t="shared" si="21"/>
        <v>300</v>
      </c>
      <c r="Y71" s="14">
        <f t="shared" si="22"/>
        <v>500</v>
      </c>
      <c r="AB71" s="14">
        <f>SUM(X$4:X71)*4</f>
        <v>80200</v>
      </c>
      <c r="AC71" s="18">
        <f>SUM(Y$4:Y71)*4</f>
        <v>119200</v>
      </c>
      <c r="AD71" s="18">
        <f>SUMIFS(金币汇总!$P$6:$P$105,金币汇总!$C$6:$C$105,"&lt;"&amp;神器与芦花古楼!V71,金币汇总!$C$6:$C$105,"&gt;"&amp;V70)</f>
        <v>393683.20000000001</v>
      </c>
    </row>
    <row r="72" spans="1:30" ht="16.5" x14ac:dyDescent="0.2">
      <c r="A72">
        <v>3</v>
      </c>
      <c r="B72">
        <v>9</v>
      </c>
      <c r="C72">
        <v>1503009</v>
      </c>
      <c r="D72" t="s">
        <v>316</v>
      </c>
      <c r="E72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V72" s="14">
        <v>69</v>
      </c>
      <c r="W72" s="14">
        <f t="shared" si="20"/>
        <v>10000</v>
      </c>
      <c r="X72" s="14">
        <f t="shared" si="21"/>
        <v>300</v>
      </c>
      <c r="Y72" s="14">
        <f t="shared" si="22"/>
        <v>500</v>
      </c>
      <c r="AB72" s="14">
        <f>SUM(X$4:X72)*4</f>
        <v>81400</v>
      </c>
      <c r="AC72" s="18">
        <f>SUM(Y$4:Y72)*4</f>
        <v>121200</v>
      </c>
      <c r="AD72" s="18">
        <f>SUMIFS(金币汇总!$P$6:$P$105,金币汇总!$C$6:$C$105,"&lt;"&amp;神器与芦花古楼!V72,金币汇总!$C$6:$C$105,"&gt;"&amp;V71)</f>
        <v>0</v>
      </c>
    </row>
    <row r="73" spans="1:30" ht="16.5" x14ac:dyDescent="0.2">
      <c r="A73">
        <v>3</v>
      </c>
      <c r="B73">
        <v>10</v>
      </c>
      <c r="C73">
        <v>1503010</v>
      </c>
      <c r="D73" t="s">
        <v>316</v>
      </c>
      <c r="E73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2000</v>
      </c>
      <c r="L73" t="s">
        <v>327</v>
      </c>
      <c r="M73">
        <v>100</v>
      </c>
      <c r="N73" t="s">
        <v>330</v>
      </c>
      <c r="O73">
        <v>100</v>
      </c>
      <c r="V73" s="14">
        <v>70</v>
      </c>
      <c r="W73" s="14">
        <f t="shared" si="20"/>
        <v>10000</v>
      </c>
      <c r="X73" s="14">
        <f t="shared" si="21"/>
        <v>300</v>
      </c>
      <c r="Y73" s="14">
        <f t="shared" si="22"/>
        <v>500</v>
      </c>
      <c r="AB73" s="14">
        <f>SUM(X$4:X73)*4</f>
        <v>82600</v>
      </c>
      <c r="AC73" s="18">
        <f>SUM(Y$4:Y73)*4</f>
        <v>123200</v>
      </c>
      <c r="AD73" s="18">
        <f>SUMIFS(金币汇总!$P$6:$P$105,金币汇总!$C$6:$C$105,"&lt;"&amp;神器与芦花古楼!V73,金币汇总!$C$6:$C$105,"&gt;"&amp;V72)</f>
        <v>0</v>
      </c>
    </row>
    <row r="74" spans="1:30" ht="16.5" x14ac:dyDescent="0.2">
      <c r="A74">
        <v>3</v>
      </c>
      <c r="B74">
        <v>11</v>
      </c>
      <c r="C74">
        <v>1503011</v>
      </c>
      <c r="D74" t="s">
        <v>316</v>
      </c>
      <c r="E74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2200</v>
      </c>
      <c r="L74" t="s">
        <v>327</v>
      </c>
      <c r="M74">
        <v>110</v>
      </c>
      <c r="N74" t="s">
        <v>330</v>
      </c>
      <c r="O74">
        <v>200</v>
      </c>
      <c r="V74" s="14">
        <v>71</v>
      </c>
      <c r="W74" s="14">
        <f t="shared" si="20"/>
        <v>10000</v>
      </c>
      <c r="X74" s="14">
        <f t="shared" si="21"/>
        <v>300</v>
      </c>
      <c r="Y74" s="14">
        <f t="shared" si="22"/>
        <v>500</v>
      </c>
      <c r="AB74" s="14">
        <f>SUM(X$4:X74)*4</f>
        <v>83800</v>
      </c>
      <c r="AC74" s="18">
        <f>SUM(Y$4:Y74)*4</f>
        <v>125200</v>
      </c>
      <c r="AD74" s="18">
        <f>SUMIFS(金币汇总!$P$6:$P$105,金币汇总!$C$6:$C$105,"&lt;"&amp;神器与芦花古楼!V74,金币汇总!$C$6:$C$105,"&gt;"&amp;V73)</f>
        <v>0</v>
      </c>
    </row>
    <row r="75" spans="1:30" ht="16.5" x14ac:dyDescent="0.2">
      <c r="A75">
        <v>3</v>
      </c>
      <c r="B75">
        <v>12</v>
      </c>
      <c r="C75">
        <v>1503012</v>
      </c>
      <c r="D75" t="s">
        <v>316</v>
      </c>
      <c r="E75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2400</v>
      </c>
      <c r="L75" t="s">
        <v>327</v>
      </c>
      <c r="M75">
        <v>120</v>
      </c>
      <c r="N75" t="s">
        <v>330</v>
      </c>
      <c r="O75">
        <v>200</v>
      </c>
      <c r="V75" s="14">
        <v>72</v>
      </c>
      <c r="W75" s="14">
        <f t="shared" si="20"/>
        <v>10000</v>
      </c>
      <c r="X75" s="14">
        <f t="shared" si="21"/>
        <v>300</v>
      </c>
      <c r="Y75" s="14">
        <f t="shared" si="22"/>
        <v>500</v>
      </c>
      <c r="AB75" s="14">
        <f>SUM(X$4:X75)*4</f>
        <v>85000</v>
      </c>
      <c r="AC75" s="18">
        <f>SUM(Y$4:Y75)*4</f>
        <v>127200</v>
      </c>
      <c r="AD75" s="18">
        <f>SUMIFS(金币汇总!$P$6:$P$105,金币汇总!$C$6:$C$105,"&lt;"&amp;神器与芦花古楼!V75,金币汇总!$C$6:$C$105,"&gt;"&amp;V74)</f>
        <v>415792</v>
      </c>
    </row>
    <row r="76" spans="1:30" ht="16.5" x14ac:dyDescent="0.2">
      <c r="A76">
        <v>3</v>
      </c>
      <c r="B76">
        <v>13</v>
      </c>
      <c r="C76">
        <v>1503013</v>
      </c>
      <c r="D76" t="s">
        <v>316</v>
      </c>
      <c r="E76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2600</v>
      </c>
      <c r="L76" t="s">
        <v>327</v>
      </c>
      <c r="M76">
        <v>130</v>
      </c>
      <c r="N76" t="s">
        <v>330</v>
      </c>
      <c r="O76">
        <v>200</v>
      </c>
      <c r="V76" s="14">
        <v>73</v>
      </c>
      <c r="W76" s="14">
        <f t="shared" si="20"/>
        <v>10000</v>
      </c>
      <c r="X76" s="14">
        <f t="shared" si="21"/>
        <v>300</v>
      </c>
      <c r="Y76" s="14">
        <f t="shared" si="22"/>
        <v>500</v>
      </c>
      <c r="AB76" s="14">
        <f>SUM(X$4:X76)*4</f>
        <v>86200</v>
      </c>
      <c r="AC76" s="18">
        <f>SUM(Y$4:Y76)*4</f>
        <v>129200</v>
      </c>
      <c r="AD76" s="18">
        <f>SUMIFS(金币汇总!$P$6:$P$105,金币汇总!$C$6:$C$105,"&lt;"&amp;神器与芦花古楼!V76,金币汇总!$C$6:$C$105,"&gt;"&amp;V75)</f>
        <v>0</v>
      </c>
    </row>
    <row r="77" spans="1:30" ht="16.5" x14ac:dyDescent="0.2">
      <c r="A77">
        <v>3</v>
      </c>
      <c r="B77">
        <v>14</v>
      </c>
      <c r="C77">
        <v>1503014</v>
      </c>
      <c r="D77" t="s">
        <v>316</v>
      </c>
      <c r="E77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2800</v>
      </c>
      <c r="L77" t="s">
        <v>327</v>
      </c>
      <c r="M77">
        <v>140</v>
      </c>
      <c r="N77" t="s">
        <v>330</v>
      </c>
      <c r="O77">
        <v>200</v>
      </c>
      <c r="V77" s="14">
        <v>74</v>
      </c>
      <c r="W77" s="14">
        <f t="shared" si="20"/>
        <v>10000</v>
      </c>
      <c r="X77" s="14">
        <f t="shared" si="21"/>
        <v>300</v>
      </c>
      <c r="Y77" s="14">
        <f t="shared" si="22"/>
        <v>500</v>
      </c>
      <c r="AB77" s="14">
        <f>SUM(X$4:X77)*4</f>
        <v>87400</v>
      </c>
      <c r="AC77" s="18">
        <f>SUM(Y$4:Y77)*4</f>
        <v>131200</v>
      </c>
      <c r="AD77" s="18">
        <f>SUMIFS(金币汇总!$P$6:$P$105,金币汇总!$C$6:$C$105,"&lt;"&amp;神器与芦花古楼!V77,金币汇总!$C$6:$C$105,"&gt;"&amp;V76)</f>
        <v>0</v>
      </c>
    </row>
    <row r="78" spans="1:30" ht="16.5" x14ac:dyDescent="0.2">
      <c r="A78">
        <v>3</v>
      </c>
      <c r="B78">
        <v>15</v>
      </c>
      <c r="C78">
        <v>1503015</v>
      </c>
      <c r="D78" t="s">
        <v>316</v>
      </c>
      <c r="E78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3000</v>
      </c>
      <c r="L78" t="s">
        <v>327</v>
      </c>
      <c r="M78">
        <v>150</v>
      </c>
      <c r="N78" t="s">
        <v>330</v>
      </c>
      <c r="O78">
        <v>200</v>
      </c>
      <c r="V78" s="14">
        <v>75</v>
      </c>
      <c r="W78" s="14">
        <f t="shared" si="20"/>
        <v>10000</v>
      </c>
      <c r="X78" s="14">
        <f t="shared" si="21"/>
        <v>300</v>
      </c>
      <c r="Y78" s="14">
        <f t="shared" si="22"/>
        <v>500</v>
      </c>
      <c r="AB78" s="14">
        <f>SUM(X$4:X78)*4</f>
        <v>88600</v>
      </c>
      <c r="AC78" s="18">
        <f>SUM(Y$4:Y78)*4</f>
        <v>133200</v>
      </c>
      <c r="AD78" s="18">
        <f>SUMIFS(金币汇总!$P$6:$P$105,金币汇总!$C$6:$C$105,"&lt;"&amp;神器与芦花古楼!V78,金币汇总!$C$6:$C$105,"&gt;"&amp;V77)</f>
        <v>0</v>
      </c>
    </row>
    <row r="79" spans="1:30" ht="16.5" x14ac:dyDescent="0.2">
      <c r="A79">
        <v>3</v>
      </c>
      <c r="B79">
        <v>16</v>
      </c>
      <c r="C79">
        <v>1503016</v>
      </c>
      <c r="D79" t="s">
        <v>316</v>
      </c>
      <c r="E79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3250</v>
      </c>
      <c r="L79" t="s">
        <v>327</v>
      </c>
      <c r="M79">
        <v>160</v>
      </c>
      <c r="N79" t="s">
        <v>330</v>
      </c>
      <c r="O79">
        <v>300</v>
      </c>
      <c r="V79" s="14">
        <v>76</v>
      </c>
      <c r="W79" s="14">
        <f t="shared" si="20"/>
        <v>10000</v>
      </c>
      <c r="X79" s="14">
        <f t="shared" si="21"/>
        <v>300</v>
      </c>
      <c r="Y79" s="14">
        <f t="shared" si="22"/>
        <v>500</v>
      </c>
      <c r="AB79" s="14">
        <f>SUM(X$4:X79)*4</f>
        <v>89800</v>
      </c>
      <c r="AC79" s="18">
        <f>SUM(Y$4:Y79)*4</f>
        <v>135200</v>
      </c>
      <c r="AD79" s="18">
        <f>SUMIFS(金币汇总!$P$6:$P$105,金币汇总!$C$6:$C$105,"&lt;"&amp;神器与芦花古楼!V79,金币汇总!$C$6:$C$105,"&gt;"&amp;V78)</f>
        <v>475169.2</v>
      </c>
    </row>
    <row r="80" spans="1:30" ht="16.5" x14ac:dyDescent="0.2">
      <c r="A80">
        <v>3</v>
      </c>
      <c r="B80">
        <v>17</v>
      </c>
      <c r="C80">
        <v>1503017</v>
      </c>
      <c r="D80" t="s">
        <v>316</v>
      </c>
      <c r="E80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3500</v>
      </c>
      <c r="L80" t="s">
        <v>327</v>
      </c>
      <c r="M80">
        <v>170</v>
      </c>
      <c r="N80" t="s">
        <v>330</v>
      </c>
      <c r="O80">
        <v>300</v>
      </c>
      <c r="V80" s="14">
        <v>77</v>
      </c>
      <c r="W80" s="14">
        <f t="shared" si="20"/>
        <v>10000</v>
      </c>
      <c r="X80" s="14">
        <f t="shared" si="21"/>
        <v>300</v>
      </c>
      <c r="Y80" s="14">
        <f t="shared" si="22"/>
        <v>500</v>
      </c>
      <c r="AB80" s="14">
        <f>SUM(X$4:X80)*4</f>
        <v>91000</v>
      </c>
      <c r="AC80" s="18">
        <f>SUM(Y$4:Y80)*4</f>
        <v>137200</v>
      </c>
      <c r="AD80" s="18">
        <f>SUMIFS(金币汇总!$P$6:$P$105,金币汇总!$C$6:$C$105,"&lt;"&amp;神器与芦花古楼!V80,金币汇总!$C$6:$C$105,"&gt;"&amp;V79)</f>
        <v>0</v>
      </c>
    </row>
    <row r="81" spans="1:30" ht="16.5" x14ac:dyDescent="0.2">
      <c r="A81">
        <v>3</v>
      </c>
      <c r="B81">
        <v>18</v>
      </c>
      <c r="C81">
        <v>1503018</v>
      </c>
      <c r="D81" t="s">
        <v>316</v>
      </c>
      <c r="E8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3750</v>
      </c>
      <c r="L81" t="s">
        <v>327</v>
      </c>
      <c r="M81">
        <v>180</v>
      </c>
      <c r="N81" t="s">
        <v>330</v>
      </c>
      <c r="O81">
        <v>300</v>
      </c>
      <c r="V81" s="14">
        <v>78</v>
      </c>
      <c r="W81" s="14">
        <f t="shared" si="20"/>
        <v>10000</v>
      </c>
      <c r="X81" s="14">
        <f t="shared" si="21"/>
        <v>300</v>
      </c>
      <c r="Y81" s="14">
        <f t="shared" si="22"/>
        <v>500</v>
      </c>
      <c r="AB81" s="14">
        <f>SUM(X$4:X81)*4</f>
        <v>92200</v>
      </c>
      <c r="AC81" s="18">
        <f>SUM(Y$4:Y81)*4</f>
        <v>139200</v>
      </c>
      <c r="AD81" s="18">
        <f>SUMIFS(金币汇总!$P$6:$P$105,金币汇总!$C$6:$C$105,"&lt;"&amp;神器与芦花古楼!V81,金币汇总!$C$6:$C$105,"&gt;"&amp;V80)</f>
        <v>0</v>
      </c>
    </row>
    <row r="82" spans="1:30" ht="16.5" x14ac:dyDescent="0.2">
      <c r="A82">
        <v>3</v>
      </c>
      <c r="B82">
        <v>19</v>
      </c>
      <c r="C82">
        <v>1503019</v>
      </c>
      <c r="D82" t="s">
        <v>316</v>
      </c>
      <c r="E82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4000</v>
      </c>
      <c r="L82" t="s">
        <v>327</v>
      </c>
      <c r="M82">
        <v>190</v>
      </c>
      <c r="N82" t="s">
        <v>330</v>
      </c>
      <c r="O82">
        <v>300</v>
      </c>
      <c r="V82" s="14">
        <v>79</v>
      </c>
      <c r="W82" s="14">
        <f t="shared" si="20"/>
        <v>10000</v>
      </c>
      <c r="X82" s="14">
        <f t="shared" si="21"/>
        <v>300</v>
      </c>
      <c r="Y82" s="14">
        <f t="shared" si="22"/>
        <v>500</v>
      </c>
      <c r="AB82" s="14">
        <f>SUM(X$4:X82)*4</f>
        <v>93400</v>
      </c>
      <c r="AC82" s="18">
        <f>SUM(Y$4:Y82)*4</f>
        <v>141200</v>
      </c>
      <c r="AD82" s="18">
        <f>SUMIFS(金币汇总!$P$6:$P$105,金币汇总!$C$6:$C$105,"&lt;"&amp;神器与芦花古楼!V82,金币汇总!$C$6:$C$105,"&gt;"&amp;V81)</f>
        <v>0</v>
      </c>
    </row>
    <row r="83" spans="1:30" ht="16.5" x14ac:dyDescent="0.2">
      <c r="A83">
        <v>3</v>
      </c>
      <c r="B83">
        <v>20</v>
      </c>
      <c r="C83">
        <v>1503020</v>
      </c>
      <c r="D83" t="s">
        <v>316</v>
      </c>
      <c r="E83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4500</v>
      </c>
      <c r="L83" t="s">
        <v>327</v>
      </c>
      <c r="M83">
        <v>200</v>
      </c>
      <c r="N83" t="s">
        <v>330</v>
      </c>
      <c r="O83">
        <v>300</v>
      </c>
      <c r="V83" s="14">
        <v>80</v>
      </c>
      <c r="W83" s="14">
        <f t="shared" si="20"/>
        <v>10000</v>
      </c>
      <c r="X83" s="14">
        <f t="shared" si="21"/>
        <v>300</v>
      </c>
      <c r="Y83" s="14">
        <f t="shared" si="22"/>
        <v>500</v>
      </c>
      <c r="AB83" s="14">
        <f>SUM(X$4:X83)*4</f>
        <v>94600</v>
      </c>
      <c r="AC83" s="18">
        <f>SUM(Y$4:Y83)*4</f>
        <v>143200</v>
      </c>
      <c r="AD83" s="18">
        <f>SUMIFS(金币汇总!$P$6:$P$105,金币汇总!$C$6:$C$105,"&lt;"&amp;神器与芦花古楼!V83,金币汇总!$C$6:$C$105,"&gt;"&amp;V82)</f>
        <v>0</v>
      </c>
    </row>
    <row r="84" spans="1:30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5000</v>
      </c>
      <c r="L84" t="s">
        <v>327</v>
      </c>
      <c r="M84">
        <v>210</v>
      </c>
      <c r="N84" t="s">
        <v>330</v>
      </c>
      <c r="O84">
        <v>400</v>
      </c>
      <c r="V84" s="14">
        <v>81</v>
      </c>
      <c r="W84" s="14">
        <f t="shared" si="20"/>
        <v>10000</v>
      </c>
      <c r="X84" s="14">
        <f t="shared" si="21"/>
        <v>300</v>
      </c>
      <c r="Y84" s="14">
        <f t="shared" si="22"/>
        <v>500</v>
      </c>
      <c r="AB84" s="14">
        <f>SUM(X$4:X84)*4</f>
        <v>95800</v>
      </c>
      <c r="AC84" s="18">
        <f>SUM(Y$4:Y84)*4</f>
        <v>145200</v>
      </c>
      <c r="AD84" s="18">
        <f>SUMIFS(金币汇总!$P$6:$P$105,金币汇总!$C$6:$C$105,"&lt;"&amp;神器与芦花古楼!V84,金币汇总!$C$6:$C$105,"&gt;"&amp;V83)</f>
        <v>0</v>
      </c>
    </row>
    <row r="85" spans="1:30" ht="16.5" x14ac:dyDescent="0.2">
      <c r="A85">
        <v>3</v>
      </c>
      <c r="B85">
        <v>22</v>
      </c>
      <c r="C85">
        <v>1503022</v>
      </c>
      <c r="D85" t="s">
        <v>316</v>
      </c>
      <c r="E85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5500</v>
      </c>
      <c r="L85" t="s">
        <v>327</v>
      </c>
      <c r="M85">
        <v>220</v>
      </c>
      <c r="N85" t="s">
        <v>330</v>
      </c>
      <c r="O85">
        <v>400</v>
      </c>
      <c r="V85" s="14">
        <v>82</v>
      </c>
      <c r="W85" s="14">
        <f t="shared" si="20"/>
        <v>10000</v>
      </c>
      <c r="X85" s="14">
        <f t="shared" si="21"/>
        <v>300</v>
      </c>
      <c r="Y85" s="14">
        <f t="shared" si="22"/>
        <v>500</v>
      </c>
      <c r="AB85" s="14">
        <f>SUM(X$4:X85)*4</f>
        <v>97000</v>
      </c>
      <c r="AC85" s="18">
        <f>SUM(Y$4:Y85)*4</f>
        <v>147200</v>
      </c>
      <c r="AD85" s="18">
        <f>SUMIFS(金币汇总!$P$6:$P$105,金币汇总!$C$6:$C$105,"&lt;"&amp;神器与芦花古楼!V85,金币汇总!$C$6:$C$105,"&gt;"&amp;V84)</f>
        <v>0</v>
      </c>
    </row>
    <row r="86" spans="1:30" ht="16.5" x14ac:dyDescent="0.2">
      <c r="A86">
        <v>3</v>
      </c>
      <c r="B86">
        <v>23</v>
      </c>
      <c r="C86">
        <v>1503023</v>
      </c>
      <c r="D86" t="s">
        <v>316</v>
      </c>
      <c r="E86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6000</v>
      </c>
      <c r="L86" t="s">
        <v>327</v>
      </c>
      <c r="M86">
        <v>230</v>
      </c>
      <c r="N86" t="s">
        <v>330</v>
      </c>
      <c r="O86">
        <v>400</v>
      </c>
      <c r="V86" s="14">
        <v>83</v>
      </c>
      <c r="W86" s="14">
        <f t="shared" si="20"/>
        <v>10000</v>
      </c>
      <c r="X86" s="14">
        <f t="shared" si="21"/>
        <v>300</v>
      </c>
      <c r="Y86" s="14">
        <f t="shared" si="22"/>
        <v>500</v>
      </c>
      <c r="AB86" s="14">
        <f>SUM(X$4:X86)*4</f>
        <v>98200</v>
      </c>
      <c r="AC86" s="18">
        <f>SUM(Y$4:Y86)*4</f>
        <v>149200</v>
      </c>
      <c r="AD86" s="18">
        <f>SUMIFS(金币汇总!$P$6:$P$105,金币汇总!$C$6:$C$105,"&lt;"&amp;神器与芦花古楼!V86,金币汇总!$C$6:$C$105,"&gt;"&amp;V85)</f>
        <v>0</v>
      </c>
    </row>
    <row r="87" spans="1:30" ht="16.5" x14ac:dyDescent="0.2">
      <c r="A87">
        <v>3</v>
      </c>
      <c r="B87">
        <v>24</v>
      </c>
      <c r="C87">
        <v>1503024</v>
      </c>
      <c r="D87" t="s">
        <v>316</v>
      </c>
      <c r="E87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6500</v>
      </c>
      <c r="L87" t="s">
        <v>327</v>
      </c>
      <c r="M87">
        <v>240</v>
      </c>
      <c r="N87" t="s">
        <v>330</v>
      </c>
      <c r="O87">
        <v>400</v>
      </c>
      <c r="V87" s="14">
        <v>84</v>
      </c>
      <c r="W87" s="14">
        <f t="shared" si="20"/>
        <v>10000</v>
      </c>
      <c r="X87" s="14">
        <f t="shared" si="21"/>
        <v>300</v>
      </c>
      <c r="Y87" s="14">
        <f t="shared" si="22"/>
        <v>500</v>
      </c>
      <c r="AB87" s="14">
        <f>SUM(X$4:X87)*4</f>
        <v>99400</v>
      </c>
      <c r="AC87" s="18">
        <f>SUM(Y$4:Y87)*4</f>
        <v>151200</v>
      </c>
      <c r="AD87" s="18">
        <f>SUMIFS(金币汇总!$P$6:$P$105,金币汇总!$C$6:$C$105,"&lt;"&amp;神器与芦花古楼!V87,金币汇总!$C$6:$C$105,"&gt;"&amp;V86)</f>
        <v>0</v>
      </c>
    </row>
    <row r="88" spans="1:30" ht="16.5" x14ac:dyDescent="0.2">
      <c r="A88">
        <v>3</v>
      </c>
      <c r="B88">
        <v>25</v>
      </c>
      <c r="C88">
        <v>1503025</v>
      </c>
      <c r="D88" t="s">
        <v>316</v>
      </c>
      <c r="E88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7000</v>
      </c>
      <c r="L88" t="s">
        <v>327</v>
      </c>
      <c r="M88">
        <v>250</v>
      </c>
      <c r="N88" t="s">
        <v>330</v>
      </c>
      <c r="O88">
        <v>400</v>
      </c>
      <c r="V88" s="14">
        <v>85</v>
      </c>
      <c r="W88" s="14">
        <f t="shared" si="20"/>
        <v>10000</v>
      </c>
      <c r="X88" s="14">
        <f t="shared" si="21"/>
        <v>300</v>
      </c>
      <c r="Y88" s="14">
        <f t="shared" si="22"/>
        <v>500</v>
      </c>
      <c r="AB88" s="14">
        <f>SUM(X$4:X88)*4</f>
        <v>100600</v>
      </c>
      <c r="AC88" s="18">
        <f>SUM(Y$4:Y88)*4</f>
        <v>153200</v>
      </c>
      <c r="AD88" s="18">
        <f>SUMIFS(金币汇总!$P$6:$P$105,金币汇总!$C$6:$C$105,"&lt;"&amp;神器与芦花古楼!V88,金币汇总!$C$6:$C$105,"&gt;"&amp;V87)</f>
        <v>0</v>
      </c>
    </row>
    <row r="89" spans="1:30" ht="16.5" x14ac:dyDescent="0.2">
      <c r="A89">
        <v>3</v>
      </c>
      <c r="B89">
        <v>26</v>
      </c>
      <c r="C89">
        <v>1503026</v>
      </c>
      <c r="D89" t="s">
        <v>316</v>
      </c>
      <c r="E89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7500</v>
      </c>
      <c r="L89" t="s">
        <v>327</v>
      </c>
      <c r="M89">
        <v>260</v>
      </c>
      <c r="N89" t="s">
        <v>330</v>
      </c>
      <c r="O89">
        <v>500</v>
      </c>
      <c r="V89" s="14">
        <v>86</v>
      </c>
      <c r="W89" s="14">
        <f t="shared" si="20"/>
        <v>10000</v>
      </c>
      <c r="X89" s="14">
        <f t="shared" si="21"/>
        <v>300</v>
      </c>
      <c r="Y89" s="14">
        <f t="shared" si="22"/>
        <v>500</v>
      </c>
      <c r="AB89" s="14">
        <f>SUM(X$4:X89)*4</f>
        <v>101800</v>
      </c>
      <c r="AC89" s="18">
        <f>SUM(Y$4:Y89)*4</f>
        <v>155200</v>
      </c>
      <c r="AD89" s="18">
        <f>SUMIFS(金币汇总!$P$6:$P$105,金币汇总!$C$6:$C$105,"&lt;"&amp;神器与芦花古楼!V89,金币汇总!$C$6:$C$105,"&gt;"&amp;V88)</f>
        <v>0</v>
      </c>
    </row>
    <row r="90" spans="1:30" ht="16.5" x14ac:dyDescent="0.2">
      <c r="A90">
        <v>3</v>
      </c>
      <c r="B90">
        <v>27</v>
      </c>
      <c r="C90">
        <v>1503027</v>
      </c>
      <c r="D90" t="s">
        <v>316</v>
      </c>
      <c r="E90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8000</v>
      </c>
      <c r="L90" t="s">
        <v>327</v>
      </c>
      <c r="M90">
        <v>270</v>
      </c>
      <c r="N90" t="s">
        <v>330</v>
      </c>
      <c r="O90">
        <v>500</v>
      </c>
      <c r="V90" s="14">
        <v>87</v>
      </c>
      <c r="W90" s="14">
        <f t="shared" si="20"/>
        <v>10000</v>
      </c>
      <c r="X90" s="14">
        <f t="shared" si="21"/>
        <v>300</v>
      </c>
      <c r="Y90" s="14">
        <f t="shared" si="22"/>
        <v>500</v>
      </c>
      <c r="AB90" s="14">
        <f>SUM(X$4:X90)*4</f>
        <v>103000</v>
      </c>
      <c r="AC90" s="18">
        <f>SUM(Y$4:Y90)*4</f>
        <v>157200</v>
      </c>
      <c r="AD90" s="18">
        <f>SUMIFS(金币汇总!$P$6:$P$105,金币汇总!$C$6:$C$105,"&lt;"&amp;神器与芦花古楼!V90,金币汇总!$C$6:$C$105,"&gt;"&amp;V89)</f>
        <v>0</v>
      </c>
    </row>
    <row r="91" spans="1:30" ht="16.5" x14ac:dyDescent="0.2">
      <c r="A91">
        <v>3</v>
      </c>
      <c r="B91">
        <v>28</v>
      </c>
      <c r="C91">
        <v>1503028</v>
      </c>
      <c r="D91" t="s">
        <v>316</v>
      </c>
      <c r="E9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8500</v>
      </c>
      <c r="L91" t="s">
        <v>327</v>
      </c>
      <c r="M91">
        <v>280</v>
      </c>
      <c r="N91" t="s">
        <v>330</v>
      </c>
      <c r="O91">
        <v>500</v>
      </c>
      <c r="V91" s="14">
        <v>88</v>
      </c>
      <c r="W91" s="14">
        <f t="shared" si="20"/>
        <v>10000</v>
      </c>
      <c r="X91" s="14">
        <f t="shared" si="21"/>
        <v>300</v>
      </c>
      <c r="Y91" s="14">
        <f t="shared" si="22"/>
        <v>500</v>
      </c>
      <c r="AB91" s="14">
        <f>SUM(X$4:X91)*4</f>
        <v>104200</v>
      </c>
      <c r="AC91" s="18">
        <f>SUM(Y$4:Y91)*4</f>
        <v>159200</v>
      </c>
      <c r="AD91" s="18">
        <f>SUMIFS(金币汇总!$P$6:$P$105,金币汇总!$C$6:$C$105,"&lt;"&amp;神器与芦花古楼!V91,金币汇总!$C$6:$C$105,"&gt;"&amp;V90)</f>
        <v>0</v>
      </c>
    </row>
    <row r="92" spans="1:30" ht="16.5" x14ac:dyDescent="0.2">
      <c r="A92">
        <v>3</v>
      </c>
      <c r="B92">
        <v>29</v>
      </c>
      <c r="C92">
        <v>1503029</v>
      </c>
      <c r="D92" t="s">
        <v>316</v>
      </c>
      <c r="E92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9000</v>
      </c>
      <c r="L92" t="s">
        <v>327</v>
      </c>
      <c r="M92">
        <v>290</v>
      </c>
      <c r="N92" t="s">
        <v>330</v>
      </c>
      <c r="O92">
        <v>500</v>
      </c>
      <c r="V92" s="14">
        <v>89</v>
      </c>
      <c r="W92" s="14">
        <f t="shared" si="20"/>
        <v>10000</v>
      </c>
      <c r="X92" s="14">
        <f t="shared" si="21"/>
        <v>300</v>
      </c>
      <c r="Y92" s="14">
        <f t="shared" si="22"/>
        <v>500</v>
      </c>
      <c r="AB92" s="14">
        <f>SUM(X$4:X92)*4</f>
        <v>105400</v>
      </c>
      <c r="AC92" s="18">
        <f>SUM(Y$4:Y92)*4</f>
        <v>161200</v>
      </c>
      <c r="AD92" s="18">
        <f>SUMIFS(金币汇总!$P$6:$P$105,金币汇总!$C$6:$C$105,"&lt;"&amp;神器与芦花古楼!V92,金币汇总!$C$6:$C$105,"&gt;"&amp;V91)</f>
        <v>0</v>
      </c>
    </row>
    <row r="93" spans="1:30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10000</v>
      </c>
      <c r="L93" t="s">
        <v>327</v>
      </c>
      <c r="M93">
        <v>300</v>
      </c>
      <c r="N93" t="s">
        <v>330</v>
      </c>
      <c r="O93">
        <v>500</v>
      </c>
      <c r="V93" s="14">
        <v>90</v>
      </c>
      <c r="W93" s="14">
        <f t="shared" si="20"/>
        <v>10000</v>
      </c>
      <c r="X93" s="14">
        <f t="shared" si="21"/>
        <v>300</v>
      </c>
      <c r="Y93" s="14">
        <f t="shared" si="22"/>
        <v>500</v>
      </c>
      <c r="AB93" s="14">
        <f>SUM(X$4:X93)*4</f>
        <v>106600</v>
      </c>
      <c r="AC93" s="18">
        <f>SUM(Y$4:Y93)*4</f>
        <v>163200</v>
      </c>
      <c r="AD93" s="18">
        <f>SUMIFS(金币汇总!$P$6:$P$105,金币汇总!$C$6:$C$105,"&lt;"&amp;神器与芦花古楼!V93,金币汇总!$C$6:$C$105,"&gt;"&amp;V92)</f>
        <v>0</v>
      </c>
    </row>
    <row r="94" spans="1:30" ht="16.5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  <c r="V94" s="14">
        <v>91</v>
      </c>
      <c r="W94" s="14">
        <f t="shared" si="20"/>
        <v>10000</v>
      </c>
      <c r="X94" s="14">
        <f t="shared" ref="X94:X102" si="23">SUMIFS(G$4:G$32,$T$4:$T$32,"="&amp;V94)+INDEX(M$4:M$33,INDEX($S$4:$S$33,MATCH(V94,$T$4:$T$33,1)))</f>
        <v>300</v>
      </c>
      <c r="Y94" s="14">
        <f t="shared" ref="Y94:Y102" si="24">INDEX($O$4:$O$33,MATCH(V94,$T$4:$T$33,1))</f>
        <v>500</v>
      </c>
      <c r="AB94" s="14">
        <f>SUM(X$4:X94)*4</f>
        <v>107800</v>
      </c>
      <c r="AC94" s="18">
        <f>SUM(Y$4:Y94)*4</f>
        <v>165200</v>
      </c>
      <c r="AD94" s="18">
        <f>SUMIFS(金币汇总!$P$6:$P$105,金币汇总!$C$6:$C$105,"&lt;"&amp;神器与芦花古楼!V94,金币汇总!$C$6:$C$105,"&gt;"&amp;V93)</f>
        <v>0</v>
      </c>
    </row>
    <row r="95" spans="1:30" ht="16.5" x14ac:dyDescent="0.2">
      <c r="A95">
        <v>4</v>
      </c>
      <c r="B95">
        <v>2</v>
      </c>
      <c r="C95">
        <v>1504002</v>
      </c>
      <c r="D95" t="s">
        <v>316</v>
      </c>
      <c r="E95">
        <v>1100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  <c r="V95" s="14">
        <v>92</v>
      </c>
      <c r="W95" s="14">
        <f t="shared" si="20"/>
        <v>10000</v>
      </c>
      <c r="X95" s="14">
        <f t="shared" si="23"/>
        <v>300</v>
      </c>
      <c r="Y95" s="14">
        <f t="shared" si="24"/>
        <v>500</v>
      </c>
      <c r="AB95" s="14">
        <f>SUM(X$4:X95)*4</f>
        <v>109000</v>
      </c>
      <c r="AC95" s="18">
        <f>SUM(Y$4:Y95)*4</f>
        <v>167200</v>
      </c>
      <c r="AD95" s="18">
        <f>SUMIFS(金币汇总!$P$6:$P$105,金币汇总!$C$6:$C$105,"&lt;"&amp;神器与芦花古楼!V95,金币汇总!$C$6:$C$105,"&gt;"&amp;V94)</f>
        <v>0</v>
      </c>
    </row>
    <row r="96" spans="1:30" ht="16.5" x14ac:dyDescent="0.2">
      <c r="A96">
        <v>4</v>
      </c>
      <c r="B96">
        <v>3</v>
      </c>
      <c r="C96">
        <v>1504003</v>
      </c>
      <c r="D96" t="s">
        <v>316</v>
      </c>
      <c r="E96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  <c r="V96" s="14">
        <v>93</v>
      </c>
      <c r="W96" s="14">
        <f t="shared" si="20"/>
        <v>10000</v>
      </c>
      <c r="X96" s="14">
        <f t="shared" si="23"/>
        <v>300</v>
      </c>
      <c r="Y96" s="14">
        <f t="shared" si="24"/>
        <v>500</v>
      </c>
      <c r="AB96" s="14">
        <f>SUM(X$4:X96)*4</f>
        <v>110200</v>
      </c>
      <c r="AC96" s="18">
        <f>SUM(Y$4:Y96)*4</f>
        <v>169200</v>
      </c>
      <c r="AD96" s="18">
        <f>SUMIFS(金币汇总!$P$6:$P$105,金币汇总!$C$6:$C$105,"&lt;"&amp;神器与芦花古楼!V96,金币汇总!$C$6:$C$105,"&gt;"&amp;V95)</f>
        <v>0</v>
      </c>
    </row>
    <row r="97" spans="1:30" ht="16.5" x14ac:dyDescent="0.2">
      <c r="A97">
        <v>4</v>
      </c>
      <c r="B97">
        <v>4</v>
      </c>
      <c r="C97">
        <v>1504004</v>
      </c>
      <c r="D97" t="s">
        <v>316</v>
      </c>
      <c r="E97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  <c r="V97" s="14">
        <v>94</v>
      </c>
      <c r="W97" s="14">
        <f t="shared" si="20"/>
        <v>10000</v>
      </c>
      <c r="X97" s="14">
        <f t="shared" si="23"/>
        <v>300</v>
      </c>
      <c r="Y97" s="14">
        <f t="shared" si="24"/>
        <v>500</v>
      </c>
      <c r="AB97" s="14">
        <f>SUM(X$4:X97)*4</f>
        <v>111400</v>
      </c>
      <c r="AC97" s="18">
        <f>SUM(Y$4:Y97)*4</f>
        <v>171200</v>
      </c>
      <c r="AD97" s="18">
        <f>SUMIFS(金币汇总!$P$6:$P$105,金币汇总!$C$6:$C$105,"&lt;"&amp;神器与芦花古楼!V97,金币汇总!$C$6:$C$105,"&gt;"&amp;V96)</f>
        <v>0</v>
      </c>
    </row>
    <row r="98" spans="1:30" ht="16.5" x14ac:dyDescent="0.2">
      <c r="A98">
        <v>4</v>
      </c>
      <c r="B98">
        <v>5</v>
      </c>
      <c r="C98">
        <v>1504005</v>
      </c>
      <c r="D98" t="s">
        <v>316</v>
      </c>
      <c r="E98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  <c r="V98" s="14">
        <v>95</v>
      </c>
      <c r="W98" s="14">
        <f t="shared" si="20"/>
        <v>10000</v>
      </c>
      <c r="X98" s="14">
        <f t="shared" si="23"/>
        <v>300</v>
      </c>
      <c r="Y98" s="14">
        <f t="shared" si="24"/>
        <v>500</v>
      </c>
      <c r="AB98" s="14">
        <f>SUM(X$4:X98)*4</f>
        <v>112600</v>
      </c>
      <c r="AC98" s="18">
        <f>SUM(Y$4:Y98)*4</f>
        <v>173200</v>
      </c>
      <c r="AD98" s="18">
        <f>SUMIFS(金币汇总!$P$6:$P$105,金币汇总!$C$6:$C$105,"&lt;"&amp;神器与芦花古楼!V98,金币汇总!$C$6:$C$105,"&gt;"&amp;V97)</f>
        <v>0</v>
      </c>
    </row>
    <row r="99" spans="1:30" ht="16.5" x14ac:dyDescent="0.2">
      <c r="A99">
        <v>4</v>
      </c>
      <c r="B99">
        <v>6</v>
      </c>
      <c r="C99">
        <v>1504006</v>
      </c>
      <c r="D99" t="s">
        <v>316</v>
      </c>
      <c r="E99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  <c r="V99" s="14">
        <v>96</v>
      </c>
      <c r="W99" s="14">
        <f t="shared" si="20"/>
        <v>10000</v>
      </c>
      <c r="X99" s="14">
        <f t="shared" si="23"/>
        <v>300</v>
      </c>
      <c r="Y99" s="14">
        <f t="shared" si="24"/>
        <v>500</v>
      </c>
      <c r="AB99" s="14">
        <f>SUM(X$4:X99)*4</f>
        <v>113800</v>
      </c>
      <c r="AC99" s="18">
        <f>SUM(Y$4:Y99)*4</f>
        <v>175200</v>
      </c>
      <c r="AD99" s="18">
        <f>SUMIFS(金币汇总!$P$6:$P$105,金币汇总!$C$6:$C$105,"&lt;"&amp;神器与芦花古楼!V99,金币汇总!$C$6:$C$105,"&gt;"&amp;V98)</f>
        <v>0</v>
      </c>
    </row>
    <row r="100" spans="1:30" ht="16.5" x14ac:dyDescent="0.2">
      <c r="A100">
        <v>4</v>
      </c>
      <c r="B100">
        <v>7</v>
      </c>
      <c r="C100">
        <v>1504007</v>
      </c>
      <c r="D100" t="s">
        <v>316</v>
      </c>
      <c r="E100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  <c r="V100" s="14">
        <v>97</v>
      </c>
      <c r="W100" s="14">
        <f t="shared" si="20"/>
        <v>10000</v>
      </c>
      <c r="X100" s="14">
        <f t="shared" si="23"/>
        <v>300</v>
      </c>
      <c r="Y100" s="14">
        <f t="shared" si="24"/>
        <v>500</v>
      </c>
      <c r="AB100" s="14">
        <f>SUM(X$4:X100)*4</f>
        <v>115000</v>
      </c>
      <c r="AC100" s="18">
        <f>SUM(Y$4:Y100)*4</f>
        <v>177200</v>
      </c>
      <c r="AD100" s="18">
        <f>SUMIFS(金币汇总!$P$6:$P$105,金币汇总!$C$6:$C$105,"&lt;"&amp;神器与芦花古楼!V100,金币汇总!$C$6:$C$105,"&gt;"&amp;V99)</f>
        <v>0</v>
      </c>
    </row>
    <row r="101" spans="1:30" ht="16.5" x14ac:dyDescent="0.2">
      <c r="A101">
        <v>4</v>
      </c>
      <c r="B101">
        <v>8</v>
      </c>
      <c r="C101">
        <v>1504008</v>
      </c>
      <c r="D101" t="s">
        <v>316</v>
      </c>
      <c r="E10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  <c r="V101" s="14">
        <v>98</v>
      </c>
      <c r="W101" s="14">
        <f t="shared" si="20"/>
        <v>10000</v>
      </c>
      <c r="X101" s="14">
        <f t="shared" si="23"/>
        <v>300</v>
      </c>
      <c r="Y101" s="14">
        <f t="shared" si="24"/>
        <v>500</v>
      </c>
      <c r="AB101" s="14">
        <f>SUM(X$4:X101)*4</f>
        <v>116200</v>
      </c>
      <c r="AC101" s="18">
        <f>SUM(Y$4:Y101)*4</f>
        <v>179200</v>
      </c>
      <c r="AD101" s="18">
        <f>SUMIFS(金币汇总!$P$6:$P$105,金币汇总!$C$6:$C$105,"&lt;"&amp;神器与芦花古楼!V101,金币汇总!$C$6:$C$105,"&gt;"&amp;V100)</f>
        <v>0</v>
      </c>
    </row>
    <row r="102" spans="1:30" ht="16.5" x14ac:dyDescent="0.2">
      <c r="A102">
        <v>4</v>
      </c>
      <c r="B102">
        <v>9</v>
      </c>
      <c r="C102">
        <v>1504009</v>
      </c>
      <c r="D102" t="s">
        <v>316</v>
      </c>
      <c r="E102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  <c r="V102" s="14">
        <v>99</v>
      </c>
      <c r="W102" s="14">
        <f t="shared" si="20"/>
        <v>10000</v>
      </c>
      <c r="X102" s="14">
        <f t="shared" si="23"/>
        <v>300</v>
      </c>
      <c r="Y102" s="14">
        <f t="shared" si="24"/>
        <v>500</v>
      </c>
      <c r="AB102" s="14">
        <f>SUM(X$4:X102)*4</f>
        <v>117400</v>
      </c>
      <c r="AC102" s="18">
        <f>SUM(Y$4:Y102)*4</f>
        <v>181200</v>
      </c>
      <c r="AD102" s="18">
        <f>SUMIFS(金币汇总!$P$6:$P$105,金币汇总!$C$6:$C$105,"&lt;"&amp;神器与芦花古楼!V102,金币汇总!$C$6:$C$105,"&gt;"&amp;V101)</f>
        <v>0</v>
      </c>
    </row>
    <row r="103" spans="1:30" ht="16.5" x14ac:dyDescent="0.2">
      <c r="A103">
        <v>4</v>
      </c>
      <c r="B103">
        <v>10</v>
      </c>
      <c r="C103">
        <v>1504010</v>
      </c>
      <c r="D103" t="s">
        <v>316</v>
      </c>
      <c r="E103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2000</v>
      </c>
      <c r="L103" t="s">
        <v>327</v>
      </c>
      <c r="M103">
        <v>100</v>
      </c>
      <c r="N103" t="s">
        <v>330</v>
      </c>
      <c r="O103">
        <v>100</v>
      </c>
      <c r="V103" s="14">
        <v>100</v>
      </c>
      <c r="W103" s="14">
        <f t="shared" si="20"/>
        <v>10000</v>
      </c>
      <c r="X103" s="14">
        <f t="shared" ref="X103" si="25">SUMIFS(G$4:G$32,$T$4:$T$32,"="&amp;V103)+INDEX(M$4:M$33,INDEX($S$4:$S$33,MATCH(V103,$T$4:$T$33,1)))</f>
        <v>300</v>
      </c>
      <c r="Y103" s="14">
        <f t="shared" ref="Y103" si="26">INDEX($O$4:$O$33,MATCH(V103,$T$4:$T$33,1))</f>
        <v>500</v>
      </c>
      <c r="AB103" s="14">
        <f>SUM(X$4:X103)*4</f>
        <v>118600</v>
      </c>
      <c r="AC103" s="18">
        <f>SUM(Y$4:Y103)*4</f>
        <v>183200</v>
      </c>
      <c r="AD103" s="18">
        <f>SUMIFS(金币汇总!$P$6:$P$105,金币汇总!$C$6:$C$105,"&lt;"&amp;神器与芦花古楼!V103,金币汇总!$C$6:$C$105,"&gt;"&amp;V102)</f>
        <v>0</v>
      </c>
    </row>
    <row r="104" spans="1:30" x14ac:dyDescent="0.2">
      <c r="A104">
        <v>4</v>
      </c>
      <c r="B104">
        <v>11</v>
      </c>
      <c r="C104">
        <v>1504011</v>
      </c>
      <c r="D104" t="s">
        <v>316</v>
      </c>
      <c r="E104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2200</v>
      </c>
      <c r="L104" t="s">
        <v>327</v>
      </c>
      <c r="M104">
        <v>110</v>
      </c>
      <c r="N104" t="s">
        <v>330</v>
      </c>
      <c r="O104">
        <v>200</v>
      </c>
    </row>
    <row r="105" spans="1:30" x14ac:dyDescent="0.2">
      <c r="A105">
        <v>4</v>
      </c>
      <c r="B105">
        <v>12</v>
      </c>
      <c r="C105">
        <v>1504012</v>
      </c>
      <c r="D105" t="s">
        <v>316</v>
      </c>
      <c r="E105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2400</v>
      </c>
      <c r="L105" t="s">
        <v>327</v>
      </c>
      <c r="M105">
        <v>120</v>
      </c>
      <c r="N105" t="s">
        <v>330</v>
      </c>
      <c r="O105">
        <v>200</v>
      </c>
    </row>
    <row r="106" spans="1:30" x14ac:dyDescent="0.2">
      <c r="A106">
        <v>4</v>
      </c>
      <c r="B106">
        <v>13</v>
      </c>
      <c r="C106">
        <v>1504013</v>
      </c>
      <c r="D106" t="s">
        <v>316</v>
      </c>
      <c r="E106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2600</v>
      </c>
      <c r="L106" t="s">
        <v>327</v>
      </c>
      <c r="M106">
        <v>130</v>
      </c>
      <c r="N106" t="s">
        <v>330</v>
      </c>
      <c r="O106">
        <v>200</v>
      </c>
    </row>
    <row r="107" spans="1:30" x14ac:dyDescent="0.2">
      <c r="A107">
        <v>4</v>
      </c>
      <c r="B107">
        <v>14</v>
      </c>
      <c r="C107">
        <v>1504014</v>
      </c>
      <c r="D107" t="s">
        <v>316</v>
      </c>
      <c r="E107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2800</v>
      </c>
      <c r="L107" t="s">
        <v>327</v>
      </c>
      <c r="M107">
        <v>140</v>
      </c>
      <c r="N107" t="s">
        <v>330</v>
      </c>
      <c r="O107">
        <v>200</v>
      </c>
    </row>
    <row r="108" spans="1:30" x14ac:dyDescent="0.2">
      <c r="A108">
        <v>4</v>
      </c>
      <c r="B108">
        <v>15</v>
      </c>
      <c r="C108">
        <v>1504015</v>
      </c>
      <c r="D108" t="s">
        <v>316</v>
      </c>
      <c r="E108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3000</v>
      </c>
      <c r="L108" t="s">
        <v>327</v>
      </c>
      <c r="M108">
        <v>150</v>
      </c>
      <c r="N108" t="s">
        <v>330</v>
      </c>
      <c r="O108">
        <v>200</v>
      </c>
    </row>
    <row r="109" spans="1:30" x14ac:dyDescent="0.2">
      <c r="A109">
        <v>4</v>
      </c>
      <c r="B109">
        <v>16</v>
      </c>
      <c r="C109">
        <v>1504016</v>
      </c>
      <c r="D109" t="s">
        <v>316</v>
      </c>
      <c r="E109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3250</v>
      </c>
      <c r="L109" t="s">
        <v>327</v>
      </c>
      <c r="M109">
        <v>160</v>
      </c>
      <c r="N109" t="s">
        <v>330</v>
      </c>
      <c r="O109">
        <v>300</v>
      </c>
    </row>
    <row r="110" spans="1:30" x14ac:dyDescent="0.2">
      <c r="A110">
        <v>4</v>
      </c>
      <c r="B110">
        <v>17</v>
      </c>
      <c r="C110">
        <v>1504017</v>
      </c>
      <c r="D110" t="s">
        <v>316</v>
      </c>
      <c r="E110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3500</v>
      </c>
      <c r="L110" t="s">
        <v>327</v>
      </c>
      <c r="M110">
        <v>170</v>
      </c>
      <c r="N110" t="s">
        <v>330</v>
      </c>
      <c r="O110">
        <v>300</v>
      </c>
    </row>
    <row r="111" spans="1:30" x14ac:dyDescent="0.2">
      <c r="A111">
        <v>4</v>
      </c>
      <c r="B111">
        <v>18</v>
      </c>
      <c r="C111">
        <v>1504018</v>
      </c>
      <c r="D111" t="s">
        <v>316</v>
      </c>
      <c r="E11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30" x14ac:dyDescent="0.2">
      <c r="A112">
        <v>4</v>
      </c>
      <c r="B112">
        <v>19</v>
      </c>
      <c r="C112">
        <v>1504019</v>
      </c>
      <c r="D112" t="s">
        <v>316</v>
      </c>
      <c r="E112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3"/>
  <sheetViews>
    <sheetView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L1" sqref="L1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7" x14ac:dyDescent="0.2"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Z2">
        <v>120</v>
      </c>
      <c r="BA2">
        <v>90</v>
      </c>
    </row>
    <row r="3" spans="1:57" ht="17.25" x14ac:dyDescent="0.2">
      <c r="A3" s="13" t="s">
        <v>416</v>
      </c>
      <c r="B3" s="13" t="s">
        <v>443</v>
      </c>
      <c r="C3" s="13" t="s">
        <v>444</v>
      </c>
      <c r="D3" s="13" t="s">
        <v>445</v>
      </c>
      <c r="E3" s="13" t="s">
        <v>450</v>
      </c>
      <c r="F3" s="13" t="s">
        <v>452</v>
      </c>
      <c r="G3" s="13" t="s">
        <v>451</v>
      </c>
      <c r="H3" s="13" t="s">
        <v>456</v>
      </c>
      <c r="I3" s="13" t="s">
        <v>458</v>
      </c>
      <c r="J3" s="13" t="s">
        <v>459</v>
      </c>
      <c r="K3" s="13" t="s">
        <v>460</v>
      </c>
      <c r="L3" s="13" t="s">
        <v>461</v>
      </c>
      <c r="M3" s="13" t="s">
        <v>814</v>
      </c>
      <c r="N3" s="13" t="s">
        <v>815</v>
      </c>
      <c r="O3" s="13" t="s">
        <v>817</v>
      </c>
      <c r="P3" s="13" t="s">
        <v>818</v>
      </c>
      <c r="Q3" s="13" t="s">
        <v>819</v>
      </c>
      <c r="R3" s="13" t="s">
        <v>820</v>
      </c>
      <c r="S3" s="13" t="s">
        <v>827</v>
      </c>
      <c r="T3" s="13" t="s">
        <v>828</v>
      </c>
      <c r="W3" s="13" t="s">
        <v>416</v>
      </c>
      <c r="X3" s="13" t="s">
        <v>446</v>
      </c>
      <c r="Y3" s="13" t="s">
        <v>448</v>
      </c>
      <c r="Z3" s="13" t="s">
        <v>449</v>
      </c>
      <c r="AA3" s="13" t="s">
        <v>457</v>
      </c>
      <c r="AB3" s="13" t="s">
        <v>821</v>
      </c>
      <c r="AC3" s="13" t="s">
        <v>822</v>
      </c>
      <c r="AD3" s="13" t="s">
        <v>823</v>
      </c>
      <c r="AE3" s="13" t="s">
        <v>824</v>
      </c>
      <c r="AG3" s="13" t="s">
        <v>416</v>
      </c>
      <c r="AH3" s="13" t="s">
        <v>443</v>
      </c>
      <c r="AI3" s="13" t="s">
        <v>444</v>
      </c>
      <c r="AJ3" s="13" t="s">
        <v>445</v>
      </c>
      <c r="AK3" s="13" t="s">
        <v>450</v>
      </c>
      <c r="AL3" s="13" t="s">
        <v>452</v>
      </c>
      <c r="AM3" s="13" t="s">
        <v>451</v>
      </c>
      <c r="AN3" s="13" t="s">
        <v>456</v>
      </c>
      <c r="AO3" s="13" t="s">
        <v>458</v>
      </c>
      <c r="AP3" s="13" t="s">
        <v>459</v>
      </c>
      <c r="AQ3" s="13" t="s">
        <v>468</v>
      </c>
      <c r="AR3" s="13" t="s">
        <v>469</v>
      </c>
      <c r="AS3" s="13" t="s">
        <v>470</v>
      </c>
      <c r="AT3" s="13" t="s">
        <v>471</v>
      </c>
      <c r="AW3" s="13" t="s">
        <v>416</v>
      </c>
      <c r="AX3" s="13" t="s">
        <v>446</v>
      </c>
      <c r="AY3" s="13" t="s">
        <v>448</v>
      </c>
      <c r="AZ3" s="13" t="s">
        <v>449</v>
      </c>
      <c r="BA3" s="13" t="s">
        <v>453</v>
      </c>
    </row>
    <row r="4" spans="1:57" ht="16.5" x14ac:dyDescent="0.2">
      <c r="A4" s="14">
        <v>1</v>
      </c>
      <c r="B4" s="14">
        <v>1</v>
      </c>
      <c r="C4" s="14">
        <v>0</v>
      </c>
      <c r="D4" s="18">
        <f>ROUND(INDEX($X$4:$X$13,A4)/INDEX($Y$4:$Y$13,A4)/5,0)*5</f>
        <v>35</v>
      </c>
      <c r="E4" s="14" t="s">
        <v>414</v>
      </c>
      <c r="F4" s="18">
        <f t="shared" ref="F4:F35" si="0">INDEX($Z$4:$Z$13,$A4)</f>
        <v>300</v>
      </c>
      <c r="G4" s="14" t="s">
        <v>454</v>
      </c>
      <c r="H4" s="18">
        <f t="shared" ref="H4:H35" si="1">INDEX($AA$4:$AA$13,$A4)</f>
        <v>300</v>
      </c>
      <c r="I4" s="14"/>
      <c r="J4" s="18"/>
      <c r="K4" s="14"/>
      <c r="L4" s="18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游戏节奏!W4*Z$2</f>
        <v>300</v>
      </c>
      <c r="AA4" s="18">
        <f>游戏节奏!V4*AA$2</f>
        <v>300</v>
      </c>
      <c r="AB4" s="18">
        <f>INDEX(挂机派遣!C$5:C$14,章节!$W4)*挂机派遣!C$2*AB$2</f>
        <v>0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2">ROUND(INDEX($AX$4:$AX$13,A4)/INDEX($AY$4:$AY$13,A4)/50,0)*50</f>
        <v>50</v>
      </c>
      <c r="AK4" s="14" t="s">
        <v>414</v>
      </c>
      <c r="AL4" s="18">
        <f>INDEX($AZ$4:$AZ$13,$AG4)</f>
        <v>600</v>
      </c>
      <c r="AM4" s="14" t="s">
        <v>454</v>
      </c>
      <c r="AN4" s="18">
        <f>INDEX($BA$4:$BA$13,$AG4)</f>
        <v>450</v>
      </c>
      <c r="AO4" s="14"/>
      <c r="AP4" s="14"/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6</v>
      </c>
      <c r="AZ4" s="18">
        <f>游戏节奏!W4*AZ$2</f>
        <v>600</v>
      </c>
      <c r="BA4" s="18">
        <f>游戏节奏!V4*$BA$2</f>
        <v>450</v>
      </c>
    </row>
    <row r="5" spans="1:57" ht="16.5" x14ac:dyDescent="0.2">
      <c r="A5" s="14">
        <v>1</v>
      </c>
      <c r="B5" s="14">
        <v>2</v>
      </c>
      <c r="C5" s="14">
        <v>0</v>
      </c>
      <c r="D5" s="18">
        <f t="shared" ref="D5:D68" si="3">ROUND(INDEX($X$4:$X$13,A5)/INDEX($Y$4:$Y$13,A5)/5,0)*5</f>
        <v>35</v>
      </c>
      <c r="E5" s="14" t="s">
        <v>414</v>
      </c>
      <c r="F5" s="18">
        <f t="shared" si="0"/>
        <v>300</v>
      </c>
      <c r="G5" s="14" t="s">
        <v>455</v>
      </c>
      <c r="H5" s="18">
        <f t="shared" si="1"/>
        <v>300</v>
      </c>
      <c r="I5" s="14"/>
      <c r="J5" s="18"/>
      <c r="K5" s="14"/>
      <c r="L5" s="18"/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游戏节奏!W5*Z$2</f>
        <v>360</v>
      </c>
      <c r="AA5" s="18">
        <f>游戏节奏!V5*AA$2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2"/>
        <v>50</v>
      </c>
      <c r="AK5" s="14" t="s">
        <v>414</v>
      </c>
      <c r="AL5" s="18">
        <f t="shared" ref="AL5:AL68" si="4">INDEX($AZ$4:$AZ$13,$AG5)</f>
        <v>600</v>
      </c>
      <c r="AM5" s="14" t="s">
        <v>455</v>
      </c>
      <c r="AN5" s="18">
        <f t="shared" ref="AN5:AN68" si="5">INDEX($BA$4:$BA$13,$AG5)</f>
        <v>450</v>
      </c>
      <c r="AO5" s="14"/>
      <c r="AP5" s="14"/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游戏节奏!W5*AZ$2</f>
        <v>720</v>
      </c>
      <c r="BA5" s="18">
        <f>游戏节奏!V5*$BA$2</f>
        <v>540</v>
      </c>
    </row>
    <row r="6" spans="1:57" ht="16.5" x14ac:dyDescent="0.2">
      <c r="A6" s="14">
        <v>1</v>
      </c>
      <c r="B6" s="14">
        <v>3</v>
      </c>
      <c r="C6" s="14">
        <v>1</v>
      </c>
      <c r="D6" s="18">
        <f t="shared" si="3"/>
        <v>35</v>
      </c>
      <c r="E6" s="14" t="s">
        <v>414</v>
      </c>
      <c r="F6" s="18">
        <f t="shared" si="0"/>
        <v>300</v>
      </c>
      <c r="G6" s="14" t="s">
        <v>454</v>
      </c>
      <c r="H6" s="18">
        <f t="shared" si="1"/>
        <v>300</v>
      </c>
      <c r="I6" s="14"/>
      <c r="J6" s="18"/>
      <c r="K6" s="14"/>
      <c r="L6" s="18"/>
      <c r="M6" s="14" t="s">
        <v>816</v>
      </c>
      <c r="N6" s="18">
        <f>INDEX($Z$17:$AE$26,章节!$A6,MATCH(M6,$Z$16:$AE$16,0))</f>
        <v>150</v>
      </c>
      <c r="O6" s="14" t="s">
        <v>826</v>
      </c>
      <c r="P6" s="18">
        <f>INDEX($Z$17:$AE$26,章节!$A6,MATCH(O6,$Z$16:$AE$16,0))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游戏节奏!W6*Z$2</f>
        <v>480</v>
      </c>
      <c r="AA6" s="18">
        <f>游戏节奏!V6*AA$2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14">
        <v>1</v>
      </c>
      <c r="AJ6" s="18">
        <f t="shared" si="2"/>
        <v>50</v>
      </c>
      <c r="AK6" s="14" t="s">
        <v>414</v>
      </c>
      <c r="AL6" s="18">
        <f t="shared" si="4"/>
        <v>600</v>
      </c>
      <c r="AM6" s="14" t="s">
        <v>454</v>
      </c>
      <c r="AN6" s="18">
        <f t="shared" si="5"/>
        <v>450</v>
      </c>
      <c r="AO6" s="14"/>
      <c r="AP6" s="14"/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游戏节奏!W6*AZ$2</f>
        <v>960</v>
      </c>
      <c r="BA6" s="18">
        <f>游戏节奏!V6*$BA$2</f>
        <v>630</v>
      </c>
    </row>
    <row r="7" spans="1:57" ht="16.5" x14ac:dyDescent="0.2">
      <c r="A7" s="14">
        <v>1</v>
      </c>
      <c r="B7" s="14">
        <v>4</v>
      </c>
      <c r="C7" s="14">
        <v>0</v>
      </c>
      <c r="D7" s="18">
        <f t="shared" si="3"/>
        <v>35</v>
      </c>
      <c r="E7" s="14" t="s">
        <v>414</v>
      </c>
      <c r="F7" s="18">
        <f t="shared" si="0"/>
        <v>300</v>
      </c>
      <c r="G7" s="14" t="s">
        <v>455</v>
      </c>
      <c r="H7" s="18">
        <f t="shared" si="1"/>
        <v>300</v>
      </c>
      <c r="I7" s="14"/>
      <c r="J7" s="18"/>
      <c r="K7" s="14"/>
      <c r="L7" s="18"/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游戏节奏!W7*Z$2</f>
        <v>540</v>
      </c>
      <c r="AA7" s="18">
        <f>游戏节奏!V7*AA$2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2"/>
        <v>50</v>
      </c>
      <c r="AK7" s="14" t="s">
        <v>414</v>
      </c>
      <c r="AL7" s="18">
        <f t="shared" si="4"/>
        <v>600</v>
      </c>
      <c r="AM7" s="14" t="s">
        <v>455</v>
      </c>
      <c r="AN7" s="18">
        <f t="shared" si="5"/>
        <v>450</v>
      </c>
      <c r="AO7" s="14"/>
      <c r="AP7" s="14"/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游戏节奏!W7*AZ$2</f>
        <v>1080</v>
      </c>
      <c r="BA7" s="18">
        <f>游戏节奏!V7*$BA$2</f>
        <v>810</v>
      </c>
    </row>
    <row r="8" spans="1:57" ht="16.5" x14ac:dyDescent="0.2">
      <c r="A8" s="14">
        <v>1</v>
      </c>
      <c r="B8" s="14">
        <v>5</v>
      </c>
      <c r="C8" s="14">
        <v>0</v>
      </c>
      <c r="D8" s="18">
        <f t="shared" si="3"/>
        <v>35</v>
      </c>
      <c r="E8" s="14" t="s">
        <v>414</v>
      </c>
      <c r="F8" s="18">
        <f t="shared" si="0"/>
        <v>300</v>
      </c>
      <c r="G8" s="14" t="s">
        <v>454</v>
      </c>
      <c r="H8" s="18">
        <f t="shared" si="1"/>
        <v>300</v>
      </c>
      <c r="I8" s="14"/>
      <c r="J8" s="18"/>
      <c r="K8" s="14"/>
      <c r="L8" s="18"/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游戏节奏!W8*Z$2</f>
        <v>600</v>
      </c>
      <c r="AA8" s="18">
        <f>游戏节奏!V8*AA$2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2"/>
        <v>50</v>
      </c>
      <c r="AK8" s="14" t="s">
        <v>414</v>
      </c>
      <c r="AL8" s="18">
        <f t="shared" si="4"/>
        <v>600</v>
      </c>
      <c r="AM8" s="14" t="s">
        <v>454</v>
      </c>
      <c r="AN8" s="18">
        <f t="shared" si="5"/>
        <v>450</v>
      </c>
      <c r="AO8" s="14"/>
      <c r="AP8" s="14"/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游戏节奏!W8*AZ$2</f>
        <v>1200</v>
      </c>
      <c r="BA8" s="18">
        <f>游戏节奏!V8*$BA$2</f>
        <v>990</v>
      </c>
    </row>
    <row r="9" spans="1:57" ht="16.5" x14ac:dyDescent="0.2">
      <c r="A9" s="14">
        <v>1</v>
      </c>
      <c r="B9" s="14">
        <v>6</v>
      </c>
      <c r="C9" s="14">
        <v>1</v>
      </c>
      <c r="D9" s="18">
        <f t="shared" si="3"/>
        <v>35</v>
      </c>
      <c r="E9" s="14" t="s">
        <v>414</v>
      </c>
      <c r="F9" s="18">
        <f t="shared" si="0"/>
        <v>300</v>
      </c>
      <c r="G9" s="14" t="s">
        <v>455</v>
      </c>
      <c r="H9" s="18">
        <f t="shared" si="1"/>
        <v>300</v>
      </c>
      <c r="I9" s="14"/>
      <c r="J9" s="18"/>
      <c r="K9" s="14"/>
      <c r="L9" s="18"/>
      <c r="M9" s="14" t="s">
        <v>816</v>
      </c>
      <c r="N9" s="18">
        <f>INDEX($Z$17:$AE$26,章节!$A9,MATCH(M9,$Z$16:$AE$16,0))</f>
        <v>150</v>
      </c>
      <c r="O9" s="14" t="s">
        <v>826</v>
      </c>
      <c r="P9" s="18">
        <f>INDEX($Z$17:$AE$26,章节!$A9,MATCH(O9,$Z$16:$AE$16,0))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游戏节奏!W9*Z$2</f>
        <v>720</v>
      </c>
      <c r="AA9" s="18">
        <f>游戏节奏!V9*AA$2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14">
        <v>1</v>
      </c>
      <c r="AJ9" s="18">
        <f t="shared" si="2"/>
        <v>50</v>
      </c>
      <c r="AK9" s="14" t="s">
        <v>414</v>
      </c>
      <c r="AL9" s="18">
        <f t="shared" si="4"/>
        <v>600</v>
      </c>
      <c r="AM9" s="14" t="s">
        <v>455</v>
      </c>
      <c r="AN9" s="18">
        <f t="shared" si="5"/>
        <v>450</v>
      </c>
      <c r="AO9" s="14"/>
      <c r="AP9" s="14"/>
      <c r="AQ9" s="14"/>
      <c r="AR9" s="14"/>
      <c r="AS9" s="14"/>
      <c r="AT9" s="14"/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游戏节奏!W9*AZ$2</f>
        <v>1440</v>
      </c>
      <c r="BA9" s="18">
        <f>游戏节奏!V9*$BA$2</f>
        <v>1170</v>
      </c>
    </row>
    <row r="10" spans="1:57" ht="16.5" x14ac:dyDescent="0.2">
      <c r="A10" s="14">
        <v>2</v>
      </c>
      <c r="B10" s="14">
        <v>1</v>
      </c>
      <c r="C10" s="14">
        <v>0</v>
      </c>
      <c r="D10" s="18">
        <f t="shared" si="3"/>
        <v>45</v>
      </c>
      <c r="E10" s="14" t="s">
        <v>414</v>
      </c>
      <c r="F10" s="18">
        <f t="shared" si="0"/>
        <v>360</v>
      </c>
      <c r="G10" s="14" t="s">
        <v>454</v>
      </c>
      <c r="H10" s="18">
        <f t="shared" si="1"/>
        <v>360</v>
      </c>
      <c r="I10" s="14"/>
      <c r="J10" s="18"/>
      <c r="K10" s="14"/>
      <c r="L10" s="18"/>
      <c r="M10" s="14"/>
      <c r="N10" s="18"/>
      <c r="O10" s="14"/>
      <c r="P10" s="18"/>
      <c r="Q10" s="14"/>
      <c r="R10" s="18"/>
      <c r="S10" s="14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游戏节奏!W10*Z$2</f>
        <v>840</v>
      </c>
      <c r="AA10" s="18">
        <f>游戏节奏!V10*AA$2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14">
        <v>2</v>
      </c>
      <c r="AH10" s="14">
        <v>1</v>
      </c>
      <c r="AI10" s="14">
        <v>0</v>
      </c>
      <c r="AJ10" s="18">
        <f t="shared" si="2"/>
        <v>50</v>
      </c>
      <c r="AK10" s="14" t="s">
        <v>414</v>
      </c>
      <c r="AL10" s="18">
        <f t="shared" si="4"/>
        <v>720</v>
      </c>
      <c r="AM10" s="14" t="s">
        <v>454</v>
      </c>
      <c r="AN10" s="18">
        <f t="shared" si="5"/>
        <v>540</v>
      </c>
      <c r="AO10" s="14" t="s">
        <v>462</v>
      </c>
      <c r="AP10" s="18"/>
      <c r="AQ10" s="14"/>
      <c r="AR10" s="14"/>
      <c r="AS10" s="14"/>
      <c r="AT10" s="14"/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游戏节奏!W10*AZ$2</f>
        <v>1680</v>
      </c>
      <c r="BA10" s="18">
        <f>游戏节奏!V10*$BA$2</f>
        <v>1350</v>
      </c>
    </row>
    <row r="11" spans="1:57" ht="16.5" x14ac:dyDescent="0.2">
      <c r="A11" s="14">
        <v>2</v>
      </c>
      <c r="B11" s="14">
        <v>2</v>
      </c>
      <c r="C11" s="14">
        <v>0</v>
      </c>
      <c r="D11" s="18">
        <f t="shared" si="3"/>
        <v>45</v>
      </c>
      <c r="E11" s="14" t="s">
        <v>414</v>
      </c>
      <c r="F11" s="18">
        <f t="shared" si="0"/>
        <v>360</v>
      </c>
      <c r="G11" s="14" t="s">
        <v>455</v>
      </c>
      <c r="H11" s="18">
        <f t="shared" si="1"/>
        <v>360</v>
      </c>
      <c r="I11" s="14"/>
      <c r="J11" s="18"/>
      <c r="K11" s="14"/>
      <c r="L11" s="18"/>
      <c r="M11" s="14"/>
      <c r="N11" s="18"/>
      <c r="O11" s="14"/>
      <c r="P11" s="18"/>
      <c r="Q11" s="14"/>
      <c r="R11" s="18"/>
      <c r="S11" s="14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游戏节奏!W11*Z$2</f>
        <v>960</v>
      </c>
      <c r="AA11" s="18">
        <f>游戏节奏!V11*AA$2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14">
        <v>2</v>
      </c>
      <c r="AH11" s="14">
        <v>2</v>
      </c>
      <c r="AI11" s="14">
        <v>0</v>
      </c>
      <c r="AJ11" s="18">
        <f t="shared" si="2"/>
        <v>50</v>
      </c>
      <c r="AK11" s="14" t="s">
        <v>414</v>
      </c>
      <c r="AL11" s="18">
        <f t="shared" si="4"/>
        <v>720</v>
      </c>
      <c r="AM11" s="14" t="s">
        <v>455</v>
      </c>
      <c r="AN11" s="18">
        <f t="shared" si="5"/>
        <v>540</v>
      </c>
      <c r="AO11" s="14" t="s">
        <v>463</v>
      </c>
      <c r="AP11" s="18"/>
      <c r="AQ11" s="14"/>
      <c r="AR11" s="14"/>
      <c r="AS11" s="14"/>
      <c r="AT11" s="14"/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游戏节奏!W11*AZ$2</f>
        <v>1920</v>
      </c>
      <c r="BA11" s="18">
        <f>游戏节奏!V11*$BA$2</f>
        <v>1530</v>
      </c>
    </row>
    <row r="12" spans="1:57" ht="16.5" x14ac:dyDescent="0.2">
      <c r="A12" s="14">
        <v>2</v>
      </c>
      <c r="B12" s="14">
        <v>3</v>
      </c>
      <c r="C12" s="14">
        <v>1</v>
      </c>
      <c r="D12" s="18">
        <f t="shared" si="3"/>
        <v>45</v>
      </c>
      <c r="E12" s="14" t="s">
        <v>414</v>
      </c>
      <c r="F12" s="18">
        <f t="shared" si="0"/>
        <v>360</v>
      </c>
      <c r="G12" s="14" t="s">
        <v>454</v>
      </c>
      <c r="H12" s="18">
        <f t="shared" si="1"/>
        <v>360</v>
      </c>
      <c r="I12" s="14"/>
      <c r="J12" s="18"/>
      <c r="K12" s="14"/>
      <c r="L12" s="18"/>
      <c r="M12" s="14" t="s">
        <v>816</v>
      </c>
      <c r="N12" s="18">
        <f>INDEX($Z$17:$AE$26,章节!$A12,MATCH(M12,$Z$16:$AE$16,0))</f>
        <v>180</v>
      </c>
      <c r="O12" s="14" t="s">
        <v>826</v>
      </c>
      <c r="P12" s="18">
        <f>INDEX($Z$17:$AE$26,章节!$A12,MATCH(O12,$Z$16:$AE$16,0))</f>
        <v>180</v>
      </c>
      <c r="Q12" s="14"/>
      <c r="R12" s="18"/>
      <c r="S12" s="14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游戏节奏!W12*Z$2</f>
        <v>1080</v>
      </c>
      <c r="AA12" s="18">
        <f>游戏节奏!V12*AA$2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14">
        <v>2</v>
      </c>
      <c r="AH12" s="14">
        <v>3</v>
      </c>
      <c r="AI12" s="14">
        <v>1</v>
      </c>
      <c r="AJ12" s="18">
        <f t="shared" si="2"/>
        <v>50</v>
      </c>
      <c r="AK12" s="14" t="s">
        <v>414</v>
      </c>
      <c r="AL12" s="18">
        <f t="shared" si="4"/>
        <v>720</v>
      </c>
      <c r="AM12" s="14" t="s">
        <v>454</v>
      </c>
      <c r="AN12" s="18">
        <f t="shared" si="5"/>
        <v>540</v>
      </c>
      <c r="AO12" s="14" t="s">
        <v>462</v>
      </c>
      <c r="AP12" s="18"/>
      <c r="AQ12" s="14"/>
      <c r="AR12" s="14"/>
      <c r="AS12" s="14"/>
      <c r="AT12" s="14"/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游戏节奏!W12*AZ$2</f>
        <v>2160</v>
      </c>
      <c r="BA12" s="18">
        <f>游戏节奏!V12*$BA$2</f>
        <v>1710</v>
      </c>
    </row>
    <row r="13" spans="1:57" ht="16.5" x14ac:dyDescent="0.2">
      <c r="A13" s="14">
        <v>2</v>
      </c>
      <c r="B13" s="14">
        <v>4</v>
      </c>
      <c r="C13" s="14">
        <v>0</v>
      </c>
      <c r="D13" s="18">
        <f t="shared" si="3"/>
        <v>45</v>
      </c>
      <c r="E13" s="14" t="s">
        <v>414</v>
      </c>
      <c r="F13" s="18">
        <f t="shared" si="0"/>
        <v>360</v>
      </c>
      <c r="G13" s="14" t="s">
        <v>455</v>
      </c>
      <c r="H13" s="18">
        <f t="shared" si="1"/>
        <v>360</v>
      </c>
      <c r="I13" s="14"/>
      <c r="J13" s="18"/>
      <c r="K13" s="14"/>
      <c r="L13" s="18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游戏节奏!W13*Z$2</f>
        <v>1200</v>
      </c>
      <c r="AA13" s="18">
        <f>游戏节奏!V13*AA$2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4</v>
      </c>
      <c r="AI13" s="14">
        <v>0</v>
      </c>
      <c r="AJ13" s="18">
        <f t="shared" si="2"/>
        <v>50</v>
      </c>
      <c r="AK13" s="14" t="s">
        <v>414</v>
      </c>
      <c r="AL13" s="18">
        <f t="shared" si="4"/>
        <v>720</v>
      </c>
      <c r="AM13" s="14" t="s">
        <v>455</v>
      </c>
      <c r="AN13" s="18">
        <f t="shared" si="5"/>
        <v>540</v>
      </c>
      <c r="AO13" s="14" t="s">
        <v>463</v>
      </c>
      <c r="AP13" s="18"/>
      <c r="AQ13" s="14"/>
      <c r="AR13" s="14"/>
      <c r="AS13" s="14"/>
      <c r="AT13" s="14"/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游戏节奏!W13*AZ$2</f>
        <v>2400</v>
      </c>
      <c r="BA13" s="18">
        <f>游戏节奏!V13*$BA$2</f>
        <v>1980</v>
      </c>
    </row>
    <row r="14" spans="1:57" ht="16.5" x14ac:dyDescent="0.2">
      <c r="A14" s="14">
        <v>2</v>
      </c>
      <c r="B14" s="14">
        <v>5</v>
      </c>
      <c r="C14" s="14">
        <v>0</v>
      </c>
      <c r="D14" s="18">
        <f t="shared" si="3"/>
        <v>45</v>
      </c>
      <c r="E14" s="14" t="s">
        <v>414</v>
      </c>
      <c r="F14" s="18">
        <f t="shared" si="0"/>
        <v>360</v>
      </c>
      <c r="G14" s="14" t="s">
        <v>454</v>
      </c>
      <c r="H14" s="18">
        <f t="shared" si="1"/>
        <v>360</v>
      </c>
      <c r="I14" s="14"/>
      <c r="J14" s="18"/>
      <c r="K14" s="14"/>
      <c r="L14" s="18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5</v>
      </c>
      <c r="AI14" s="14">
        <v>0</v>
      </c>
      <c r="AJ14" s="18">
        <f t="shared" si="2"/>
        <v>50</v>
      </c>
      <c r="AK14" s="14" t="s">
        <v>414</v>
      </c>
      <c r="AL14" s="18">
        <f t="shared" si="4"/>
        <v>720</v>
      </c>
      <c r="AM14" s="14" t="s">
        <v>454</v>
      </c>
      <c r="AN14" s="18">
        <f t="shared" si="5"/>
        <v>540</v>
      </c>
      <c r="AO14" s="14" t="s">
        <v>462</v>
      </c>
      <c r="AP14" s="18"/>
      <c r="AQ14" s="14"/>
      <c r="AR14" s="14"/>
      <c r="AS14" s="14"/>
      <c r="AT14" s="14"/>
    </row>
    <row r="15" spans="1:57" ht="16.5" x14ac:dyDescent="0.2">
      <c r="A15" s="14">
        <v>2</v>
      </c>
      <c r="B15" s="14">
        <v>6</v>
      </c>
      <c r="C15" s="14">
        <v>1</v>
      </c>
      <c r="D15" s="18">
        <f t="shared" si="3"/>
        <v>45</v>
      </c>
      <c r="E15" s="14" t="s">
        <v>414</v>
      </c>
      <c r="F15" s="18">
        <f t="shared" si="0"/>
        <v>360</v>
      </c>
      <c r="G15" s="14" t="s">
        <v>455</v>
      </c>
      <c r="H15" s="18">
        <f t="shared" si="1"/>
        <v>360</v>
      </c>
      <c r="I15" s="14"/>
      <c r="J15" s="18"/>
      <c r="K15" s="14"/>
      <c r="L15" s="18"/>
      <c r="M15" s="14" t="s">
        <v>816</v>
      </c>
      <c r="N15" s="18">
        <f>INDEX($Z$17:$AE$26,章节!$A15,MATCH(M15,$Z$16:$AE$16,0))</f>
        <v>180</v>
      </c>
      <c r="O15" s="14" t="s">
        <v>826</v>
      </c>
      <c r="P15" s="18">
        <f>INDEX($Z$17:$AE$26,章节!$A15,MATCH(O15,$Z$16:$AE$16,0))</f>
        <v>180</v>
      </c>
      <c r="Q15" s="14"/>
      <c r="R15" s="18"/>
      <c r="S15" s="14"/>
      <c r="T15" s="18"/>
      <c r="Z15">
        <v>30</v>
      </c>
      <c r="AA15">
        <v>30</v>
      </c>
      <c r="AB15">
        <v>5</v>
      </c>
      <c r="AC15">
        <v>5</v>
      </c>
      <c r="AD15">
        <v>5</v>
      </c>
      <c r="AE15">
        <v>5</v>
      </c>
      <c r="AG15" s="14">
        <v>2</v>
      </c>
      <c r="AH15" s="14">
        <v>6</v>
      </c>
      <c r="AI15" s="14">
        <v>1</v>
      </c>
      <c r="AJ15" s="18">
        <f t="shared" si="2"/>
        <v>50</v>
      </c>
      <c r="AK15" s="14" t="s">
        <v>414</v>
      </c>
      <c r="AL15" s="18">
        <f t="shared" si="4"/>
        <v>720</v>
      </c>
      <c r="AM15" s="14" t="s">
        <v>455</v>
      </c>
      <c r="AN15" s="18">
        <f t="shared" si="5"/>
        <v>540</v>
      </c>
      <c r="AO15" s="14" t="s">
        <v>463</v>
      </c>
      <c r="AP15" s="18"/>
      <c r="AQ15" s="14"/>
      <c r="AR15" s="14"/>
      <c r="AS15" s="14"/>
      <c r="AT15" s="14"/>
      <c r="AZ15">
        <v>60</v>
      </c>
      <c r="BA15">
        <v>60</v>
      </c>
      <c r="BB15">
        <v>3</v>
      </c>
      <c r="BC15">
        <v>3</v>
      </c>
      <c r="BD15">
        <v>3</v>
      </c>
      <c r="BE15">
        <v>3</v>
      </c>
    </row>
    <row r="16" spans="1:57" ht="17.25" x14ac:dyDescent="0.2">
      <c r="A16" s="14">
        <v>2</v>
      </c>
      <c r="B16" s="14">
        <v>7</v>
      </c>
      <c r="C16" s="14">
        <v>0</v>
      </c>
      <c r="D16" s="18">
        <f t="shared" si="3"/>
        <v>45</v>
      </c>
      <c r="E16" s="14" t="s">
        <v>414</v>
      </c>
      <c r="F16" s="18">
        <f t="shared" si="0"/>
        <v>360</v>
      </c>
      <c r="G16" s="14" t="s">
        <v>454</v>
      </c>
      <c r="H16" s="18">
        <f t="shared" si="1"/>
        <v>360</v>
      </c>
      <c r="I16" s="14"/>
      <c r="J16" s="18"/>
      <c r="K16" s="14"/>
      <c r="L16" s="18"/>
      <c r="M16" s="14"/>
      <c r="N16" s="18"/>
      <c r="O16" s="14"/>
      <c r="P16" s="18"/>
      <c r="Q16" s="14"/>
      <c r="R16" s="18"/>
      <c r="S16" s="14"/>
      <c r="T16" s="18"/>
      <c r="W16" s="13" t="s">
        <v>416</v>
      </c>
      <c r="X16" s="13" t="s">
        <v>446</v>
      </c>
      <c r="Y16" s="13" t="s">
        <v>448</v>
      </c>
      <c r="Z16" s="13" t="s">
        <v>414</v>
      </c>
      <c r="AA16" s="13" t="s">
        <v>457</v>
      </c>
      <c r="AB16" s="13" t="s">
        <v>821</v>
      </c>
      <c r="AC16" s="13" t="s">
        <v>822</v>
      </c>
      <c r="AD16" s="13" t="s">
        <v>823</v>
      </c>
      <c r="AE16" s="13" t="s">
        <v>824</v>
      </c>
      <c r="AG16" s="14">
        <v>2</v>
      </c>
      <c r="AH16" s="14">
        <v>7</v>
      </c>
      <c r="AI16" s="14">
        <v>0</v>
      </c>
      <c r="AJ16" s="18">
        <f t="shared" si="2"/>
        <v>50</v>
      </c>
      <c r="AK16" s="14" t="s">
        <v>414</v>
      </c>
      <c r="AL16" s="18">
        <f t="shared" si="4"/>
        <v>720</v>
      </c>
      <c r="AM16" s="14" t="s">
        <v>454</v>
      </c>
      <c r="AN16" s="18">
        <f t="shared" si="5"/>
        <v>540</v>
      </c>
      <c r="AO16" s="14" t="s">
        <v>462</v>
      </c>
      <c r="AP16" s="18"/>
      <c r="AQ16" s="14"/>
      <c r="AR16" s="14"/>
      <c r="AS16" s="14"/>
      <c r="AT16" s="14"/>
      <c r="AW16" s="13" t="s">
        <v>416</v>
      </c>
      <c r="AX16" s="13" t="s">
        <v>446</v>
      </c>
      <c r="AY16" s="13" t="s">
        <v>448</v>
      </c>
      <c r="AZ16" s="13" t="s">
        <v>414</v>
      </c>
      <c r="BA16" s="13" t="s">
        <v>457</v>
      </c>
      <c r="BB16" s="13" t="s">
        <v>829</v>
      </c>
      <c r="BC16" s="13" t="s">
        <v>830</v>
      </c>
      <c r="BD16" s="13" t="s">
        <v>831</v>
      </c>
      <c r="BE16" s="13" t="s">
        <v>832</v>
      </c>
    </row>
    <row r="17" spans="1:60" ht="16.5" x14ac:dyDescent="0.2">
      <c r="A17" s="14">
        <v>2</v>
      </c>
      <c r="B17" s="14">
        <v>8</v>
      </c>
      <c r="C17" s="14">
        <v>0</v>
      </c>
      <c r="D17" s="18">
        <f t="shared" si="3"/>
        <v>45</v>
      </c>
      <c r="E17" s="14" t="s">
        <v>414</v>
      </c>
      <c r="F17" s="18">
        <f t="shared" si="0"/>
        <v>360</v>
      </c>
      <c r="G17" s="14" t="s">
        <v>455</v>
      </c>
      <c r="H17" s="18">
        <f t="shared" si="1"/>
        <v>360</v>
      </c>
      <c r="I17" s="14"/>
      <c r="J17" s="18"/>
      <c r="K17" s="14"/>
      <c r="L17" s="18"/>
      <c r="M17" s="14"/>
      <c r="N17" s="18"/>
      <c r="O17" s="14"/>
      <c r="P17" s="18"/>
      <c r="Q17" s="14"/>
      <c r="R17" s="18"/>
      <c r="S17" s="14"/>
      <c r="T17" s="18"/>
      <c r="W17" s="14">
        <v>1</v>
      </c>
      <c r="X17" s="14"/>
      <c r="Y17" s="14"/>
      <c r="Z17" s="18">
        <f>游戏节奏!V4*Z$15</f>
        <v>150</v>
      </c>
      <c r="AA17" s="18">
        <f>游戏节奏!W4*AA$15</f>
        <v>150</v>
      </c>
      <c r="AB17" s="18">
        <f>INDEX(挂机派遣!C$5:C$14,章节!$W4)*挂机派遣!C$2*AB$15</f>
        <v>0</v>
      </c>
      <c r="AC17" s="18">
        <f>INDEX(挂机派遣!D$5:D$14,章节!$W4)*挂机派遣!D$2*AC$15</f>
        <v>0</v>
      </c>
      <c r="AD17" s="18">
        <f>INDEX(挂机派遣!E$5:E$14,章节!$W4)*挂机派遣!E$2*AD$15</f>
        <v>0</v>
      </c>
      <c r="AE17" s="18">
        <f>INDEX(挂机派遣!F$5:F$14,章节!$W4)*挂机派遣!F$2*AE$15</f>
        <v>0</v>
      </c>
      <c r="AG17" s="14">
        <v>2</v>
      </c>
      <c r="AH17" s="14">
        <v>8</v>
      </c>
      <c r="AI17" s="14">
        <v>0</v>
      </c>
      <c r="AJ17" s="18">
        <f t="shared" si="2"/>
        <v>50</v>
      </c>
      <c r="AK17" s="14" t="s">
        <v>414</v>
      </c>
      <c r="AL17" s="18">
        <f t="shared" si="4"/>
        <v>720</v>
      </c>
      <c r="AM17" s="14" t="s">
        <v>455</v>
      </c>
      <c r="AN17" s="18">
        <f t="shared" si="5"/>
        <v>540</v>
      </c>
      <c r="AO17" s="14" t="s">
        <v>463</v>
      </c>
      <c r="AP17" s="18"/>
      <c r="AQ17" s="14"/>
      <c r="AR17" s="14"/>
      <c r="AS17" s="14"/>
      <c r="AT17" s="14"/>
      <c r="AW17" s="14">
        <v>1</v>
      </c>
      <c r="AX17" s="14"/>
      <c r="AY17" s="14"/>
      <c r="AZ17" s="18">
        <f>游戏节奏!W4*AZ$15</f>
        <v>300</v>
      </c>
      <c r="BA17" s="18">
        <f>游戏节奏!V4*BA$15</f>
        <v>300</v>
      </c>
      <c r="BB17" s="18">
        <f>INDEX(挂机派遣!G$5:G$14,章节!$AW17)*挂机派遣!G$2*BB$15</f>
        <v>0</v>
      </c>
      <c r="BC17" s="18">
        <f>INDEX(挂机派遣!H$5:H$14,章节!$AW17)*挂机派遣!H$2*BC$15</f>
        <v>0</v>
      </c>
      <c r="BD17" s="18">
        <f>INDEX(挂机派遣!I$5:I$14,章节!$AW17)*挂机派遣!I$2*BD$15</f>
        <v>0</v>
      </c>
      <c r="BE17" s="18">
        <f>INDEX(挂机派遣!J$5:J$14,章节!$AW17)*挂机派遣!J$2*BE$15</f>
        <v>0</v>
      </c>
      <c r="BG17">
        <f>AZ17/2</f>
        <v>150</v>
      </c>
      <c r="BH17">
        <f>BG17*3</f>
        <v>450</v>
      </c>
    </row>
    <row r="18" spans="1:60" ht="16.5" x14ac:dyDescent="0.2">
      <c r="A18" s="14">
        <v>2</v>
      </c>
      <c r="B18" s="14">
        <v>9</v>
      </c>
      <c r="C18" s="14">
        <v>1</v>
      </c>
      <c r="D18" s="18">
        <f t="shared" si="3"/>
        <v>45</v>
      </c>
      <c r="E18" s="14" t="s">
        <v>414</v>
      </c>
      <c r="F18" s="18">
        <f t="shared" si="0"/>
        <v>360</v>
      </c>
      <c r="G18" s="14" t="s">
        <v>455</v>
      </c>
      <c r="H18" s="18">
        <f t="shared" si="1"/>
        <v>360</v>
      </c>
      <c r="I18" s="14"/>
      <c r="J18" s="18"/>
      <c r="K18" s="14"/>
      <c r="L18" s="18"/>
      <c r="M18" s="14" t="s">
        <v>816</v>
      </c>
      <c r="N18" s="18">
        <f>INDEX($Z$17:$AE$26,章节!$A18,MATCH(M18,$Z$16:$AE$16,0))</f>
        <v>180</v>
      </c>
      <c r="O18" s="14" t="s">
        <v>826</v>
      </c>
      <c r="P18" s="18">
        <f>INDEX($Z$17:$AE$26,章节!$A18,MATCH(O18,$Z$16:$AE$16,0))</f>
        <v>180</v>
      </c>
      <c r="Q18" s="14"/>
      <c r="R18" s="18"/>
      <c r="S18" s="14"/>
      <c r="T18" s="18"/>
      <c r="W18" s="14">
        <v>2</v>
      </c>
      <c r="X18" s="14"/>
      <c r="Y18" s="14"/>
      <c r="Z18" s="18">
        <f>游戏节奏!V5*Z$15</f>
        <v>180</v>
      </c>
      <c r="AA18" s="18">
        <f>游戏节奏!W5*AA$15</f>
        <v>180</v>
      </c>
      <c r="AB18" s="18">
        <f>INDEX(挂机派遣!C$5:C$14,章节!$W5)*挂机派遣!C$2*AB$15</f>
        <v>2.5</v>
      </c>
      <c r="AC18" s="18">
        <f>INDEX(挂机派遣!D$5:D$14,章节!$W5)*挂机派遣!D$2*AC$15</f>
        <v>0</v>
      </c>
      <c r="AD18" s="18">
        <f>INDEX(挂机派遣!E$5:E$14,章节!$W5)*挂机派遣!E$2*AD$15</f>
        <v>0</v>
      </c>
      <c r="AE18" s="18">
        <f>INDEX(挂机派遣!F$5:F$14,章节!$W5)*挂机派遣!F$2*AE$15</f>
        <v>0</v>
      </c>
      <c r="AG18" s="14">
        <v>2</v>
      </c>
      <c r="AH18" s="14">
        <v>9</v>
      </c>
      <c r="AI18" s="14">
        <v>1</v>
      </c>
      <c r="AJ18" s="18">
        <f t="shared" si="2"/>
        <v>50</v>
      </c>
      <c r="AK18" s="14" t="s">
        <v>414</v>
      </c>
      <c r="AL18" s="18">
        <f t="shared" si="4"/>
        <v>720</v>
      </c>
      <c r="AM18" s="14" t="s">
        <v>455</v>
      </c>
      <c r="AN18" s="18">
        <f t="shared" si="5"/>
        <v>540</v>
      </c>
      <c r="AO18" s="14" t="s">
        <v>462</v>
      </c>
      <c r="AP18" s="18"/>
      <c r="AQ18" s="14"/>
      <c r="AR18" s="14"/>
      <c r="AS18" s="14"/>
      <c r="AT18" s="14"/>
      <c r="AW18" s="14">
        <v>2</v>
      </c>
      <c r="AX18" s="14"/>
      <c r="AY18" s="14"/>
      <c r="AZ18" s="18">
        <f>游戏节奏!W5*AZ$15</f>
        <v>360</v>
      </c>
      <c r="BA18" s="18">
        <f>游戏节奏!V5*BA$15</f>
        <v>360</v>
      </c>
      <c r="BB18" s="18">
        <f>INDEX(挂机派遣!G$5:G$14,章节!$AW18)*挂机派遣!G$2*BB$15</f>
        <v>0</v>
      </c>
      <c r="BC18" s="18">
        <f>INDEX(挂机派遣!H$5:H$14,章节!$AW18)*挂机派遣!H$2*BC$15</f>
        <v>0</v>
      </c>
      <c r="BD18" s="18">
        <f>INDEX(挂机派遣!I$5:I$14,章节!$AW18)*挂机派遣!I$2*BD$15</f>
        <v>0</v>
      </c>
      <c r="BE18" s="18">
        <f>INDEX(挂机派遣!J$5:J$14,章节!$AW18)*挂机派遣!J$2*BE$15</f>
        <v>0</v>
      </c>
      <c r="BG18">
        <f t="shared" ref="BG18:BG26" si="6">AZ18/2</f>
        <v>180</v>
      </c>
      <c r="BH18">
        <f t="shared" ref="BH18:BH26" si="7">BG18*3</f>
        <v>540</v>
      </c>
    </row>
    <row r="19" spans="1:60" ht="16.5" x14ac:dyDescent="0.2">
      <c r="A19" s="14">
        <v>3</v>
      </c>
      <c r="B19" s="14">
        <v>1</v>
      </c>
      <c r="C19" s="14">
        <v>0</v>
      </c>
      <c r="D19" s="18">
        <f t="shared" si="3"/>
        <v>40</v>
      </c>
      <c r="E19" s="14" t="s">
        <v>414</v>
      </c>
      <c r="F19" s="18">
        <f t="shared" si="0"/>
        <v>480</v>
      </c>
      <c r="G19" s="14" t="s">
        <v>454</v>
      </c>
      <c r="H19" s="18">
        <f t="shared" si="1"/>
        <v>420</v>
      </c>
      <c r="I19" s="14"/>
      <c r="J19" s="18"/>
      <c r="K19" s="14"/>
      <c r="L19" s="18"/>
      <c r="M19" s="14"/>
      <c r="N19" s="18"/>
      <c r="O19" s="14"/>
      <c r="P19" s="18"/>
      <c r="Q19" s="14"/>
      <c r="R19" s="18"/>
      <c r="S19" s="14"/>
      <c r="T19" s="18"/>
      <c r="W19" s="14">
        <v>3</v>
      </c>
      <c r="X19" s="14"/>
      <c r="Y19" s="14"/>
      <c r="Z19" s="18">
        <f>游戏节奏!V6*Z$15</f>
        <v>210</v>
      </c>
      <c r="AA19" s="18">
        <f>游戏节奏!W6*AA$15</f>
        <v>240</v>
      </c>
      <c r="AB19" s="18">
        <f>INDEX(挂机派遣!C$5:C$14,章节!$W6)*挂机派遣!C$2*AB$15</f>
        <v>5</v>
      </c>
      <c r="AC19" s="18">
        <f>INDEX(挂机派遣!D$5:D$14,章节!$W6)*挂机派遣!D$2*AC$15</f>
        <v>0</v>
      </c>
      <c r="AD19" s="18">
        <f>INDEX(挂机派遣!E$5:E$14,章节!$W6)*挂机派遣!E$2*AD$15</f>
        <v>0</v>
      </c>
      <c r="AE19" s="18">
        <f>INDEX(挂机派遣!F$5:F$14,章节!$W6)*挂机派遣!F$2*AE$15</f>
        <v>0</v>
      </c>
      <c r="AG19" s="14">
        <v>3</v>
      </c>
      <c r="AH19" s="14">
        <v>1</v>
      </c>
      <c r="AI19" s="14">
        <v>0</v>
      </c>
      <c r="AJ19" s="18">
        <f t="shared" si="2"/>
        <v>50</v>
      </c>
      <c r="AK19" s="14" t="s">
        <v>414</v>
      </c>
      <c r="AL19" s="18">
        <f t="shared" si="4"/>
        <v>960</v>
      </c>
      <c r="AM19" s="14" t="s">
        <v>454</v>
      </c>
      <c r="AN19" s="18">
        <f t="shared" si="5"/>
        <v>630</v>
      </c>
      <c r="AO19" s="14" t="s">
        <v>463</v>
      </c>
      <c r="AP19" s="18"/>
      <c r="AQ19" s="14"/>
      <c r="AR19" s="14"/>
      <c r="AS19" s="14"/>
      <c r="AT19" s="14"/>
      <c r="AW19" s="14">
        <v>3</v>
      </c>
      <c r="AX19" s="14"/>
      <c r="AY19" s="14"/>
      <c r="AZ19" s="18">
        <f>游戏节奏!W6*AZ$15</f>
        <v>480</v>
      </c>
      <c r="BA19" s="18">
        <f>游戏节奏!V6*BA$15</f>
        <v>420</v>
      </c>
      <c r="BB19" s="18">
        <f>INDEX(挂机派遣!G$5:G$14,章节!$AW19)*挂机派遣!G$2*BB$15</f>
        <v>1.5</v>
      </c>
      <c r="BC19" s="18">
        <f>INDEX(挂机派遣!H$5:H$14,章节!$AW19)*挂机派遣!H$2*BC$15</f>
        <v>0</v>
      </c>
      <c r="BD19" s="18">
        <f>INDEX(挂机派遣!I$5:I$14,章节!$AW19)*挂机派遣!I$2*BD$15</f>
        <v>0</v>
      </c>
      <c r="BE19" s="18">
        <f>INDEX(挂机派遣!J$5:J$14,章节!$AW19)*挂机派遣!J$2*BE$15</f>
        <v>0</v>
      </c>
      <c r="BG19">
        <f t="shared" si="6"/>
        <v>240</v>
      </c>
      <c r="BH19">
        <f t="shared" si="7"/>
        <v>720</v>
      </c>
    </row>
    <row r="20" spans="1:60" ht="16.5" x14ac:dyDescent="0.2">
      <c r="A20" s="14">
        <v>3</v>
      </c>
      <c r="B20" s="14">
        <v>2</v>
      </c>
      <c r="C20" s="14">
        <v>0</v>
      </c>
      <c r="D20" s="18">
        <f t="shared" si="3"/>
        <v>40</v>
      </c>
      <c r="E20" s="14" t="s">
        <v>414</v>
      </c>
      <c r="F20" s="18">
        <f t="shared" si="0"/>
        <v>480</v>
      </c>
      <c r="G20" s="14" t="s">
        <v>455</v>
      </c>
      <c r="H20" s="18">
        <f t="shared" si="1"/>
        <v>420</v>
      </c>
      <c r="I20" s="14"/>
      <c r="J20" s="18"/>
      <c r="K20" s="14"/>
      <c r="L20" s="18"/>
      <c r="M20" s="14"/>
      <c r="N20" s="18"/>
      <c r="O20" s="14"/>
      <c r="P20" s="18"/>
      <c r="Q20" s="14"/>
      <c r="R20" s="18"/>
      <c r="S20" s="14"/>
      <c r="T20" s="18"/>
      <c r="W20" s="14">
        <v>4</v>
      </c>
      <c r="X20" s="14"/>
      <c r="Y20" s="14"/>
      <c r="Z20" s="18">
        <f>游戏节奏!V7*Z$15</f>
        <v>270</v>
      </c>
      <c r="AA20" s="18">
        <f>游戏节奏!W7*AA$15</f>
        <v>270</v>
      </c>
      <c r="AB20" s="18">
        <f>INDEX(挂机派遣!C$5:C$14,章节!$W7)*挂机派遣!C$2*AB$15</f>
        <v>5</v>
      </c>
      <c r="AC20" s="18">
        <f>INDEX(挂机派遣!D$5:D$14,章节!$W7)*挂机派遣!D$2*AC$15</f>
        <v>1.25</v>
      </c>
      <c r="AD20" s="18">
        <f>INDEX(挂机派遣!E$5:E$14,章节!$W7)*挂机派遣!E$2*AD$15</f>
        <v>0</v>
      </c>
      <c r="AE20" s="18">
        <f>INDEX(挂机派遣!F$5:F$14,章节!$W7)*挂机派遣!F$2*AE$15</f>
        <v>0</v>
      </c>
      <c r="AG20" s="14">
        <v>3</v>
      </c>
      <c r="AH20" s="14">
        <v>2</v>
      </c>
      <c r="AI20" s="14">
        <v>0</v>
      </c>
      <c r="AJ20" s="18">
        <f t="shared" si="2"/>
        <v>50</v>
      </c>
      <c r="AK20" s="14" t="s">
        <v>414</v>
      </c>
      <c r="AL20" s="18">
        <f t="shared" si="4"/>
        <v>960</v>
      </c>
      <c r="AM20" s="14" t="s">
        <v>455</v>
      </c>
      <c r="AN20" s="18">
        <f t="shared" si="5"/>
        <v>630</v>
      </c>
      <c r="AO20" s="14" t="s">
        <v>462</v>
      </c>
      <c r="AP20" s="18"/>
      <c r="AQ20" s="14"/>
      <c r="AR20" s="14"/>
      <c r="AS20" s="14"/>
      <c r="AT20" s="14"/>
      <c r="AW20" s="14">
        <v>4</v>
      </c>
      <c r="AX20" s="14"/>
      <c r="AY20" s="14"/>
      <c r="AZ20" s="18">
        <f>游戏节奏!W7*AZ$15</f>
        <v>540</v>
      </c>
      <c r="BA20" s="18">
        <f>游戏节奏!V7*BA$15</f>
        <v>540</v>
      </c>
      <c r="BB20" s="18">
        <f>INDEX(挂机派遣!G$5:G$14,章节!$AW20)*挂机派遣!G$2*BB$15</f>
        <v>3</v>
      </c>
      <c r="BC20" s="18">
        <f>INDEX(挂机派遣!H$5:H$14,章节!$AW20)*挂机派遣!H$2*BC$15</f>
        <v>0</v>
      </c>
      <c r="BD20" s="18">
        <f>INDEX(挂机派遣!I$5:I$14,章节!$AW20)*挂机派遣!I$2*BD$15</f>
        <v>0</v>
      </c>
      <c r="BE20" s="18">
        <f>INDEX(挂机派遣!J$5:J$14,章节!$AW20)*挂机派遣!J$2*BE$15</f>
        <v>0</v>
      </c>
      <c r="BG20">
        <f t="shared" si="6"/>
        <v>270</v>
      </c>
      <c r="BH20">
        <f t="shared" si="7"/>
        <v>810</v>
      </c>
    </row>
    <row r="21" spans="1:60" ht="16.5" x14ac:dyDescent="0.2">
      <c r="A21" s="14">
        <v>3</v>
      </c>
      <c r="B21" s="14">
        <v>3</v>
      </c>
      <c r="C21" s="14">
        <v>1</v>
      </c>
      <c r="D21" s="18">
        <f t="shared" si="3"/>
        <v>40</v>
      </c>
      <c r="E21" s="14" t="s">
        <v>414</v>
      </c>
      <c r="F21" s="18">
        <f t="shared" si="0"/>
        <v>480</v>
      </c>
      <c r="G21" s="14" t="s">
        <v>454</v>
      </c>
      <c r="H21" s="18">
        <f t="shared" si="1"/>
        <v>420</v>
      </c>
      <c r="I21" s="14"/>
      <c r="J21" s="18"/>
      <c r="K21" s="14"/>
      <c r="L21" s="18"/>
      <c r="M21" s="14" t="s">
        <v>816</v>
      </c>
      <c r="N21" s="18">
        <f>INDEX($Z$17:$AE$26,章节!$A21,MATCH(M21,$Z$16:$AE$16,0))</f>
        <v>210</v>
      </c>
      <c r="O21" s="14" t="s">
        <v>826</v>
      </c>
      <c r="P21" s="18">
        <f>INDEX($Z$17:$AE$26,章节!$A21,MATCH(O21,$Z$16:$AE$16,0))</f>
        <v>240</v>
      </c>
      <c r="Q21" s="14"/>
      <c r="R21" s="18"/>
      <c r="S21" s="14"/>
      <c r="T21" s="18"/>
      <c r="W21" s="14">
        <v>5</v>
      </c>
      <c r="X21" s="14"/>
      <c r="Y21" s="14"/>
      <c r="Z21" s="18">
        <f>游戏节奏!V8*Z$15</f>
        <v>330</v>
      </c>
      <c r="AA21" s="18">
        <f>游戏节奏!W8*AA$15</f>
        <v>300</v>
      </c>
      <c r="AB21" s="18">
        <f>INDEX(挂机派遣!C$5:C$14,章节!$W8)*挂机派遣!C$2*AB$15</f>
        <v>2.5</v>
      </c>
      <c r="AC21" s="18">
        <f>INDEX(挂机派遣!D$5:D$14,章节!$W8)*挂机派遣!D$2*AC$15</f>
        <v>2.5</v>
      </c>
      <c r="AD21" s="18">
        <f>INDEX(挂机派遣!E$5:E$14,章节!$W8)*挂机派遣!E$2*AD$15</f>
        <v>0</v>
      </c>
      <c r="AE21" s="18">
        <f>INDEX(挂机派遣!F$5:F$14,章节!$W8)*挂机派遣!F$2*AE$15</f>
        <v>0</v>
      </c>
      <c r="AG21" s="14">
        <v>3</v>
      </c>
      <c r="AH21" s="14">
        <v>3</v>
      </c>
      <c r="AI21" s="14">
        <v>1</v>
      </c>
      <c r="AJ21" s="18">
        <f t="shared" si="2"/>
        <v>50</v>
      </c>
      <c r="AK21" s="14" t="s">
        <v>414</v>
      </c>
      <c r="AL21" s="18">
        <f t="shared" si="4"/>
        <v>960</v>
      </c>
      <c r="AM21" s="14" t="s">
        <v>454</v>
      </c>
      <c r="AN21" s="18">
        <f t="shared" si="5"/>
        <v>630</v>
      </c>
      <c r="AO21" s="14" t="s">
        <v>463</v>
      </c>
      <c r="AP21" s="18"/>
      <c r="AQ21" s="14"/>
      <c r="AR21" s="14"/>
      <c r="AS21" s="14"/>
      <c r="AT21" s="14"/>
      <c r="AW21" s="14">
        <v>5</v>
      </c>
      <c r="AX21" s="14"/>
      <c r="AY21" s="14"/>
      <c r="AZ21" s="18">
        <f>游戏节奏!W8*AZ$15</f>
        <v>600</v>
      </c>
      <c r="BA21" s="18">
        <f>游戏节奏!V8*BA$15</f>
        <v>660</v>
      </c>
      <c r="BB21" s="18">
        <f>INDEX(挂机派遣!G$5:G$14,章节!$AW21)*挂机派遣!G$2*BB$15</f>
        <v>3</v>
      </c>
      <c r="BC21" s="18">
        <f>INDEX(挂机派遣!H$5:H$14,章节!$AW21)*挂机派遣!H$2*BC$15</f>
        <v>0.75</v>
      </c>
      <c r="BD21" s="18">
        <f>INDEX(挂机派遣!I$5:I$14,章节!$AW21)*挂机派遣!I$2*BD$15</f>
        <v>0</v>
      </c>
      <c r="BE21" s="18">
        <f>INDEX(挂机派遣!J$5:J$14,章节!$AW21)*挂机派遣!J$2*BE$15</f>
        <v>0</v>
      </c>
      <c r="BG21">
        <f t="shared" si="6"/>
        <v>300</v>
      </c>
      <c r="BH21">
        <f t="shared" si="7"/>
        <v>900</v>
      </c>
    </row>
    <row r="22" spans="1:60" ht="16.5" x14ac:dyDescent="0.2">
      <c r="A22" s="14">
        <v>3</v>
      </c>
      <c r="B22" s="14">
        <v>4</v>
      </c>
      <c r="C22" s="14">
        <v>0</v>
      </c>
      <c r="D22" s="18">
        <f t="shared" si="3"/>
        <v>40</v>
      </c>
      <c r="E22" s="14" t="s">
        <v>414</v>
      </c>
      <c r="F22" s="18">
        <f t="shared" si="0"/>
        <v>480</v>
      </c>
      <c r="G22" s="14" t="s">
        <v>455</v>
      </c>
      <c r="H22" s="18">
        <f t="shared" si="1"/>
        <v>420</v>
      </c>
      <c r="I22" s="14"/>
      <c r="J22" s="18"/>
      <c r="K22" s="14"/>
      <c r="L22" s="18"/>
      <c r="M22" s="14"/>
      <c r="N22" s="18"/>
      <c r="O22" s="14"/>
      <c r="P22" s="18"/>
      <c r="Q22" s="14"/>
      <c r="R22" s="18"/>
      <c r="S22" s="14"/>
      <c r="T22" s="18"/>
      <c r="W22" s="14">
        <v>6</v>
      </c>
      <c r="X22" s="14"/>
      <c r="Y22" s="14"/>
      <c r="Z22" s="18">
        <f>游戏节奏!V9*Z$15</f>
        <v>390</v>
      </c>
      <c r="AA22" s="18">
        <f>游戏节奏!W9*AA$15</f>
        <v>360</v>
      </c>
      <c r="AB22" s="18">
        <f>INDEX(挂机派遣!C$5:C$14,章节!$W9)*挂机派遣!C$2*AB$15</f>
        <v>0</v>
      </c>
      <c r="AC22" s="18">
        <f>INDEX(挂机派遣!D$5:D$14,章节!$W9)*挂机派遣!D$2*AC$15</f>
        <v>2.5</v>
      </c>
      <c r="AD22" s="18">
        <f>INDEX(挂机派遣!E$5:E$14,章节!$W9)*挂机派遣!E$2*AD$15</f>
        <v>0.75</v>
      </c>
      <c r="AE22" s="18">
        <f>INDEX(挂机派遣!F$5:F$14,章节!$W9)*挂机派遣!F$2*AE$15</f>
        <v>0</v>
      </c>
      <c r="AG22" s="14">
        <v>3</v>
      </c>
      <c r="AH22" s="14">
        <v>4</v>
      </c>
      <c r="AI22" s="14">
        <v>0</v>
      </c>
      <c r="AJ22" s="18">
        <f t="shared" si="2"/>
        <v>50</v>
      </c>
      <c r="AK22" s="14" t="s">
        <v>414</v>
      </c>
      <c r="AL22" s="18">
        <f t="shared" si="4"/>
        <v>960</v>
      </c>
      <c r="AM22" s="14" t="s">
        <v>455</v>
      </c>
      <c r="AN22" s="18">
        <f t="shared" si="5"/>
        <v>630</v>
      </c>
      <c r="AO22" s="14" t="s">
        <v>462</v>
      </c>
      <c r="AP22" s="18"/>
      <c r="AQ22" s="14"/>
      <c r="AR22" s="14"/>
      <c r="AS22" s="14"/>
      <c r="AT22" s="14"/>
      <c r="AW22" s="14">
        <v>6</v>
      </c>
      <c r="AX22" s="14"/>
      <c r="AY22" s="14"/>
      <c r="AZ22" s="18">
        <f>游戏节奏!W9*AZ$15</f>
        <v>720</v>
      </c>
      <c r="BA22" s="18">
        <f>游戏节奏!V9*BA$15</f>
        <v>780</v>
      </c>
      <c r="BB22" s="18">
        <f>INDEX(挂机派遣!G$5:G$14,章节!$AW22)*挂机派遣!G$2*BB$15</f>
        <v>1.5</v>
      </c>
      <c r="BC22" s="18">
        <f>INDEX(挂机派遣!H$5:H$14,章节!$AW22)*挂机派遣!H$2*BC$15</f>
        <v>1.5</v>
      </c>
      <c r="BD22" s="18">
        <f>INDEX(挂机派遣!I$5:I$14,章节!$AW22)*挂机派遣!I$2*BD$15</f>
        <v>0</v>
      </c>
      <c r="BE22" s="18">
        <f>INDEX(挂机派遣!J$5:J$14,章节!$AW22)*挂机派遣!J$2*BE$15</f>
        <v>0</v>
      </c>
      <c r="BG22">
        <f t="shared" si="6"/>
        <v>360</v>
      </c>
      <c r="BH22">
        <f t="shared" si="7"/>
        <v>1080</v>
      </c>
    </row>
    <row r="23" spans="1:60" ht="16.5" x14ac:dyDescent="0.2">
      <c r="A23" s="14">
        <v>3</v>
      </c>
      <c r="B23" s="14">
        <v>5</v>
      </c>
      <c r="C23" s="14">
        <v>0</v>
      </c>
      <c r="D23" s="18">
        <f t="shared" si="3"/>
        <v>40</v>
      </c>
      <c r="E23" s="14" t="s">
        <v>414</v>
      </c>
      <c r="F23" s="18">
        <f t="shared" si="0"/>
        <v>480</v>
      </c>
      <c r="G23" s="14" t="s">
        <v>454</v>
      </c>
      <c r="H23" s="18">
        <f t="shared" si="1"/>
        <v>420</v>
      </c>
      <c r="I23" s="14"/>
      <c r="J23" s="18"/>
      <c r="K23" s="14"/>
      <c r="L23" s="18"/>
      <c r="M23" s="14"/>
      <c r="N23" s="18"/>
      <c r="O23" s="14"/>
      <c r="P23" s="18"/>
      <c r="Q23" s="14"/>
      <c r="R23" s="18"/>
      <c r="S23" s="14"/>
      <c r="T23" s="18"/>
      <c r="W23" s="14">
        <v>7</v>
      </c>
      <c r="X23" s="14"/>
      <c r="Y23" s="14"/>
      <c r="Z23" s="18">
        <f>游戏节奏!V10*Z$15</f>
        <v>450</v>
      </c>
      <c r="AA23" s="18">
        <f>游戏节奏!W10*AA$15</f>
        <v>420</v>
      </c>
      <c r="AB23" s="18">
        <f>INDEX(挂机派遣!C$5:C$14,章节!$W10)*挂机派遣!C$2*AB$15</f>
        <v>0</v>
      </c>
      <c r="AC23" s="18">
        <f>INDEX(挂机派遣!D$5:D$14,章节!$W10)*挂机派遣!D$2*AC$15</f>
        <v>1.25</v>
      </c>
      <c r="AD23" s="18">
        <f>INDEX(挂机派遣!E$5:E$14,章节!$W10)*挂机派遣!E$2*AD$15</f>
        <v>1.5</v>
      </c>
      <c r="AE23" s="18">
        <f>INDEX(挂机派遣!F$5:F$14,章节!$W10)*挂机派遣!F$2*AE$15</f>
        <v>0</v>
      </c>
      <c r="AG23" s="14">
        <v>3</v>
      </c>
      <c r="AH23" s="14">
        <v>5</v>
      </c>
      <c r="AI23" s="14">
        <v>0</v>
      </c>
      <c r="AJ23" s="18">
        <f t="shared" si="2"/>
        <v>50</v>
      </c>
      <c r="AK23" s="14" t="s">
        <v>414</v>
      </c>
      <c r="AL23" s="18">
        <f t="shared" si="4"/>
        <v>960</v>
      </c>
      <c r="AM23" s="14" t="s">
        <v>454</v>
      </c>
      <c r="AN23" s="18">
        <f t="shared" si="5"/>
        <v>630</v>
      </c>
      <c r="AO23" s="14" t="s">
        <v>463</v>
      </c>
      <c r="AP23" s="18"/>
      <c r="AQ23" s="14"/>
      <c r="AR23" s="14"/>
      <c r="AS23" s="14"/>
      <c r="AT23" s="14"/>
      <c r="AW23" s="14">
        <v>7</v>
      </c>
      <c r="AX23" s="14"/>
      <c r="AY23" s="14"/>
      <c r="AZ23" s="18">
        <f>游戏节奏!W10*AZ$15</f>
        <v>840</v>
      </c>
      <c r="BA23" s="18">
        <f>游戏节奏!V10*BA$15</f>
        <v>900</v>
      </c>
      <c r="BB23" s="18">
        <f>INDEX(挂机派遣!G$5:G$14,章节!$AW23)*挂机派遣!G$2*BB$15</f>
        <v>0</v>
      </c>
      <c r="BC23" s="18">
        <f>INDEX(挂机派遣!H$5:H$14,章节!$AW23)*挂机派遣!H$2*BC$15</f>
        <v>1.5</v>
      </c>
      <c r="BD23" s="18">
        <f>INDEX(挂机派遣!I$5:I$14,章节!$AW23)*挂机派遣!I$2*BD$15</f>
        <v>0.30000000000000004</v>
      </c>
      <c r="BE23" s="18">
        <f>INDEX(挂机派遣!J$5:J$14,章节!$AW23)*挂机派遣!J$2*BE$15</f>
        <v>0</v>
      </c>
      <c r="BG23">
        <f t="shared" si="6"/>
        <v>420</v>
      </c>
      <c r="BH23">
        <f t="shared" si="7"/>
        <v>1260</v>
      </c>
    </row>
    <row r="24" spans="1:60" ht="16.5" x14ac:dyDescent="0.2">
      <c r="A24" s="14">
        <v>3</v>
      </c>
      <c r="B24" s="14">
        <v>6</v>
      </c>
      <c r="C24" s="14">
        <v>1</v>
      </c>
      <c r="D24" s="18">
        <f t="shared" si="3"/>
        <v>40</v>
      </c>
      <c r="E24" s="14" t="s">
        <v>414</v>
      </c>
      <c r="F24" s="18">
        <f t="shared" si="0"/>
        <v>480</v>
      </c>
      <c r="G24" s="14" t="s">
        <v>455</v>
      </c>
      <c r="H24" s="18">
        <f t="shared" si="1"/>
        <v>420</v>
      </c>
      <c r="I24" s="14"/>
      <c r="J24" s="18"/>
      <c r="K24" s="14"/>
      <c r="L24" s="18"/>
      <c r="M24" s="14" t="s">
        <v>816</v>
      </c>
      <c r="N24" s="18">
        <f>INDEX($Z$17:$AE$26,章节!$A24,MATCH(M24,$Z$16:$AE$16,0))</f>
        <v>210</v>
      </c>
      <c r="O24" s="14" t="s">
        <v>826</v>
      </c>
      <c r="P24" s="18">
        <f>INDEX($Z$17:$AE$26,章节!$A24,MATCH(O24,$Z$16:$AE$16,0))</f>
        <v>240</v>
      </c>
      <c r="Q24" s="14"/>
      <c r="R24" s="18"/>
      <c r="S24" s="14"/>
      <c r="T24" s="18"/>
      <c r="W24" s="14">
        <v>8</v>
      </c>
      <c r="X24" s="14"/>
      <c r="Y24" s="14"/>
      <c r="Z24" s="18">
        <f>游戏节奏!V11*Z$15</f>
        <v>510</v>
      </c>
      <c r="AA24" s="18">
        <f>游戏节奏!W11*AA$15</f>
        <v>480</v>
      </c>
      <c r="AB24" s="18">
        <f>INDEX(挂机派遣!C$5:C$14,章节!$W11)*挂机派遣!C$2*AB$15</f>
        <v>0</v>
      </c>
      <c r="AC24" s="18">
        <f>INDEX(挂机派遣!D$5:D$14,章节!$W11)*挂机派遣!D$2*AC$15</f>
        <v>0</v>
      </c>
      <c r="AD24" s="18">
        <f>INDEX(挂机派遣!E$5:E$14,章节!$W11)*挂机派遣!E$2*AD$15</f>
        <v>1.5</v>
      </c>
      <c r="AE24" s="18">
        <f>INDEX(挂机派遣!F$5:F$14,章节!$W11)*挂机派遣!F$2*AE$15</f>
        <v>0.5</v>
      </c>
      <c r="AG24" s="14">
        <v>3</v>
      </c>
      <c r="AH24" s="14">
        <v>6</v>
      </c>
      <c r="AI24" s="14">
        <v>1</v>
      </c>
      <c r="AJ24" s="18">
        <f t="shared" si="2"/>
        <v>50</v>
      </c>
      <c r="AK24" s="14" t="s">
        <v>414</v>
      </c>
      <c r="AL24" s="18">
        <f t="shared" si="4"/>
        <v>960</v>
      </c>
      <c r="AM24" s="14" t="s">
        <v>455</v>
      </c>
      <c r="AN24" s="18">
        <f t="shared" si="5"/>
        <v>630</v>
      </c>
      <c r="AO24" s="14" t="s">
        <v>462</v>
      </c>
      <c r="AP24" s="18"/>
      <c r="AQ24" s="14"/>
      <c r="AR24" s="14"/>
      <c r="AS24" s="14"/>
      <c r="AT24" s="14"/>
      <c r="AW24" s="14">
        <v>8</v>
      </c>
      <c r="AX24" s="14"/>
      <c r="AY24" s="14"/>
      <c r="AZ24" s="18">
        <f>游戏节奏!W11*AZ$15</f>
        <v>960</v>
      </c>
      <c r="BA24" s="18">
        <f>游戏节奏!V11*BA$15</f>
        <v>1020</v>
      </c>
      <c r="BB24" s="18">
        <f>INDEX(挂机派遣!G$5:G$14,章节!$AW24)*挂机派遣!G$2*BB$15</f>
        <v>0</v>
      </c>
      <c r="BC24" s="18">
        <f>INDEX(挂机派遣!H$5:H$14,章节!$AW24)*挂机派遣!H$2*BC$15</f>
        <v>0.75</v>
      </c>
      <c r="BD24" s="18">
        <f>INDEX(挂机派遣!I$5:I$14,章节!$AW24)*挂机派遣!I$2*BD$15</f>
        <v>0.60000000000000009</v>
      </c>
      <c r="BE24" s="18">
        <f>INDEX(挂机派遣!J$5:J$14,章节!$AW24)*挂机派遣!J$2*BE$15</f>
        <v>0.15000000000000002</v>
      </c>
      <c r="BG24">
        <f t="shared" si="6"/>
        <v>480</v>
      </c>
      <c r="BH24">
        <f t="shared" si="7"/>
        <v>1440</v>
      </c>
    </row>
    <row r="25" spans="1:60" ht="16.5" x14ac:dyDescent="0.2">
      <c r="A25" s="14">
        <v>3</v>
      </c>
      <c r="B25" s="14">
        <v>7</v>
      </c>
      <c r="C25" s="14">
        <v>0</v>
      </c>
      <c r="D25" s="18">
        <f t="shared" si="3"/>
        <v>40</v>
      </c>
      <c r="E25" s="14" t="s">
        <v>414</v>
      </c>
      <c r="F25" s="18">
        <f t="shared" si="0"/>
        <v>480</v>
      </c>
      <c r="G25" s="14" t="s">
        <v>454</v>
      </c>
      <c r="H25" s="18">
        <f t="shared" si="1"/>
        <v>420</v>
      </c>
      <c r="I25" s="14"/>
      <c r="J25" s="18"/>
      <c r="K25" s="14"/>
      <c r="L25" s="18"/>
      <c r="M25" s="14"/>
      <c r="N25" s="18"/>
      <c r="O25" s="14"/>
      <c r="P25" s="18"/>
      <c r="Q25" s="14"/>
      <c r="R25" s="18"/>
      <c r="S25" s="14"/>
      <c r="T25" s="18"/>
      <c r="W25" s="14">
        <v>9</v>
      </c>
      <c r="X25" s="14"/>
      <c r="Y25" s="14"/>
      <c r="Z25" s="18">
        <f>游戏节奏!V12*Z$15</f>
        <v>570</v>
      </c>
      <c r="AA25" s="18">
        <f>游戏节奏!W12*AA$15</f>
        <v>540</v>
      </c>
      <c r="AB25" s="18">
        <f>INDEX(挂机派遣!C$5:C$14,章节!$W12)*挂机派遣!C$2*AB$15</f>
        <v>0</v>
      </c>
      <c r="AC25" s="18">
        <f>INDEX(挂机派遣!D$5:D$14,章节!$W12)*挂机派遣!D$2*AC$15</f>
        <v>0</v>
      </c>
      <c r="AD25" s="18">
        <f>INDEX(挂机派遣!E$5:E$14,章节!$W12)*挂机派遣!E$2*AD$15</f>
        <v>1.5</v>
      </c>
      <c r="AE25" s="18">
        <f>INDEX(挂机派遣!F$5:F$14,章节!$W12)*挂机派遣!F$2*AE$15</f>
        <v>1</v>
      </c>
      <c r="AG25" s="14">
        <v>3</v>
      </c>
      <c r="AH25" s="14">
        <v>7</v>
      </c>
      <c r="AI25" s="14">
        <v>0</v>
      </c>
      <c r="AJ25" s="18">
        <f t="shared" si="2"/>
        <v>50</v>
      </c>
      <c r="AK25" s="14" t="s">
        <v>414</v>
      </c>
      <c r="AL25" s="18">
        <f t="shared" si="4"/>
        <v>960</v>
      </c>
      <c r="AM25" s="14" t="s">
        <v>454</v>
      </c>
      <c r="AN25" s="18">
        <f t="shared" si="5"/>
        <v>630</v>
      </c>
      <c r="AO25" s="14" t="s">
        <v>463</v>
      </c>
      <c r="AP25" s="18"/>
      <c r="AQ25" s="14"/>
      <c r="AR25" s="14"/>
      <c r="AS25" s="14"/>
      <c r="AT25" s="14"/>
      <c r="AW25" s="14">
        <v>9</v>
      </c>
      <c r="AX25" s="14"/>
      <c r="AY25" s="14"/>
      <c r="AZ25" s="18">
        <f>游戏节奏!W12*AZ$15</f>
        <v>1080</v>
      </c>
      <c r="BA25" s="18">
        <f>游戏节奏!V12*BA$15</f>
        <v>1140</v>
      </c>
      <c r="BB25" s="18">
        <f>INDEX(挂机派遣!G$5:G$14,章节!$AW25)*挂机派遣!G$2*BB$15</f>
        <v>0</v>
      </c>
      <c r="BC25" s="18">
        <f>INDEX(挂机派遣!H$5:H$14,章节!$AW25)*挂机派遣!H$2*BC$15</f>
        <v>0</v>
      </c>
      <c r="BD25" s="18">
        <f>INDEX(挂机派遣!I$5:I$14,章节!$AW25)*挂机派遣!I$2*BD$15</f>
        <v>0.60000000000000009</v>
      </c>
      <c r="BE25" s="18">
        <f>INDEX(挂机派遣!J$5:J$14,章节!$AW25)*挂机派遣!J$2*BE$15</f>
        <v>0.30000000000000004</v>
      </c>
      <c r="BG25">
        <f t="shared" si="6"/>
        <v>540</v>
      </c>
      <c r="BH25">
        <f t="shared" si="7"/>
        <v>1620</v>
      </c>
    </row>
    <row r="26" spans="1:60" ht="16.5" x14ac:dyDescent="0.2">
      <c r="A26" s="14">
        <v>3</v>
      </c>
      <c r="B26" s="14">
        <v>8</v>
      </c>
      <c r="C26" s="14">
        <v>0</v>
      </c>
      <c r="D26" s="18">
        <f t="shared" si="3"/>
        <v>40</v>
      </c>
      <c r="E26" s="14" t="s">
        <v>414</v>
      </c>
      <c r="F26" s="18">
        <f t="shared" si="0"/>
        <v>480</v>
      </c>
      <c r="G26" s="14" t="s">
        <v>455</v>
      </c>
      <c r="H26" s="18">
        <f t="shared" si="1"/>
        <v>420</v>
      </c>
      <c r="I26" s="14"/>
      <c r="J26" s="18"/>
      <c r="K26" s="14"/>
      <c r="L26" s="18"/>
      <c r="M26" s="14"/>
      <c r="N26" s="18"/>
      <c r="O26" s="14"/>
      <c r="P26" s="18"/>
      <c r="Q26" s="14"/>
      <c r="R26" s="18"/>
      <c r="S26" s="14"/>
      <c r="T26" s="18"/>
      <c r="W26" s="14">
        <v>10</v>
      </c>
      <c r="X26" s="14"/>
      <c r="Y26" s="14"/>
      <c r="Z26" s="18">
        <f>游戏节奏!V13*Z$15</f>
        <v>660</v>
      </c>
      <c r="AA26" s="18">
        <f>游戏节奏!W13*AA$15</f>
        <v>600</v>
      </c>
      <c r="AB26" s="18">
        <f>INDEX(挂机派遣!C$5:C$14,章节!$W13)*挂机派遣!C$2*AB$15</f>
        <v>0</v>
      </c>
      <c r="AC26" s="18">
        <f>INDEX(挂机派遣!D$5:D$14,章节!$W13)*挂机派遣!D$2*AC$15</f>
        <v>0</v>
      </c>
      <c r="AD26" s="18">
        <f>INDEX(挂机派遣!E$5:E$14,章节!$W13)*挂机派遣!E$2*AD$15</f>
        <v>1.5</v>
      </c>
      <c r="AE26" s="18">
        <f>INDEX(挂机派遣!F$5:F$14,章节!$W13)*挂机派遣!F$2*AE$15</f>
        <v>1</v>
      </c>
      <c r="AG26" s="14">
        <v>3</v>
      </c>
      <c r="AH26" s="14">
        <v>8</v>
      </c>
      <c r="AI26" s="14">
        <v>0</v>
      </c>
      <c r="AJ26" s="18">
        <f t="shared" si="2"/>
        <v>50</v>
      </c>
      <c r="AK26" s="14" t="s">
        <v>414</v>
      </c>
      <c r="AL26" s="18">
        <f t="shared" si="4"/>
        <v>960</v>
      </c>
      <c r="AM26" s="14" t="s">
        <v>455</v>
      </c>
      <c r="AN26" s="18">
        <f t="shared" si="5"/>
        <v>630</v>
      </c>
      <c r="AO26" s="14" t="s">
        <v>462</v>
      </c>
      <c r="AP26" s="18"/>
      <c r="AQ26" s="14"/>
      <c r="AR26" s="14"/>
      <c r="AS26" s="14"/>
      <c r="AT26" s="14"/>
      <c r="AW26" s="14">
        <v>10</v>
      </c>
      <c r="AX26" s="14"/>
      <c r="AY26" s="14"/>
      <c r="AZ26" s="18">
        <f>游戏节奏!W13*AZ$15</f>
        <v>1200</v>
      </c>
      <c r="BA26" s="18">
        <f>游戏节奏!V13*BA$15</f>
        <v>1320</v>
      </c>
      <c r="BB26" s="18">
        <f>INDEX(挂机派遣!G$5:G$14,章节!$AW26)*挂机派遣!G$2*BB$15</f>
        <v>0</v>
      </c>
      <c r="BC26" s="18">
        <f>INDEX(挂机派遣!H$5:H$14,章节!$AW26)*挂机派遣!H$2*BC$15</f>
        <v>0</v>
      </c>
      <c r="BD26" s="18">
        <f>INDEX(挂机派遣!I$5:I$14,章节!$AW26)*挂机派遣!I$2*BD$15</f>
        <v>0.60000000000000009</v>
      </c>
      <c r="BE26" s="18">
        <f>INDEX(挂机派遣!J$5:J$14,章节!$AW26)*挂机派遣!J$2*BE$15</f>
        <v>0.30000000000000004</v>
      </c>
      <c r="BG26">
        <f t="shared" si="6"/>
        <v>600</v>
      </c>
      <c r="BH26">
        <f t="shared" si="7"/>
        <v>1800</v>
      </c>
    </row>
    <row r="27" spans="1:60" ht="16.5" x14ac:dyDescent="0.2">
      <c r="A27" s="14">
        <v>3</v>
      </c>
      <c r="B27" s="14">
        <v>9</v>
      </c>
      <c r="C27" s="14">
        <v>1</v>
      </c>
      <c r="D27" s="18">
        <f t="shared" si="3"/>
        <v>40</v>
      </c>
      <c r="E27" s="14" t="s">
        <v>414</v>
      </c>
      <c r="F27" s="18">
        <f t="shared" si="0"/>
        <v>480</v>
      </c>
      <c r="G27" s="14" t="s">
        <v>454</v>
      </c>
      <c r="H27" s="18">
        <f t="shared" si="1"/>
        <v>420</v>
      </c>
      <c r="I27" s="14"/>
      <c r="J27" s="18"/>
      <c r="K27" s="14"/>
      <c r="L27" s="18"/>
      <c r="M27" s="14" t="s">
        <v>816</v>
      </c>
      <c r="N27" s="18">
        <f>INDEX($Z$17:$AE$26,章节!$A27,MATCH(M27,$Z$16:$AE$16,0))</f>
        <v>210</v>
      </c>
      <c r="O27" s="14" t="s">
        <v>826</v>
      </c>
      <c r="P27" s="18">
        <f>INDEX($Z$17:$AE$26,章节!$A27,MATCH(O27,$Z$16:$AE$16,0))</f>
        <v>240</v>
      </c>
      <c r="Q27" s="14"/>
      <c r="R27" s="18"/>
      <c r="S27" s="14"/>
      <c r="T27" s="18"/>
      <c r="AG27" s="14">
        <v>3</v>
      </c>
      <c r="AH27" s="14">
        <v>9</v>
      </c>
      <c r="AI27" s="14">
        <v>1</v>
      </c>
      <c r="AJ27" s="18">
        <f t="shared" si="2"/>
        <v>50</v>
      </c>
      <c r="AK27" s="14" t="s">
        <v>414</v>
      </c>
      <c r="AL27" s="18">
        <f t="shared" si="4"/>
        <v>960</v>
      </c>
      <c r="AM27" s="14" t="s">
        <v>454</v>
      </c>
      <c r="AN27" s="18">
        <f t="shared" si="5"/>
        <v>630</v>
      </c>
      <c r="AO27" s="14" t="s">
        <v>463</v>
      </c>
      <c r="AP27" s="18"/>
      <c r="AQ27" s="14"/>
      <c r="AR27" s="14"/>
      <c r="AS27" s="14"/>
      <c r="AT27" s="14"/>
    </row>
    <row r="28" spans="1:60" ht="16.5" x14ac:dyDescent="0.2">
      <c r="A28" s="14">
        <v>3</v>
      </c>
      <c r="B28" s="14">
        <v>10</v>
      </c>
      <c r="C28" s="14">
        <v>0</v>
      </c>
      <c r="D28" s="18">
        <f t="shared" si="3"/>
        <v>40</v>
      </c>
      <c r="E28" s="14" t="s">
        <v>414</v>
      </c>
      <c r="F28" s="18">
        <f t="shared" si="0"/>
        <v>480</v>
      </c>
      <c r="G28" s="14" t="s">
        <v>455</v>
      </c>
      <c r="H28" s="18">
        <f t="shared" si="1"/>
        <v>420</v>
      </c>
      <c r="I28" s="14"/>
      <c r="J28" s="18"/>
      <c r="K28" s="14"/>
      <c r="L28" s="18"/>
      <c r="M28" s="14"/>
      <c r="N28" s="18"/>
      <c r="O28" s="14"/>
      <c r="P28" s="18"/>
      <c r="Q28" s="14"/>
      <c r="R28" s="18"/>
      <c r="S28" s="14"/>
      <c r="T28" s="18"/>
      <c r="AG28" s="14">
        <v>3</v>
      </c>
      <c r="AH28" s="14">
        <v>10</v>
      </c>
      <c r="AI28" s="14">
        <v>0</v>
      </c>
      <c r="AJ28" s="18">
        <f t="shared" si="2"/>
        <v>50</v>
      </c>
      <c r="AK28" s="14" t="s">
        <v>414</v>
      </c>
      <c r="AL28" s="18">
        <f t="shared" si="4"/>
        <v>960</v>
      </c>
      <c r="AM28" s="14" t="s">
        <v>455</v>
      </c>
      <c r="AN28" s="18">
        <f t="shared" si="5"/>
        <v>630</v>
      </c>
      <c r="AO28" s="14" t="s">
        <v>462</v>
      </c>
      <c r="AP28" s="18"/>
      <c r="AQ28" s="14"/>
      <c r="AR28" s="14"/>
      <c r="AS28" s="14"/>
      <c r="AT28" s="14"/>
    </row>
    <row r="29" spans="1:60" ht="16.5" x14ac:dyDescent="0.2">
      <c r="A29" s="14">
        <v>3</v>
      </c>
      <c r="B29" s="14">
        <v>11</v>
      </c>
      <c r="C29" s="14">
        <v>0</v>
      </c>
      <c r="D29" s="18">
        <f t="shared" si="3"/>
        <v>40</v>
      </c>
      <c r="E29" s="14" t="s">
        <v>414</v>
      </c>
      <c r="F29" s="18">
        <f t="shared" si="0"/>
        <v>480</v>
      </c>
      <c r="G29" s="14" t="s">
        <v>454</v>
      </c>
      <c r="H29" s="18">
        <f t="shared" si="1"/>
        <v>420</v>
      </c>
      <c r="I29" s="14"/>
      <c r="J29" s="18"/>
      <c r="K29" s="14"/>
      <c r="L29" s="18"/>
      <c r="M29" s="14"/>
      <c r="N29" s="18"/>
      <c r="O29" s="14"/>
      <c r="P29" s="18"/>
      <c r="Q29" s="14"/>
      <c r="R29" s="18"/>
      <c r="S29" s="14"/>
      <c r="T29" s="18"/>
      <c r="AG29" s="14">
        <v>3</v>
      </c>
      <c r="AH29" s="14">
        <v>11</v>
      </c>
      <c r="AI29" s="14">
        <v>0</v>
      </c>
      <c r="AJ29" s="18">
        <f t="shared" si="2"/>
        <v>50</v>
      </c>
      <c r="AK29" s="14" t="s">
        <v>414</v>
      </c>
      <c r="AL29" s="18">
        <f t="shared" si="4"/>
        <v>960</v>
      </c>
      <c r="AM29" s="14" t="s">
        <v>454</v>
      </c>
      <c r="AN29" s="18">
        <f t="shared" si="5"/>
        <v>630</v>
      </c>
      <c r="AO29" s="14" t="s">
        <v>463</v>
      </c>
      <c r="AP29" s="18"/>
      <c r="AQ29" s="14"/>
      <c r="AR29" s="14"/>
      <c r="AS29" s="14"/>
      <c r="AT29" s="14"/>
    </row>
    <row r="30" spans="1:60" ht="16.5" x14ac:dyDescent="0.2">
      <c r="A30" s="14">
        <v>3</v>
      </c>
      <c r="B30" s="14">
        <v>12</v>
      </c>
      <c r="C30" s="14">
        <v>1</v>
      </c>
      <c r="D30" s="18">
        <f t="shared" si="3"/>
        <v>40</v>
      </c>
      <c r="E30" s="14" t="s">
        <v>414</v>
      </c>
      <c r="F30" s="18">
        <f t="shared" si="0"/>
        <v>480</v>
      </c>
      <c r="G30" s="14" t="s">
        <v>455</v>
      </c>
      <c r="H30" s="18">
        <f t="shared" si="1"/>
        <v>420</v>
      </c>
      <c r="I30" s="14"/>
      <c r="J30" s="18"/>
      <c r="K30" s="14"/>
      <c r="L30" s="18"/>
      <c r="M30" s="14" t="s">
        <v>816</v>
      </c>
      <c r="N30" s="18">
        <f>INDEX($Z$17:$AE$26,章节!$A30,MATCH(M30,$Z$16:$AE$16,0))</f>
        <v>210</v>
      </c>
      <c r="O30" s="14" t="s">
        <v>826</v>
      </c>
      <c r="P30" s="18">
        <f>INDEX($Z$17:$AE$26,章节!$A30,MATCH(O30,$Z$16:$AE$16,0))</f>
        <v>240</v>
      </c>
      <c r="Q30" s="14"/>
      <c r="R30" s="18"/>
      <c r="S30" s="14"/>
      <c r="T30" s="18"/>
      <c r="AG30" s="14">
        <v>3</v>
      </c>
      <c r="AH30" s="14">
        <v>12</v>
      </c>
      <c r="AI30" s="14">
        <v>1</v>
      </c>
      <c r="AJ30" s="18">
        <f t="shared" si="2"/>
        <v>50</v>
      </c>
      <c r="AK30" s="14" t="s">
        <v>414</v>
      </c>
      <c r="AL30" s="18">
        <f t="shared" si="4"/>
        <v>960</v>
      </c>
      <c r="AM30" s="14" t="s">
        <v>455</v>
      </c>
      <c r="AN30" s="18">
        <f t="shared" si="5"/>
        <v>630</v>
      </c>
      <c r="AO30" s="14" t="s">
        <v>462</v>
      </c>
      <c r="AP30" s="18"/>
      <c r="AQ30" s="14"/>
      <c r="AR30" s="14"/>
      <c r="AS30" s="14"/>
      <c r="AT30" s="14"/>
    </row>
    <row r="31" spans="1:60" ht="16.5" x14ac:dyDescent="0.2">
      <c r="A31" s="14">
        <v>3</v>
      </c>
      <c r="B31" s="14">
        <v>13</v>
      </c>
      <c r="C31" s="14">
        <v>0</v>
      </c>
      <c r="D31" s="18">
        <f t="shared" si="3"/>
        <v>40</v>
      </c>
      <c r="E31" s="14" t="s">
        <v>414</v>
      </c>
      <c r="F31" s="18">
        <f t="shared" si="0"/>
        <v>480</v>
      </c>
      <c r="G31" s="14" t="s">
        <v>454</v>
      </c>
      <c r="H31" s="18">
        <f t="shared" si="1"/>
        <v>420</v>
      </c>
      <c r="I31" s="14"/>
      <c r="J31" s="18"/>
      <c r="K31" s="14"/>
      <c r="L31" s="18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13</v>
      </c>
      <c r="AI31" s="14">
        <v>0</v>
      </c>
      <c r="AJ31" s="18">
        <f t="shared" si="2"/>
        <v>50</v>
      </c>
      <c r="AK31" s="14" t="s">
        <v>414</v>
      </c>
      <c r="AL31" s="18">
        <f t="shared" si="4"/>
        <v>960</v>
      </c>
      <c r="AM31" s="14" t="s">
        <v>454</v>
      </c>
      <c r="AN31" s="18">
        <f t="shared" si="5"/>
        <v>630</v>
      </c>
      <c r="AO31" s="14" t="s">
        <v>463</v>
      </c>
      <c r="AP31" s="18"/>
      <c r="AQ31" s="14"/>
      <c r="AR31" s="14"/>
      <c r="AS31" s="14"/>
      <c r="AT31" s="14"/>
    </row>
    <row r="32" spans="1:60" ht="16.5" x14ac:dyDescent="0.2">
      <c r="A32" s="14">
        <v>3</v>
      </c>
      <c r="B32" s="14">
        <v>14</v>
      </c>
      <c r="C32" s="14">
        <v>0</v>
      </c>
      <c r="D32" s="18">
        <f t="shared" si="3"/>
        <v>40</v>
      </c>
      <c r="E32" s="14" t="s">
        <v>414</v>
      </c>
      <c r="F32" s="18">
        <f t="shared" si="0"/>
        <v>480</v>
      </c>
      <c r="G32" s="14" t="s">
        <v>455</v>
      </c>
      <c r="H32" s="18">
        <f t="shared" si="1"/>
        <v>420</v>
      </c>
      <c r="I32" s="14"/>
      <c r="J32" s="18"/>
      <c r="K32" s="14"/>
      <c r="L32" s="18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14</v>
      </c>
      <c r="AI32" s="14">
        <v>0</v>
      </c>
      <c r="AJ32" s="18">
        <f t="shared" si="2"/>
        <v>50</v>
      </c>
      <c r="AK32" s="14" t="s">
        <v>414</v>
      </c>
      <c r="AL32" s="18">
        <f t="shared" si="4"/>
        <v>960</v>
      </c>
      <c r="AM32" s="14" t="s">
        <v>455</v>
      </c>
      <c r="AN32" s="18">
        <f t="shared" si="5"/>
        <v>630</v>
      </c>
      <c r="AO32" s="14" t="s">
        <v>462</v>
      </c>
      <c r="AP32" s="18"/>
      <c r="AQ32" s="14"/>
      <c r="AR32" s="14"/>
      <c r="AS32" s="14"/>
      <c r="AT32" s="14"/>
    </row>
    <row r="33" spans="1:46" ht="16.5" x14ac:dyDescent="0.2">
      <c r="A33" s="14">
        <v>3</v>
      </c>
      <c r="B33" s="14">
        <v>15</v>
      </c>
      <c r="C33" s="14">
        <v>1</v>
      </c>
      <c r="D33" s="18">
        <f t="shared" si="3"/>
        <v>40</v>
      </c>
      <c r="E33" s="14" t="s">
        <v>414</v>
      </c>
      <c r="F33" s="18">
        <f t="shared" si="0"/>
        <v>480</v>
      </c>
      <c r="G33" s="14" t="s">
        <v>455</v>
      </c>
      <c r="H33" s="18">
        <f t="shared" si="1"/>
        <v>420</v>
      </c>
      <c r="I33" s="14"/>
      <c r="J33" s="18"/>
      <c r="K33" s="14"/>
      <c r="L33" s="18"/>
      <c r="M33" s="14" t="s">
        <v>816</v>
      </c>
      <c r="N33" s="18">
        <f>INDEX($Z$17:$AE$26,章节!$A33,MATCH(M33,$Z$16:$AE$16,0))</f>
        <v>210</v>
      </c>
      <c r="O33" s="14" t="s">
        <v>826</v>
      </c>
      <c r="P33" s="18">
        <f>INDEX($Z$17:$AE$26,章节!$A33,MATCH(O33,$Z$16:$AE$16,0))</f>
        <v>240</v>
      </c>
      <c r="Q33" s="14"/>
      <c r="R33" s="18"/>
      <c r="S33" s="14"/>
      <c r="T33" s="18"/>
      <c r="AG33" s="14">
        <v>3</v>
      </c>
      <c r="AH33" s="14">
        <v>15</v>
      </c>
      <c r="AI33" s="14">
        <v>1</v>
      </c>
      <c r="AJ33" s="18">
        <f t="shared" si="2"/>
        <v>50</v>
      </c>
      <c r="AK33" s="14" t="s">
        <v>414</v>
      </c>
      <c r="AL33" s="18">
        <f t="shared" si="4"/>
        <v>960</v>
      </c>
      <c r="AM33" s="14" t="s">
        <v>455</v>
      </c>
      <c r="AN33" s="18">
        <f t="shared" si="5"/>
        <v>630</v>
      </c>
      <c r="AO33" s="14" t="s">
        <v>463</v>
      </c>
      <c r="AP33" s="18"/>
      <c r="AQ33" s="14"/>
      <c r="AR33" s="14"/>
      <c r="AS33" s="14"/>
      <c r="AT33" s="14"/>
    </row>
    <row r="34" spans="1:46" ht="16.5" x14ac:dyDescent="0.2">
      <c r="A34" s="14">
        <v>4</v>
      </c>
      <c r="B34" s="14">
        <v>1</v>
      </c>
      <c r="C34" s="14">
        <v>0</v>
      </c>
      <c r="D34" s="18">
        <f t="shared" si="3"/>
        <v>65</v>
      </c>
      <c r="E34" s="14" t="s">
        <v>414</v>
      </c>
      <c r="F34" s="18">
        <f t="shared" si="0"/>
        <v>540</v>
      </c>
      <c r="G34" s="14" t="s">
        <v>454</v>
      </c>
      <c r="H34" s="18">
        <f t="shared" si="1"/>
        <v>540</v>
      </c>
      <c r="I34" s="14"/>
      <c r="J34" s="18"/>
      <c r="K34" s="14"/>
      <c r="L34" s="18"/>
      <c r="M34" s="14"/>
      <c r="N34" s="18"/>
      <c r="O34" s="14"/>
      <c r="P34" s="18"/>
      <c r="Q34" s="14"/>
      <c r="R34" s="18"/>
      <c r="S34" s="14"/>
      <c r="T34" s="18"/>
      <c r="AG34" s="14">
        <v>4</v>
      </c>
      <c r="AH34" s="14">
        <v>1</v>
      </c>
      <c r="AI34" s="14">
        <v>0</v>
      </c>
      <c r="AJ34" s="18">
        <f t="shared" si="2"/>
        <v>100</v>
      </c>
      <c r="AK34" s="14" t="s">
        <v>414</v>
      </c>
      <c r="AL34" s="18">
        <f t="shared" si="4"/>
        <v>1080</v>
      </c>
      <c r="AM34" s="14" t="s">
        <v>454</v>
      </c>
      <c r="AN34" s="18">
        <f t="shared" si="5"/>
        <v>810</v>
      </c>
      <c r="AO34" s="14" t="s">
        <v>464</v>
      </c>
      <c r="AP34" s="18"/>
      <c r="AQ34" s="14"/>
      <c r="AR34" s="18"/>
      <c r="AS34" s="14"/>
      <c r="AT34" s="14"/>
    </row>
    <row r="35" spans="1:46" ht="16.5" x14ac:dyDescent="0.2">
      <c r="A35" s="14">
        <v>4</v>
      </c>
      <c r="B35" s="14">
        <v>2</v>
      </c>
      <c r="C35" s="14">
        <v>0</v>
      </c>
      <c r="D35" s="18">
        <f t="shared" si="3"/>
        <v>65</v>
      </c>
      <c r="E35" s="14" t="s">
        <v>414</v>
      </c>
      <c r="F35" s="18">
        <f t="shared" si="0"/>
        <v>540</v>
      </c>
      <c r="G35" s="14" t="s">
        <v>455</v>
      </c>
      <c r="H35" s="18">
        <f t="shared" si="1"/>
        <v>540</v>
      </c>
      <c r="I35" s="14"/>
      <c r="J35" s="18"/>
      <c r="K35" s="14"/>
      <c r="L35" s="18"/>
      <c r="M35" s="14"/>
      <c r="N35" s="18"/>
      <c r="O35" s="14"/>
      <c r="P35" s="18"/>
      <c r="Q35" s="14"/>
      <c r="R35" s="18"/>
      <c r="S35" s="14"/>
      <c r="T35" s="18"/>
      <c r="AG35" s="14">
        <v>4</v>
      </c>
      <c r="AH35" s="14">
        <v>2</v>
      </c>
      <c r="AI35" s="14">
        <v>0</v>
      </c>
      <c r="AJ35" s="18">
        <f t="shared" si="2"/>
        <v>100</v>
      </c>
      <c r="AK35" s="14" t="s">
        <v>414</v>
      </c>
      <c r="AL35" s="18">
        <f t="shared" si="4"/>
        <v>1080</v>
      </c>
      <c r="AM35" s="14" t="s">
        <v>455</v>
      </c>
      <c r="AN35" s="18">
        <f t="shared" si="5"/>
        <v>810</v>
      </c>
      <c r="AO35" s="14" t="s">
        <v>465</v>
      </c>
      <c r="AP35" s="18"/>
      <c r="AQ35" s="14"/>
      <c r="AR35" s="18"/>
      <c r="AS35" s="14"/>
      <c r="AT35" s="14"/>
    </row>
    <row r="36" spans="1:46" ht="16.5" x14ac:dyDescent="0.2">
      <c r="A36" s="14">
        <v>4</v>
      </c>
      <c r="B36" s="14">
        <v>3</v>
      </c>
      <c r="C36" s="14">
        <v>1</v>
      </c>
      <c r="D36" s="18">
        <f t="shared" si="3"/>
        <v>65</v>
      </c>
      <c r="E36" s="14" t="s">
        <v>414</v>
      </c>
      <c r="F36" s="18">
        <f t="shared" ref="F36:F67" si="8">INDEX($Z$4:$Z$13,$A36)</f>
        <v>540</v>
      </c>
      <c r="G36" s="14" t="s">
        <v>454</v>
      </c>
      <c r="H36" s="18">
        <f t="shared" ref="H36:H67" si="9">INDEX($AA$4:$AA$13,$A36)</f>
        <v>540</v>
      </c>
      <c r="I36" s="14"/>
      <c r="J36" s="18"/>
      <c r="K36" s="14"/>
      <c r="L36" s="18"/>
      <c r="M36" s="14" t="s">
        <v>816</v>
      </c>
      <c r="N36" s="18">
        <f>INDEX($Z$17:$AE$26,章节!$A36,MATCH(M36,$Z$16:$AE$16,0))</f>
        <v>270</v>
      </c>
      <c r="O36" s="14" t="s">
        <v>826</v>
      </c>
      <c r="P36" s="18">
        <f>INDEX($Z$17:$AE$26,章节!$A36,MATCH(O36,$Z$16:$AE$16,0))</f>
        <v>270</v>
      </c>
      <c r="Q36" s="14"/>
      <c r="R36" s="18"/>
      <c r="S36" s="14"/>
      <c r="T36" s="18"/>
      <c r="AG36" s="14">
        <v>4</v>
      </c>
      <c r="AH36" s="14">
        <v>3</v>
      </c>
      <c r="AI36" s="14">
        <v>1</v>
      </c>
      <c r="AJ36" s="18">
        <f t="shared" ref="AJ36:AJ67" si="10">ROUND(INDEX($AX$4:$AX$13,A36)/INDEX($AY$4:$AY$13,A36)/50,0)*50</f>
        <v>100</v>
      </c>
      <c r="AK36" s="14" t="s">
        <v>414</v>
      </c>
      <c r="AL36" s="18">
        <f t="shared" si="4"/>
        <v>1080</v>
      </c>
      <c r="AM36" s="14" t="s">
        <v>454</v>
      </c>
      <c r="AN36" s="18">
        <f t="shared" si="5"/>
        <v>810</v>
      </c>
      <c r="AO36" s="14" t="s">
        <v>464</v>
      </c>
      <c r="AP36" s="18"/>
      <c r="AQ36" s="14"/>
      <c r="AR36" s="18"/>
      <c r="AS36" s="14"/>
      <c r="AT36" s="14"/>
    </row>
    <row r="37" spans="1:46" ht="16.5" x14ac:dyDescent="0.2">
      <c r="A37" s="14">
        <v>4</v>
      </c>
      <c r="B37" s="14">
        <v>4</v>
      </c>
      <c r="C37" s="14">
        <v>0</v>
      </c>
      <c r="D37" s="18">
        <f t="shared" si="3"/>
        <v>65</v>
      </c>
      <c r="E37" s="14" t="s">
        <v>414</v>
      </c>
      <c r="F37" s="18">
        <f t="shared" si="8"/>
        <v>540</v>
      </c>
      <c r="G37" s="14" t="s">
        <v>455</v>
      </c>
      <c r="H37" s="18">
        <f t="shared" si="9"/>
        <v>540</v>
      </c>
      <c r="I37" s="14"/>
      <c r="J37" s="18"/>
      <c r="K37" s="14"/>
      <c r="L37" s="18"/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4</v>
      </c>
      <c r="AI37" s="14">
        <v>0</v>
      </c>
      <c r="AJ37" s="18">
        <f t="shared" si="10"/>
        <v>100</v>
      </c>
      <c r="AK37" s="14" t="s">
        <v>414</v>
      </c>
      <c r="AL37" s="18">
        <f t="shared" si="4"/>
        <v>1080</v>
      </c>
      <c r="AM37" s="14" t="s">
        <v>455</v>
      </c>
      <c r="AN37" s="18">
        <f t="shared" si="5"/>
        <v>810</v>
      </c>
      <c r="AO37" s="14" t="s">
        <v>465</v>
      </c>
      <c r="AP37" s="18"/>
      <c r="AQ37" s="14"/>
      <c r="AR37" s="18"/>
      <c r="AS37" s="14"/>
      <c r="AT37" s="14"/>
    </row>
    <row r="38" spans="1:46" ht="16.5" x14ac:dyDescent="0.2">
      <c r="A38" s="14">
        <v>4</v>
      </c>
      <c r="B38" s="14">
        <v>5</v>
      </c>
      <c r="C38" s="14">
        <v>0</v>
      </c>
      <c r="D38" s="18">
        <f t="shared" si="3"/>
        <v>65</v>
      </c>
      <c r="E38" s="14" t="s">
        <v>414</v>
      </c>
      <c r="F38" s="18">
        <f t="shared" si="8"/>
        <v>540</v>
      </c>
      <c r="G38" s="14" t="s">
        <v>454</v>
      </c>
      <c r="H38" s="18">
        <f t="shared" si="9"/>
        <v>540</v>
      </c>
      <c r="I38" s="14"/>
      <c r="J38" s="18"/>
      <c r="K38" s="14"/>
      <c r="L38" s="18"/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5</v>
      </c>
      <c r="AI38" s="14">
        <v>0</v>
      </c>
      <c r="AJ38" s="18">
        <f t="shared" si="10"/>
        <v>100</v>
      </c>
      <c r="AK38" s="14" t="s">
        <v>414</v>
      </c>
      <c r="AL38" s="18">
        <f t="shared" si="4"/>
        <v>1080</v>
      </c>
      <c r="AM38" s="14" t="s">
        <v>454</v>
      </c>
      <c r="AN38" s="18">
        <f t="shared" si="5"/>
        <v>810</v>
      </c>
      <c r="AO38" s="14" t="s">
        <v>464</v>
      </c>
      <c r="AP38" s="18"/>
      <c r="AQ38" s="14"/>
      <c r="AR38" s="18"/>
      <c r="AS38" s="14"/>
      <c r="AT38" s="14"/>
    </row>
    <row r="39" spans="1:46" ht="16.5" x14ac:dyDescent="0.2">
      <c r="A39" s="14">
        <v>4</v>
      </c>
      <c r="B39" s="14">
        <v>6</v>
      </c>
      <c r="C39" s="14">
        <v>1</v>
      </c>
      <c r="D39" s="18">
        <f t="shared" si="3"/>
        <v>65</v>
      </c>
      <c r="E39" s="14" t="s">
        <v>414</v>
      </c>
      <c r="F39" s="18">
        <f t="shared" si="8"/>
        <v>540</v>
      </c>
      <c r="G39" s="14" t="s">
        <v>455</v>
      </c>
      <c r="H39" s="18">
        <f t="shared" si="9"/>
        <v>540</v>
      </c>
      <c r="I39" s="14"/>
      <c r="J39" s="18"/>
      <c r="K39" s="14"/>
      <c r="L39" s="18"/>
      <c r="M39" s="14" t="s">
        <v>816</v>
      </c>
      <c r="N39" s="18">
        <f>INDEX($Z$17:$AE$26,章节!$A39,MATCH(M39,$Z$16:$AE$16,0))</f>
        <v>270</v>
      </c>
      <c r="O39" s="14" t="s">
        <v>826</v>
      </c>
      <c r="P39" s="18">
        <f>INDEX($Z$17:$AE$26,章节!$A39,MATCH(O39,$Z$16:$AE$16,0))</f>
        <v>270</v>
      </c>
      <c r="Q39" s="14"/>
      <c r="R39" s="18"/>
      <c r="S39" s="14"/>
      <c r="T39" s="18"/>
      <c r="AG39" s="14">
        <v>4</v>
      </c>
      <c r="AH39" s="14">
        <v>6</v>
      </c>
      <c r="AI39" s="14">
        <v>1</v>
      </c>
      <c r="AJ39" s="18">
        <f t="shared" si="10"/>
        <v>100</v>
      </c>
      <c r="AK39" s="14" t="s">
        <v>414</v>
      </c>
      <c r="AL39" s="18">
        <f t="shared" si="4"/>
        <v>1080</v>
      </c>
      <c r="AM39" s="14" t="s">
        <v>455</v>
      </c>
      <c r="AN39" s="18">
        <f t="shared" si="5"/>
        <v>810</v>
      </c>
      <c r="AO39" s="14" t="s">
        <v>465</v>
      </c>
      <c r="AP39" s="18"/>
      <c r="AQ39" s="14"/>
      <c r="AR39" s="18"/>
      <c r="AS39" s="14"/>
      <c r="AT39" s="14"/>
    </row>
    <row r="40" spans="1:46" ht="16.5" x14ac:dyDescent="0.2">
      <c r="A40" s="14">
        <v>4</v>
      </c>
      <c r="B40" s="14">
        <v>7</v>
      </c>
      <c r="C40" s="14">
        <v>0</v>
      </c>
      <c r="D40" s="18">
        <f t="shared" si="3"/>
        <v>65</v>
      </c>
      <c r="E40" s="14" t="s">
        <v>414</v>
      </c>
      <c r="F40" s="18">
        <f t="shared" si="8"/>
        <v>540</v>
      </c>
      <c r="G40" s="14" t="s">
        <v>454</v>
      </c>
      <c r="H40" s="18">
        <f t="shared" si="9"/>
        <v>540</v>
      </c>
      <c r="I40" s="14"/>
      <c r="J40" s="18"/>
      <c r="K40" s="14"/>
      <c r="L40" s="18"/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7</v>
      </c>
      <c r="AI40" s="14">
        <v>0</v>
      </c>
      <c r="AJ40" s="18">
        <f t="shared" si="10"/>
        <v>100</v>
      </c>
      <c r="AK40" s="14" t="s">
        <v>414</v>
      </c>
      <c r="AL40" s="18">
        <f t="shared" si="4"/>
        <v>1080</v>
      </c>
      <c r="AM40" s="14" t="s">
        <v>454</v>
      </c>
      <c r="AN40" s="18">
        <f t="shared" si="5"/>
        <v>810</v>
      </c>
      <c r="AO40" s="14" t="s">
        <v>464</v>
      </c>
      <c r="AP40" s="18"/>
      <c r="AQ40" s="14"/>
      <c r="AR40" s="18"/>
      <c r="AS40" s="14"/>
      <c r="AT40" s="14"/>
    </row>
    <row r="41" spans="1:46" ht="16.5" x14ac:dyDescent="0.2">
      <c r="A41" s="14">
        <v>4</v>
      </c>
      <c r="B41" s="14">
        <v>8</v>
      </c>
      <c r="C41" s="14">
        <v>0</v>
      </c>
      <c r="D41" s="18">
        <f t="shared" si="3"/>
        <v>65</v>
      </c>
      <c r="E41" s="14" t="s">
        <v>414</v>
      </c>
      <c r="F41" s="18">
        <f t="shared" si="8"/>
        <v>540</v>
      </c>
      <c r="G41" s="14" t="s">
        <v>455</v>
      </c>
      <c r="H41" s="18">
        <f t="shared" si="9"/>
        <v>540</v>
      </c>
      <c r="I41" s="14"/>
      <c r="J41" s="18"/>
      <c r="K41" s="14"/>
      <c r="L41" s="18"/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8</v>
      </c>
      <c r="AI41" s="14">
        <v>0</v>
      </c>
      <c r="AJ41" s="18">
        <f t="shared" si="10"/>
        <v>100</v>
      </c>
      <c r="AK41" s="14" t="s">
        <v>414</v>
      </c>
      <c r="AL41" s="18">
        <f t="shared" si="4"/>
        <v>1080</v>
      </c>
      <c r="AM41" s="14" t="s">
        <v>455</v>
      </c>
      <c r="AN41" s="18">
        <f t="shared" si="5"/>
        <v>810</v>
      </c>
      <c r="AO41" s="14" t="s">
        <v>465</v>
      </c>
      <c r="AP41" s="18"/>
      <c r="AQ41" s="14"/>
      <c r="AR41" s="18"/>
      <c r="AS41" s="14"/>
      <c r="AT41" s="14"/>
    </row>
    <row r="42" spans="1:46" ht="16.5" x14ac:dyDescent="0.2">
      <c r="A42" s="14">
        <v>4</v>
      </c>
      <c r="B42" s="14">
        <v>9</v>
      </c>
      <c r="C42" s="14">
        <v>1</v>
      </c>
      <c r="D42" s="18">
        <f t="shared" si="3"/>
        <v>65</v>
      </c>
      <c r="E42" s="14" t="s">
        <v>414</v>
      </c>
      <c r="F42" s="18">
        <f t="shared" si="8"/>
        <v>540</v>
      </c>
      <c r="G42" s="14" t="s">
        <v>454</v>
      </c>
      <c r="H42" s="18">
        <f t="shared" si="9"/>
        <v>540</v>
      </c>
      <c r="I42" s="14"/>
      <c r="J42" s="18"/>
      <c r="K42" s="14"/>
      <c r="L42" s="18"/>
      <c r="M42" s="14" t="s">
        <v>816</v>
      </c>
      <c r="N42" s="18">
        <f>INDEX($Z$17:$AE$26,章节!$A42,MATCH(M42,$Z$16:$AE$16,0))</f>
        <v>270</v>
      </c>
      <c r="O42" s="14" t="s">
        <v>826</v>
      </c>
      <c r="P42" s="18">
        <f>INDEX($Z$17:$AE$26,章节!$A42,MATCH(O42,$Z$16:$AE$16,0))</f>
        <v>270</v>
      </c>
      <c r="Q42" s="14"/>
      <c r="R42" s="18"/>
      <c r="S42" s="14"/>
      <c r="T42" s="18"/>
      <c r="AG42" s="14">
        <v>4</v>
      </c>
      <c r="AH42" s="14">
        <v>9</v>
      </c>
      <c r="AI42" s="14">
        <v>1</v>
      </c>
      <c r="AJ42" s="18">
        <f t="shared" si="10"/>
        <v>100</v>
      </c>
      <c r="AK42" s="14" t="s">
        <v>414</v>
      </c>
      <c r="AL42" s="18">
        <f t="shared" si="4"/>
        <v>1080</v>
      </c>
      <c r="AM42" s="14" t="s">
        <v>454</v>
      </c>
      <c r="AN42" s="18">
        <f t="shared" si="5"/>
        <v>810</v>
      </c>
      <c r="AO42" s="14" t="s">
        <v>464</v>
      </c>
      <c r="AP42" s="18"/>
      <c r="AQ42" s="14"/>
      <c r="AR42" s="18"/>
      <c r="AS42" s="14"/>
      <c r="AT42" s="14"/>
    </row>
    <row r="43" spans="1:46" ht="16.5" x14ac:dyDescent="0.2">
      <c r="A43" s="14">
        <v>4</v>
      </c>
      <c r="B43" s="14">
        <v>10</v>
      </c>
      <c r="C43" s="14">
        <v>0</v>
      </c>
      <c r="D43" s="18">
        <f t="shared" si="3"/>
        <v>65</v>
      </c>
      <c r="E43" s="14" t="s">
        <v>414</v>
      </c>
      <c r="F43" s="18">
        <f t="shared" si="8"/>
        <v>540</v>
      </c>
      <c r="G43" s="14" t="s">
        <v>455</v>
      </c>
      <c r="H43" s="18">
        <f t="shared" si="9"/>
        <v>540</v>
      </c>
      <c r="I43" s="14"/>
      <c r="J43" s="18"/>
      <c r="K43" s="14"/>
      <c r="L43" s="18"/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10</v>
      </c>
      <c r="AI43" s="14">
        <v>0</v>
      </c>
      <c r="AJ43" s="18">
        <f t="shared" si="10"/>
        <v>100</v>
      </c>
      <c r="AK43" s="14" t="s">
        <v>414</v>
      </c>
      <c r="AL43" s="18">
        <f t="shared" si="4"/>
        <v>1080</v>
      </c>
      <c r="AM43" s="14" t="s">
        <v>455</v>
      </c>
      <c r="AN43" s="18">
        <f t="shared" si="5"/>
        <v>810</v>
      </c>
      <c r="AO43" s="14" t="s">
        <v>465</v>
      </c>
      <c r="AP43" s="18"/>
      <c r="AQ43" s="14"/>
      <c r="AR43" s="18"/>
      <c r="AS43" s="14"/>
      <c r="AT43" s="14"/>
    </row>
    <row r="44" spans="1:46" ht="16.5" x14ac:dyDescent="0.2">
      <c r="A44" s="14">
        <v>4</v>
      </c>
      <c r="B44" s="14">
        <v>11</v>
      </c>
      <c r="C44" s="14">
        <v>0</v>
      </c>
      <c r="D44" s="18">
        <f t="shared" si="3"/>
        <v>65</v>
      </c>
      <c r="E44" s="14" t="s">
        <v>414</v>
      </c>
      <c r="F44" s="18">
        <f t="shared" si="8"/>
        <v>540</v>
      </c>
      <c r="G44" s="14" t="s">
        <v>454</v>
      </c>
      <c r="H44" s="18">
        <f t="shared" si="9"/>
        <v>540</v>
      </c>
      <c r="I44" s="14"/>
      <c r="J44" s="18"/>
      <c r="K44" s="14"/>
      <c r="L44" s="18"/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11</v>
      </c>
      <c r="AI44" s="14">
        <v>0</v>
      </c>
      <c r="AJ44" s="18">
        <f t="shared" si="10"/>
        <v>100</v>
      </c>
      <c r="AK44" s="14" t="s">
        <v>414</v>
      </c>
      <c r="AL44" s="18">
        <f t="shared" si="4"/>
        <v>1080</v>
      </c>
      <c r="AM44" s="14" t="s">
        <v>454</v>
      </c>
      <c r="AN44" s="18">
        <f t="shared" si="5"/>
        <v>810</v>
      </c>
      <c r="AO44" s="14" t="s">
        <v>464</v>
      </c>
      <c r="AP44" s="18"/>
      <c r="AQ44" s="14"/>
      <c r="AR44" s="18"/>
      <c r="AS44" s="14"/>
      <c r="AT44" s="14"/>
    </row>
    <row r="45" spans="1:46" ht="16.5" x14ac:dyDescent="0.2">
      <c r="A45" s="14">
        <v>4</v>
      </c>
      <c r="B45" s="14">
        <v>12</v>
      </c>
      <c r="C45" s="14">
        <v>1</v>
      </c>
      <c r="D45" s="18">
        <f t="shared" si="3"/>
        <v>65</v>
      </c>
      <c r="E45" s="14" t="s">
        <v>414</v>
      </c>
      <c r="F45" s="18">
        <f t="shared" si="8"/>
        <v>540</v>
      </c>
      <c r="G45" s="14" t="s">
        <v>455</v>
      </c>
      <c r="H45" s="18">
        <f t="shared" si="9"/>
        <v>540</v>
      </c>
      <c r="I45" s="14"/>
      <c r="J45" s="18"/>
      <c r="K45" s="14"/>
      <c r="L45" s="18"/>
      <c r="M45" s="14" t="s">
        <v>816</v>
      </c>
      <c r="N45" s="18">
        <f>INDEX($Z$17:$AE$26,章节!$A45,MATCH(M45,$Z$16:$AE$16,0))</f>
        <v>270</v>
      </c>
      <c r="O45" s="14" t="s">
        <v>826</v>
      </c>
      <c r="P45" s="18">
        <f>INDEX($Z$17:$AE$26,章节!$A45,MATCH(O45,$Z$16:$AE$16,0))</f>
        <v>270</v>
      </c>
      <c r="Q45" s="14"/>
      <c r="R45" s="18"/>
      <c r="S45" s="14"/>
      <c r="T45" s="18"/>
      <c r="AG45" s="14">
        <v>4</v>
      </c>
      <c r="AH45" s="14">
        <v>12</v>
      </c>
      <c r="AI45" s="14">
        <v>1</v>
      </c>
      <c r="AJ45" s="18">
        <f t="shared" si="10"/>
        <v>100</v>
      </c>
      <c r="AK45" s="14" t="s">
        <v>414</v>
      </c>
      <c r="AL45" s="18">
        <f t="shared" si="4"/>
        <v>1080</v>
      </c>
      <c r="AM45" s="14" t="s">
        <v>455</v>
      </c>
      <c r="AN45" s="18">
        <f t="shared" si="5"/>
        <v>810</v>
      </c>
      <c r="AO45" s="14" t="s">
        <v>465</v>
      </c>
      <c r="AP45" s="18"/>
      <c r="AQ45" s="14"/>
      <c r="AR45" s="18"/>
      <c r="AS45" s="14"/>
      <c r="AT45" s="14"/>
    </row>
    <row r="46" spans="1:46" ht="16.5" x14ac:dyDescent="0.2">
      <c r="A46" s="14">
        <v>4</v>
      </c>
      <c r="B46" s="14">
        <v>13</v>
      </c>
      <c r="C46" s="14">
        <v>0</v>
      </c>
      <c r="D46" s="18">
        <f t="shared" si="3"/>
        <v>65</v>
      </c>
      <c r="E46" s="14" t="s">
        <v>414</v>
      </c>
      <c r="F46" s="18">
        <f t="shared" si="8"/>
        <v>540</v>
      </c>
      <c r="G46" s="14" t="s">
        <v>454</v>
      </c>
      <c r="H46" s="18">
        <f t="shared" si="9"/>
        <v>540</v>
      </c>
      <c r="I46" s="14"/>
      <c r="J46" s="18"/>
      <c r="K46" s="14"/>
      <c r="L46" s="18"/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13</v>
      </c>
      <c r="AI46" s="14">
        <v>0</v>
      </c>
      <c r="AJ46" s="18">
        <f t="shared" si="10"/>
        <v>100</v>
      </c>
      <c r="AK46" s="14" t="s">
        <v>414</v>
      </c>
      <c r="AL46" s="18">
        <f t="shared" si="4"/>
        <v>1080</v>
      </c>
      <c r="AM46" s="14" t="s">
        <v>454</v>
      </c>
      <c r="AN46" s="18">
        <f t="shared" si="5"/>
        <v>810</v>
      </c>
      <c r="AO46" s="14" t="s">
        <v>464</v>
      </c>
      <c r="AP46" s="18"/>
      <c r="AQ46" s="14"/>
      <c r="AR46" s="18"/>
      <c r="AS46" s="14"/>
      <c r="AT46" s="14"/>
    </row>
    <row r="47" spans="1:46" ht="16.5" x14ac:dyDescent="0.2">
      <c r="A47" s="14">
        <v>4</v>
      </c>
      <c r="B47" s="14">
        <v>14</v>
      </c>
      <c r="C47" s="14">
        <v>0</v>
      </c>
      <c r="D47" s="18">
        <f t="shared" si="3"/>
        <v>65</v>
      </c>
      <c r="E47" s="14" t="s">
        <v>414</v>
      </c>
      <c r="F47" s="18">
        <f t="shared" si="8"/>
        <v>540</v>
      </c>
      <c r="G47" s="14" t="s">
        <v>455</v>
      </c>
      <c r="H47" s="18">
        <f t="shared" si="9"/>
        <v>540</v>
      </c>
      <c r="I47" s="14"/>
      <c r="J47" s="18"/>
      <c r="K47" s="14"/>
      <c r="L47" s="18"/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14</v>
      </c>
      <c r="AI47" s="14">
        <v>0</v>
      </c>
      <c r="AJ47" s="18">
        <f t="shared" si="10"/>
        <v>100</v>
      </c>
      <c r="AK47" s="14" t="s">
        <v>414</v>
      </c>
      <c r="AL47" s="18">
        <f t="shared" si="4"/>
        <v>1080</v>
      </c>
      <c r="AM47" s="14" t="s">
        <v>455</v>
      </c>
      <c r="AN47" s="18">
        <f t="shared" si="5"/>
        <v>810</v>
      </c>
      <c r="AO47" s="14" t="s">
        <v>465</v>
      </c>
      <c r="AP47" s="18"/>
      <c r="AQ47" s="14"/>
      <c r="AR47" s="18"/>
      <c r="AS47" s="14"/>
      <c r="AT47" s="14"/>
    </row>
    <row r="48" spans="1:46" ht="16.5" x14ac:dyDescent="0.2">
      <c r="A48" s="14">
        <v>4</v>
      </c>
      <c r="B48" s="14">
        <v>15</v>
      </c>
      <c r="C48" s="14">
        <v>1</v>
      </c>
      <c r="D48" s="18">
        <f t="shared" si="3"/>
        <v>65</v>
      </c>
      <c r="E48" s="14" t="s">
        <v>414</v>
      </c>
      <c r="F48" s="18">
        <f t="shared" si="8"/>
        <v>540</v>
      </c>
      <c r="G48" s="14" t="s">
        <v>455</v>
      </c>
      <c r="H48" s="18">
        <f t="shared" si="9"/>
        <v>540</v>
      </c>
      <c r="I48" s="14"/>
      <c r="J48" s="18"/>
      <c r="K48" s="14"/>
      <c r="L48" s="18"/>
      <c r="M48" s="14" t="s">
        <v>816</v>
      </c>
      <c r="N48" s="18">
        <f>INDEX($Z$17:$AE$26,章节!$A48,MATCH(M48,$Z$16:$AE$16,0))</f>
        <v>270</v>
      </c>
      <c r="O48" s="14" t="s">
        <v>826</v>
      </c>
      <c r="P48" s="18">
        <f>INDEX($Z$17:$AE$26,章节!$A48,MATCH(O48,$Z$16:$AE$16,0))</f>
        <v>270</v>
      </c>
      <c r="Q48" s="14"/>
      <c r="R48" s="18"/>
      <c r="S48" s="14"/>
      <c r="T48" s="18"/>
      <c r="AG48" s="14">
        <v>4</v>
      </c>
      <c r="AH48" s="14">
        <v>15</v>
      </c>
      <c r="AI48" s="14">
        <v>1</v>
      </c>
      <c r="AJ48" s="18">
        <f t="shared" si="10"/>
        <v>100</v>
      </c>
      <c r="AK48" s="14" t="s">
        <v>414</v>
      </c>
      <c r="AL48" s="18">
        <f t="shared" si="4"/>
        <v>1080</v>
      </c>
      <c r="AM48" s="14" t="s">
        <v>455</v>
      </c>
      <c r="AN48" s="18">
        <f t="shared" si="5"/>
        <v>810</v>
      </c>
      <c r="AO48" s="14" t="s">
        <v>464</v>
      </c>
      <c r="AP48" s="18"/>
      <c r="AQ48" s="14"/>
      <c r="AR48" s="18"/>
      <c r="AS48" s="14"/>
      <c r="AT48" s="14"/>
    </row>
    <row r="49" spans="1:46" ht="16.5" x14ac:dyDescent="0.2">
      <c r="A49" s="14">
        <v>5</v>
      </c>
      <c r="B49" s="14">
        <v>1</v>
      </c>
      <c r="C49" s="14">
        <v>0</v>
      </c>
      <c r="D49" s="18">
        <f t="shared" si="3"/>
        <v>80</v>
      </c>
      <c r="E49" s="14" t="s">
        <v>414</v>
      </c>
      <c r="F49" s="18">
        <f t="shared" si="8"/>
        <v>600</v>
      </c>
      <c r="G49" s="14" t="s">
        <v>454</v>
      </c>
      <c r="H49" s="18">
        <f t="shared" si="9"/>
        <v>660</v>
      </c>
      <c r="I49" s="14"/>
      <c r="J49" s="18"/>
      <c r="K49" s="14"/>
      <c r="L49" s="18"/>
      <c r="M49" s="14"/>
      <c r="N49" s="18"/>
      <c r="O49" s="14"/>
      <c r="P49" s="18"/>
      <c r="Q49" s="14"/>
      <c r="R49" s="18"/>
      <c r="S49" s="14"/>
      <c r="T49" s="18"/>
      <c r="AG49" s="14">
        <v>5</v>
      </c>
      <c r="AH49" s="14">
        <v>1</v>
      </c>
      <c r="AI49" s="14">
        <v>0</v>
      </c>
      <c r="AJ49" s="18">
        <f t="shared" si="10"/>
        <v>100</v>
      </c>
      <c r="AK49" s="14" t="s">
        <v>414</v>
      </c>
      <c r="AL49" s="18">
        <f t="shared" si="4"/>
        <v>1200</v>
      </c>
      <c r="AM49" s="14" t="s">
        <v>454</v>
      </c>
      <c r="AN49" s="18">
        <f t="shared" si="5"/>
        <v>990</v>
      </c>
      <c r="AO49" s="14" t="s">
        <v>465</v>
      </c>
      <c r="AP49" s="18"/>
      <c r="AQ49" s="14"/>
      <c r="AR49" s="18"/>
      <c r="AS49" s="14"/>
      <c r="AT49" s="14"/>
    </row>
    <row r="50" spans="1:46" ht="16.5" x14ac:dyDescent="0.2">
      <c r="A50" s="14">
        <v>5</v>
      </c>
      <c r="B50" s="14">
        <v>2</v>
      </c>
      <c r="C50" s="14">
        <v>0</v>
      </c>
      <c r="D50" s="18">
        <f t="shared" si="3"/>
        <v>80</v>
      </c>
      <c r="E50" s="14" t="s">
        <v>414</v>
      </c>
      <c r="F50" s="18">
        <f t="shared" si="8"/>
        <v>600</v>
      </c>
      <c r="G50" s="14" t="s">
        <v>455</v>
      </c>
      <c r="H50" s="18">
        <f t="shared" si="9"/>
        <v>660</v>
      </c>
      <c r="I50" s="14"/>
      <c r="J50" s="18"/>
      <c r="K50" s="14"/>
      <c r="L50" s="18"/>
      <c r="M50" s="14"/>
      <c r="N50" s="18"/>
      <c r="O50" s="14"/>
      <c r="P50" s="18"/>
      <c r="Q50" s="14"/>
      <c r="R50" s="18"/>
      <c r="S50" s="14"/>
      <c r="T50" s="18"/>
      <c r="AG50" s="14">
        <v>5</v>
      </c>
      <c r="AH50" s="14">
        <v>2</v>
      </c>
      <c r="AI50" s="14">
        <v>0</v>
      </c>
      <c r="AJ50" s="18">
        <f t="shared" si="10"/>
        <v>100</v>
      </c>
      <c r="AK50" s="14" t="s">
        <v>414</v>
      </c>
      <c r="AL50" s="18">
        <f t="shared" si="4"/>
        <v>1200</v>
      </c>
      <c r="AM50" s="14" t="s">
        <v>455</v>
      </c>
      <c r="AN50" s="18">
        <f t="shared" si="5"/>
        <v>990</v>
      </c>
      <c r="AO50" s="14" t="s">
        <v>464</v>
      </c>
      <c r="AP50" s="18"/>
      <c r="AQ50" s="14"/>
      <c r="AR50" s="18"/>
      <c r="AS50" s="14"/>
      <c r="AT50" s="14"/>
    </row>
    <row r="51" spans="1:46" ht="16.5" x14ac:dyDescent="0.2">
      <c r="A51" s="14">
        <v>5</v>
      </c>
      <c r="B51" s="14">
        <v>3</v>
      </c>
      <c r="C51" s="14">
        <v>1</v>
      </c>
      <c r="D51" s="18">
        <f t="shared" si="3"/>
        <v>80</v>
      </c>
      <c r="E51" s="14" t="s">
        <v>414</v>
      </c>
      <c r="F51" s="18">
        <f t="shared" si="8"/>
        <v>600</v>
      </c>
      <c r="G51" s="14" t="s">
        <v>454</v>
      </c>
      <c r="H51" s="18">
        <f t="shared" si="9"/>
        <v>660</v>
      </c>
      <c r="I51" s="14"/>
      <c r="J51" s="18"/>
      <c r="K51" s="14"/>
      <c r="L51" s="18"/>
      <c r="M51" s="14" t="s">
        <v>816</v>
      </c>
      <c r="N51" s="18">
        <f>INDEX($Z$17:$AE$26,章节!$A51,MATCH(M51,$Z$16:$AE$16,0))</f>
        <v>330</v>
      </c>
      <c r="O51" s="14" t="s">
        <v>826</v>
      </c>
      <c r="P51" s="18">
        <f>INDEX($Z$17:$AE$26,章节!$A51,MATCH(O51,$Z$16:$AE$16,0))</f>
        <v>300</v>
      </c>
      <c r="Q51" s="14"/>
      <c r="R51" s="18"/>
      <c r="S51" s="14"/>
      <c r="T51" s="18"/>
      <c r="AG51" s="14">
        <v>5</v>
      </c>
      <c r="AH51" s="14">
        <v>3</v>
      </c>
      <c r="AI51" s="14">
        <v>1</v>
      </c>
      <c r="AJ51" s="18">
        <f t="shared" si="10"/>
        <v>100</v>
      </c>
      <c r="AK51" s="14" t="s">
        <v>414</v>
      </c>
      <c r="AL51" s="18">
        <f t="shared" si="4"/>
        <v>1200</v>
      </c>
      <c r="AM51" s="14" t="s">
        <v>454</v>
      </c>
      <c r="AN51" s="18">
        <f t="shared" si="5"/>
        <v>990</v>
      </c>
      <c r="AO51" s="14" t="s">
        <v>465</v>
      </c>
      <c r="AP51" s="18"/>
      <c r="AQ51" s="14"/>
      <c r="AR51" s="18"/>
      <c r="AS51" s="14"/>
      <c r="AT51" s="14"/>
    </row>
    <row r="52" spans="1:46" ht="16.5" x14ac:dyDescent="0.2">
      <c r="A52" s="14">
        <v>5</v>
      </c>
      <c r="B52" s="14">
        <v>4</v>
      </c>
      <c r="C52" s="14">
        <v>0</v>
      </c>
      <c r="D52" s="18">
        <f t="shared" si="3"/>
        <v>80</v>
      </c>
      <c r="E52" s="14" t="s">
        <v>414</v>
      </c>
      <c r="F52" s="18">
        <f t="shared" si="8"/>
        <v>600</v>
      </c>
      <c r="G52" s="14" t="s">
        <v>455</v>
      </c>
      <c r="H52" s="18">
        <f t="shared" si="9"/>
        <v>660</v>
      </c>
      <c r="I52" s="14"/>
      <c r="J52" s="18"/>
      <c r="K52" s="14"/>
      <c r="L52" s="18"/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4</v>
      </c>
      <c r="AI52" s="14">
        <v>0</v>
      </c>
      <c r="AJ52" s="18">
        <f t="shared" si="10"/>
        <v>100</v>
      </c>
      <c r="AK52" s="14" t="s">
        <v>414</v>
      </c>
      <c r="AL52" s="18">
        <f t="shared" si="4"/>
        <v>1200</v>
      </c>
      <c r="AM52" s="14" t="s">
        <v>455</v>
      </c>
      <c r="AN52" s="18">
        <f t="shared" si="5"/>
        <v>990</v>
      </c>
      <c r="AO52" s="14" t="s">
        <v>464</v>
      </c>
      <c r="AP52" s="18"/>
      <c r="AQ52" s="14"/>
      <c r="AR52" s="18"/>
      <c r="AS52" s="14"/>
      <c r="AT52" s="14"/>
    </row>
    <row r="53" spans="1:46" ht="16.5" x14ac:dyDescent="0.2">
      <c r="A53" s="14">
        <v>5</v>
      </c>
      <c r="B53" s="14">
        <v>5</v>
      </c>
      <c r="C53" s="14">
        <v>0</v>
      </c>
      <c r="D53" s="18">
        <f t="shared" si="3"/>
        <v>80</v>
      </c>
      <c r="E53" s="14" t="s">
        <v>414</v>
      </c>
      <c r="F53" s="18">
        <f t="shared" si="8"/>
        <v>600</v>
      </c>
      <c r="G53" s="14" t="s">
        <v>454</v>
      </c>
      <c r="H53" s="18">
        <f t="shared" si="9"/>
        <v>660</v>
      </c>
      <c r="I53" s="14"/>
      <c r="J53" s="18"/>
      <c r="K53" s="14"/>
      <c r="L53" s="18"/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5</v>
      </c>
      <c r="AI53" s="14">
        <v>0</v>
      </c>
      <c r="AJ53" s="18">
        <f t="shared" si="10"/>
        <v>100</v>
      </c>
      <c r="AK53" s="14" t="s">
        <v>414</v>
      </c>
      <c r="AL53" s="18">
        <f t="shared" si="4"/>
        <v>1200</v>
      </c>
      <c r="AM53" s="14" t="s">
        <v>454</v>
      </c>
      <c r="AN53" s="18">
        <f t="shared" si="5"/>
        <v>990</v>
      </c>
      <c r="AO53" s="14" t="s">
        <v>465</v>
      </c>
      <c r="AP53" s="18"/>
      <c r="AQ53" s="14"/>
      <c r="AR53" s="18"/>
      <c r="AS53" s="14"/>
      <c r="AT53" s="14"/>
    </row>
    <row r="54" spans="1:46" ht="16.5" x14ac:dyDescent="0.2">
      <c r="A54" s="14">
        <v>5</v>
      </c>
      <c r="B54" s="14">
        <v>6</v>
      </c>
      <c r="C54" s="14">
        <v>1</v>
      </c>
      <c r="D54" s="18">
        <f t="shared" si="3"/>
        <v>80</v>
      </c>
      <c r="E54" s="14" t="s">
        <v>414</v>
      </c>
      <c r="F54" s="18">
        <f t="shared" si="8"/>
        <v>600</v>
      </c>
      <c r="G54" s="14" t="s">
        <v>455</v>
      </c>
      <c r="H54" s="18">
        <f t="shared" si="9"/>
        <v>660</v>
      </c>
      <c r="I54" s="14"/>
      <c r="J54" s="18"/>
      <c r="K54" s="14"/>
      <c r="L54" s="18"/>
      <c r="M54" s="14" t="s">
        <v>816</v>
      </c>
      <c r="N54" s="18">
        <f>INDEX($Z$17:$AE$26,章节!$A54,MATCH(M54,$Z$16:$AE$16,0))</f>
        <v>330</v>
      </c>
      <c r="O54" s="14" t="s">
        <v>826</v>
      </c>
      <c r="P54" s="18">
        <f>INDEX($Z$17:$AE$26,章节!$A54,MATCH(O54,$Z$16:$AE$16,0))</f>
        <v>300</v>
      </c>
      <c r="Q54" s="14"/>
      <c r="R54" s="18"/>
      <c r="S54" s="14"/>
      <c r="T54" s="18"/>
      <c r="AG54" s="14">
        <v>5</v>
      </c>
      <c r="AH54" s="14">
        <v>6</v>
      </c>
      <c r="AI54" s="14">
        <v>1</v>
      </c>
      <c r="AJ54" s="18">
        <f t="shared" si="10"/>
        <v>100</v>
      </c>
      <c r="AK54" s="14" t="s">
        <v>414</v>
      </c>
      <c r="AL54" s="18">
        <f t="shared" si="4"/>
        <v>1200</v>
      </c>
      <c r="AM54" s="14" t="s">
        <v>455</v>
      </c>
      <c r="AN54" s="18">
        <f t="shared" si="5"/>
        <v>990</v>
      </c>
      <c r="AO54" s="14" t="s">
        <v>464</v>
      </c>
      <c r="AP54" s="18"/>
      <c r="AQ54" s="14"/>
      <c r="AR54" s="18"/>
      <c r="AS54" s="14"/>
      <c r="AT54" s="14"/>
    </row>
    <row r="55" spans="1:46" ht="16.5" x14ac:dyDescent="0.2">
      <c r="A55" s="14">
        <v>5</v>
      </c>
      <c r="B55" s="14">
        <v>7</v>
      </c>
      <c r="C55" s="14">
        <v>0</v>
      </c>
      <c r="D55" s="18">
        <f t="shared" si="3"/>
        <v>80</v>
      </c>
      <c r="E55" s="14" t="s">
        <v>414</v>
      </c>
      <c r="F55" s="18">
        <f t="shared" si="8"/>
        <v>600</v>
      </c>
      <c r="G55" s="14" t="s">
        <v>454</v>
      </c>
      <c r="H55" s="18">
        <f t="shared" si="9"/>
        <v>660</v>
      </c>
      <c r="I55" s="14"/>
      <c r="J55" s="18"/>
      <c r="K55" s="14"/>
      <c r="L55" s="18"/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7</v>
      </c>
      <c r="AI55" s="14">
        <v>0</v>
      </c>
      <c r="AJ55" s="18">
        <f t="shared" si="10"/>
        <v>100</v>
      </c>
      <c r="AK55" s="14" t="s">
        <v>414</v>
      </c>
      <c r="AL55" s="18">
        <f t="shared" si="4"/>
        <v>1200</v>
      </c>
      <c r="AM55" s="14" t="s">
        <v>454</v>
      </c>
      <c r="AN55" s="18">
        <f t="shared" si="5"/>
        <v>990</v>
      </c>
      <c r="AO55" s="14" t="s">
        <v>465</v>
      </c>
      <c r="AP55" s="18"/>
      <c r="AQ55" s="14"/>
      <c r="AR55" s="18"/>
      <c r="AS55" s="14"/>
      <c r="AT55" s="14"/>
    </row>
    <row r="56" spans="1:46" ht="16.5" x14ac:dyDescent="0.2">
      <c r="A56" s="14">
        <v>5</v>
      </c>
      <c r="B56" s="14">
        <v>8</v>
      </c>
      <c r="C56" s="14">
        <v>0</v>
      </c>
      <c r="D56" s="18">
        <f t="shared" si="3"/>
        <v>80</v>
      </c>
      <c r="E56" s="14" t="s">
        <v>414</v>
      </c>
      <c r="F56" s="18">
        <f t="shared" si="8"/>
        <v>600</v>
      </c>
      <c r="G56" s="14" t="s">
        <v>455</v>
      </c>
      <c r="H56" s="18">
        <f t="shared" si="9"/>
        <v>660</v>
      </c>
      <c r="I56" s="14"/>
      <c r="J56" s="18"/>
      <c r="K56" s="14"/>
      <c r="L56" s="18"/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8</v>
      </c>
      <c r="AI56" s="14">
        <v>0</v>
      </c>
      <c r="AJ56" s="18">
        <f t="shared" si="10"/>
        <v>100</v>
      </c>
      <c r="AK56" s="14" t="s">
        <v>414</v>
      </c>
      <c r="AL56" s="18">
        <f t="shared" si="4"/>
        <v>1200</v>
      </c>
      <c r="AM56" s="14" t="s">
        <v>455</v>
      </c>
      <c r="AN56" s="18">
        <f t="shared" si="5"/>
        <v>990</v>
      </c>
      <c r="AO56" s="14" t="s">
        <v>464</v>
      </c>
      <c r="AP56" s="18"/>
      <c r="AQ56" s="14"/>
      <c r="AR56" s="18"/>
      <c r="AS56" s="14"/>
      <c r="AT56" s="14"/>
    </row>
    <row r="57" spans="1:46" ht="16.5" x14ac:dyDescent="0.2">
      <c r="A57" s="14">
        <v>5</v>
      </c>
      <c r="B57" s="14">
        <v>9</v>
      </c>
      <c r="C57" s="14">
        <v>1</v>
      </c>
      <c r="D57" s="18">
        <f t="shared" si="3"/>
        <v>80</v>
      </c>
      <c r="E57" s="14" t="s">
        <v>414</v>
      </c>
      <c r="F57" s="18">
        <f t="shared" si="8"/>
        <v>600</v>
      </c>
      <c r="G57" s="14" t="s">
        <v>454</v>
      </c>
      <c r="H57" s="18">
        <f t="shared" si="9"/>
        <v>660</v>
      </c>
      <c r="I57" s="14"/>
      <c r="J57" s="18"/>
      <c r="K57" s="14"/>
      <c r="L57" s="18"/>
      <c r="M57" s="14" t="s">
        <v>816</v>
      </c>
      <c r="N57" s="18">
        <f>INDEX($Z$17:$AE$26,章节!$A57,MATCH(M57,$Z$16:$AE$16,0))</f>
        <v>330</v>
      </c>
      <c r="O57" s="14" t="s">
        <v>826</v>
      </c>
      <c r="P57" s="18">
        <f>INDEX($Z$17:$AE$26,章节!$A57,MATCH(O57,$Z$16:$AE$16,0))</f>
        <v>300</v>
      </c>
      <c r="Q57" s="14"/>
      <c r="R57" s="18"/>
      <c r="S57" s="14"/>
      <c r="T57" s="18"/>
      <c r="AG57" s="14">
        <v>5</v>
      </c>
      <c r="AH57" s="14">
        <v>9</v>
      </c>
      <c r="AI57" s="14">
        <v>1</v>
      </c>
      <c r="AJ57" s="18">
        <f t="shared" si="10"/>
        <v>100</v>
      </c>
      <c r="AK57" s="14" t="s">
        <v>414</v>
      </c>
      <c r="AL57" s="18">
        <f t="shared" si="4"/>
        <v>1200</v>
      </c>
      <c r="AM57" s="14" t="s">
        <v>454</v>
      </c>
      <c r="AN57" s="18">
        <f t="shared" si="5"/>
        <v>990</v>
      </c>
      <c r="AO57" s="14" t="s">
        <v>465</v>
      </c>
      <c r="AP57" s="18"/>
      <c r="AQ57" s="14"/>
      <c r="AR57" s="18"/>
      <c r="AS57" s="14"/>
      <c r="AT57" s="14"/>
    </row>
    <row r="58" spans="1:46" ht="16.5" x14ac:dyDescent="0.2">
      <c r="A58" s="14">
        <v>5</v>
      </c>
      <c r="B58" s="14">
        <v>10</v>
      </c>
      <c r="C58" s="14">
        <v>0</v>
      </c>
      <c r="D58" s="18">
        <f t="shared" si="3"/>
        <v>80</v>
      </c>
      <c r="E58" s="14" t="s">
        <v>414</v>
      </c>
      <c r="F58" s="18">
        <f t="shared" si="8"/>
        <v>600</v>
      </c>
      <c r="G58" s="14" t="s">
        <v>455</v>
      </c>
      <c r="H58" s="18">
        <f t="shared" si="9"/>
        <v>660</v>
      </c>
      <c r="I58" s="14"/>
      <c r="J58" s="18"/>
      <c r="K58" s="14"/>
      <c r="L58" s="18"/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10</v>
      </c>
      <c r="AI58" s="14">
        <v>0</v>
      </c>
      <c r="AJ58" s="18">
        <f t="shared" si="10"/>
        <v>100</v>
      </c>
      <c r="AK58" s="14" t="s">
        <v>414</v>
      </c>
      <c r="AL58" s="18">
        <f t="shared" si="4"/>
        <v>1200</v>
      </c>
      <c r="AM58" s="14" t="s">
        <v>455</v>
      </c>
      <c r="AN58" s="18">
        <f t="shared" si="5"/>
        <v>990</v>
      </c>
      <c r="AO58" s="14" t="s">
        <v>464</v>
      </c>
      <c r="AP58" s="18"/>
      <c r="AQ58" s="14"/>
      <c r="AR58" s="18"/>
      <c r="AS58" s="14"/>
      <c r="AT58" s="14"/>
    </row>
    <row r="59" spans="1:46" ht="16.5" x14ac:dyDescent="0.2">
      <c r="A59" s="14">
        <v>5</v>
      </c>
      <c r="B59" s="14">
        <v>11</v>
      </c>
      <c r="C59" s="14">
        <v>0</v>
      </c>
      <c r="D59" s="18">
        <f t="shared" si="3"/>
        <v>80</v>
      </c>
      <c r="E59" s="14" t="s">
        <v>414</v>
      </c>
      <c r="F59" s="18">
        <f t="shared" si="8"/>
        <v>600</v>
      </c>
      <c r="G59" s="14" t="s">
        <v>454</v>
      </c>
      <c r="H59" s="18">
        <f t="shared" si="9"/>
        <v>660</v>
      </c>
      <c r="I59" s="14"/>
      <c r="J59" s="18"/>
      <c r="K59" s="14"/>
      <c r="L59" s="18"/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11</v>
      </c>
      <c r="AI59" s="14">
        <v>0</v>
      </c>
      <c r="AJ59" s="18">
        <f t="shared" si="10"/>
        <v>100</v>
      </c>
      <c r="AK59" s="14" t="s">
        <v>414</v>
      </c>
      <c r="AL59" s="18">
        <f t="shared" si="4"/>
        <v>1200</v>
      </c>
      <c r="AM59" s="14" t="s">
        <v>454</v>
      </c>
      <c r="AN59" s="18">
        <f t="shared" si="5"/>
        <v>990</v>
      </c>
      <c r="AO59" s="14" t="s">
        <v>465</v>
      </c>
      <c r="AP59" s="18"/>
      <c r="AQ59" s="14"/>
      <c r="AR59" s="18"/>
      <c r="AS59" s="14"/>
      <c r="AT59" s="14"/>
    </row>
    <row r="60" spans="1:46" ht="16.5" x14ac:dyDescent="0.2">
      <c r="A60" s="14">
        <v>5</v>
      </c>
      <c r="B60" s="14">
        <v>12</v>
      </c>
      <c r="C60" s="14">
        <v>1</v>
      </c>
      <c r="D60" s="18">
        <f t="shared" si="3"/>
        <v>80</v>
      </c>
      <c r="E60" s="14" t="s">
        <v>414</v>
      </c>
      <c r="F60" s="18">
        <f t="shared" si="8"/>
        <v>600</v>
      </c>
      <c r="G60" s="14" t="s">
        <v>455</v>
      </c>
      <c r="H60" s="18">
        <f t="shared" si="9"/>
        <v>660</v>
      </c>
      <c r="I60" s="14"/>
      <c r="J60" s="18"/>
      <c r="K60" s="14"/>
      <c r="L60" s="18"/>
      <c r="M60" s="14" t="s">
        <v>816</v>
      </c>
      <c r="N60" s="18">
        <f>INDEX($Z$17:$AE$26,章节!$A60,MATCH(M60,$Z$16:$AE$16,0))</f>
        <v>330</v>
      </c>
      <c r="O60" s="14" t="s">
        <v>826</v>
      </c>
      <c r="P60" s="18">
        <f>INDEX($Z$17:$AE$26,章节!$A60,MATCH(O60,$Z$16:$AE$16,0))</f>
        <v>300</v>
      </c>
      <c r="Q60" s="14"/>
      <c r="R60" s="18"/>
      <c r="S60" s="14"/>
      <c r="T60" s="18"/>
      <c r="AG60" s="14">
        <v>5</v>
      </c>
      <c r="AH60" s="14">
        <v>12</v>
      </c>
      <c r="AI60" s="14">
        <v>1</v>
      </c>
      <c r="AJ60" s="18">
        <f t="shared" si="10"/>
        <v>100</v>
      </c>
      <c r="AK60" s="14" t="s">
        <v>414</v>
      </c>
      <c r="AL60" s="18">
        <f t="shared" si="4"/>
        <v>1200</v>
      </c>
      <c r="AM60" s="14" t="s">
        <v>455</v>
      </c>
      <c r="AN60" s="18">
        <f t="shared" si="5"/>
        <v>990</v>
      </c>
      <c r="AO60" s="14" t="s">
        <v>464</v>
      </c>
      <c r="AP60" s="18"/>
      <c r="AQ60" s="14"/>
      <c r="AR60" s="18"/>
      <c r="AS60" s="14"/>
      <c r="AT60" s="14"/>
    </row>
    <row r="61" spans="1:46" ht="16.5" x14ac:dyDescent="0.2">
      <c r="A61" s="14">
        <v>5</v>
      </c>
      <c r="B61" s="14">
        <v>13</v>
      </c>
      <c r="C61" s="14">
        <v>0</v>
      </c>
      <c r="D61" s="18">
        <f t="shared" si="3"/>
        <v>80</v>
      </c>
      <c r="E61" s="14" t="s">
        <v>414</v>
      </c>
      <c r="F61" s="18">
        <f t="shared" si="8"/>
        <v>600</v>
      </c>
      <c r="G61" s="14" t="s">
        <v>454</v>
      </c>
      <c r="H61" s="18">
        <f t="shared" si="9"/>
        <v>660</v>
      </c>
      <c r="I61" s="14"/>
      <c r="J61" s="18"/>
      <c r="K61" s="14"/>
      <c r="L61" s="18"/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13</v>
      </c>
      <c r="AI61" s="14">
        <v>0</v>
      </c>
      <c r="AJ61" s="18">
        <f t="shared" si="10"/>
        <v>100</v>
      </c>
      <c r="AK61" s="14" t="s">
        <v>414</v>
      </c>
      <c r="AL61" s="18">
        <f t="shared" si="4"/>
        <v>1200</v>
      </c>
      <c r="AM61" s="14" t="s">
        <v>454</v>
      </c>
      <c r="AN61" s="18">
        <f t="shared" si="5"/>
        <v>990</v>
      </c>
      <c r="AO61" s="14" t="s">
        <v>465</v>
      </c>
      <c r="AP61" s="18"/>
      <c r="AQ61" s="14"/>
      <c r="AR61" s="18"/>
      <c r="AS61" s="14"/>
      <c r="AT61" s="14"/>
    </row>
    <row r="62" spans="1:46" ht="16.5" x14ac:dyDescent="0.2">
      <c r="A62" s="14">
        <v>5</v>
      </c>
      <c r="B62" s="14">
        <v>14</v>
      </c>
      <c r="C62" s="14">
        <v>0</v>
      </c>
      <c r="D62" s="18">
        <f t="shared" si="3"/>
        <v>80</v>
      </c>
      <c r="E62" s="14" t="s">
        <v>414</v>
      </c>
      <c r="F62" s="18">
        <f t="shared" si="8"/>
        <v>600</v>
      </c>
      <c r="G62" s="14" t="s">
        <v>455</v>
      </c>
      <c r="H62" s="18">
        <f t="shared" si="9"/>
        <v>660</v>
      </c>
      <c r="I62" s="14"/>
      <c r="J62" s="18"/>
      <c r="K62" s="14"/>
      <c r="L62" s="18"/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14</v>
      </c>
      <c r="AI62" s="14">
        <v>0</v>
      </c>
      <c r="AJ62" s="18">
        <f t="shared" si="10"/>
        <v>100</v>
      </c>
      <c r="AK62" s="14" t="s">
        <v>414</v>
      </c>
      <c r="AL62" s="18">
        <f t="shared" si="4"/>
        <v>1200</v>
      </c>
      <c r="AM62" s="14" t="s">
        <v>455</v>
      </c>
      <c r="AN62" s="18">
        <f t="shared" si="5"/>
        <v>990</v>
      </c>
      <c r="AO62" s="14" t="s">
        <v>464</v>
      </c>
      <c r="AP62" s="18"/>
      <c r="AQ62" s="14"/>
      <c r="AR62" s="18"/>
      <c r="AS62" s="14"/>
      <c r="AT62" s="14"/>
    </row>
    <row r="63" spans="1:46" ht="16.5" x14ac:dyDescent="0.2">
      <c r="A63" s="14">
        <v>5</v>
      </c>
      <c r="B63" s="14">
        <v>15</v>
      </c>
      <c r="C63" s="14">
        <v>1</v>
      </c>
      <c r="D63" s="18">
        <f t="shared" si="3"/>
        <v>80</v>
      </c>
      <c r="E63" s="14" t="s">
        <v>414</v>
      </c>
      <c r="F63" s="18">
        <f t="shared" si="8"/>
        <v>600</v>
      </c>
      <c r="G63" s="14" t="s">
        <v>455</v>
      </c>
      <c r="H63" s="18">
        <f t="shared" si="9"/>
        <v>660</v>
      </c>
      <c r="I63" s="14"/>
      <c r="J63" s="18"/>
      <c r="K63" s="14"/>
      <c r="L63" s="18"/>
      <c r="M63" s="14" t="s">
        <v>816</v>
      </c>
      <c r="N63" s="18">
        <f>INDEX($Z$17:$AE$26,章节!$A63,MATCH(M63,$Z$16:$AE$16,0))</f>
        <v>330</v>
      </c>
      <c r="O63" s="14" t="s">
        <v>826</v>
      </c>
      <c r="P63" s="18">
        <f>INDEX($Z$17:$AE$26,章节!$A63,MATCH(O63,$Z$16:$AE$16,0))</f>
        <v>300</v>
      </c>
      <c r="Q63" s="14"/>
      <c r="R63" s="18"/>
      <c r="S63" s="14"/>
      <c r="T63" s="18"/>
      <c r="AG63" s="14">
        <v>5</v>
      </c>
      <c r="AH63" s="14">
        <v>15</v>
      </c>
      <c r="AI63" s="14">
        <v>1</v>
      </c>
      <c r="AJ63" s="18">
        <f t="shared" si="10"/>
        <v>100</v>
      </c>
      <c r="AK63" s="14" t="s">
        <v>414</v>
      </c>
      <c r="AL63" s="18">
        <f t="shared" si="4"/>
        <v>1200</v>
      </c>
      <c r="AM63" s="14" t="s">
        <v>455</v>
      </c>
      <c r="AN63" s="18">
        <f t="shared" si="5"/>
        <v>990</v>
      </c>
      <c r="AO63" s="14" t="s">
        <v>465</v>
      </c>
      <c r="AP63" s="18"/>
      <c r="AQ63" s="14"/>
      <c r="AR63" s="18"/>
      <c r="AS63" s="14"/>
      <c r="AT63" s="14"/>
    </row>
    <row r="64" spans="1:46" ht="16.5" x14ac:dyDescent="0.2">
      <c r="A64" s="14">
        <v>6</v>
      </c>
      <c r="B64" s="14">
        <v>1</v>
      </c>
      <c r="C64" s="14">
        <v>0</v>
      </c>
      <c r="D64" s="18">
        <f t="shared" si="3"/>
        <v>125</v>
      </c>
      <c r="E64" s="14" t="s">
        <v>414</v>
      </c>
      <c r="F64" s="18">
        <f t="shared" si="8"/>
        <v>720</v>
      </c>
      <c r="G64" s="14" t="s">
        <v>454</v>
      </c>
      <c r="H64" s="18">
        <f t="shared" si="9"/>
        <v>780</v>
      </c>
      <c r="I64" s="14"/>
      <c r="J64" s="18"/>
      <c r="K64" s="14"/>
      <c r="L64" s="18"/>
      <c r="M64" s="14"/>
      <c r="N64" s="18"/>
      <c r="O64" s="14"/>
      <c r="P64" s="18"/>
      <c r="Q64" s="14"/>
      <c r="R64" s="18"/>
      <c r="S64" s="14"/>
      <c r="T64" s="18"/>
      <c r="AG64" s="14">
        <v>6</v>
      </c>
      <c r="AH64" s="14">
        <v>1</v>
      </c>
      <c r="AI64" s="14">
        <v>0</v>
      </c>
      <c r="AJ64" s="18">
        <f t="shared" si="10"/>
        <v>200</v>
      </c>
      <c r="AK64" s="14" t="s">
        <v>414</v>
      </c>
      <c r="AL64" s="18">
        <f t="shared" si="4"/>
        <v>1440</v>
      </c>
      <c r="AM64" s="14" t="s">
        <v>454</v>
      </c>
      <c r="AN64" s="18">
        <f t="shared" si="5"/>
        <v>1170</v>
      </c>
      <c r="AO64" s="14" t="s">
        <v>464</v>
      </c>
      <c r="AP64" s="18"/>
      <c r="AQ64" s="14"/>
      <c r="AR64" s="18"/>
      <c r="AS64" s="14"/>
      <c r="AT64" s="14"/>
    </row>
    <row r="65" spans="1:46" ht="16.5" x14ac:dyDescent="0.2">
      <c r="A65" s="14">
        <v>6</v>
      </c>
      <c r="B65" s="14">
        <v>2</v>
      </c>
      <c r="C65" s="14">
        <v>0</v>
      </c>
      <c r="D65" s="18">
        <f t="shared" si="3"/>
        <v>125</v>
      </c>
      <c r="E65" s="14" t="s">
        <v>414</v>
      </c>
      <c r="F65" s="18">
        <f t="shared" si="8"/>
        <v>720</v>
      </c>
      <c r="G65" s="14" t="s">
        <v>455</v>
      </c>
      <c r="H65" s="18">
        <f t="shared" si="9"/>
        <v>780</v>
      </c>
      <c r="I65" s="14"/>
      <c r="J65" s="18"/>
      <c r="K65" s="14"/>
      <c r="L65" s="18"/>
      <c r="M65" s="14"/>
      <c r="N65" s="18"/>
      <c r="O65" s="14"/>
      <c r="P65" s="18"/>
      <c r="Q65" s="14"/>
      <c r="R65" s="18"/>
      <c r="S65" s="14"/>
      <c r="T65" s="18"/>
      <c r="AG65" s="14">
        <v>6</v>
      </c>
      <c r="AH65" s="14">
        <v>2</v>
      </c>
      <c r="AI65" s="14">
        <v>0</v>
      </c>
      <c r="AJ65" s="18">
        <f t="shared" si="10"/>
        <v>200</v>
      </c>
      <c r="AK65" s="14" t="s">
        <v>414</v>
      </c>
      <c r="AL65" s="18">
        <f t="shared" si="4"/>
        <v>1440</v>
      </c>
      <c r="AM65" s="14" t="s">
        <v>455</v>
      </c>
      <c r="AN65" s="18">
        <f t="shared" si="5"/>
        <v>1170</v>
      </c>
      <c r="AO65" s="14" t="s">
        <v>465</v>
      </c>
      <c r="AP65" s="18"/>
      <c r="AQ65" s="14"/>
      <c r="AR65" s="18"/>
      <c r="AS65" s="14"/>
      <c r="AT65" s="14"/>
    </row>
    <row r="66" spans="1:46" ht="16.5" x14ac:dyDescent="0.2">
      <c r="A66" s="14">
        <v>6</v>
      </c>
      <c r="B66" s="14">
        <v>3</v>
      </c>
      <c r="C66" s="14">
        <v>1</v>
      </c>
      <c r="D66" s="18">
        <f t="shared" si="3"/>
        <v>125</v>
      </c>
      <c r="E66" s="14" t="s">
        <v>414</v>
      </c>
      <c r="F66" s="18">
        <f t="shared" si="8"/>
        <v>720</v>
      </c>
      <c r="G66" s="14" t="s">
        <v>454</v>
      </c>
      <c r="H66" s="18">
        <f t="shared" si="9"/>
        <v>780</v>
      </c>
      <c r="I66" s="14"/>
      <c r="J66" s="18"/>
      <c r="K66" s="14"/>
      <c r="L66" s="18"/>
      <c r="M66" s="14" t="s">
        <v>816</v>
      </c>
      <c r="N66" s="18">
        <f>INDEX($Z$17:$AE$26,章节!$A66,MATCH(M66,$Z$16:$AE$16,0))</f>
        <v>390</v>
      </c>
      <c r="O66" s="14" t="s">
        <v>826</v>
      </c>
      <c r="P66" s="18">
        <f>INDEX($Z$17:$AE$26,章节!$A66,MATCH(O66,$Z$16:$AE$16,0))</f>
        <v>360</v>
      </c>
      <c r="Q66" s="14"/>
      <c r="R66" s="18"/>
      <c r="S66" s="14"/>
      <c r="T66" s="18"/>
      <c r="AG66" s="14">
        <v>6</v>
      </c>
      <c r="AH66" s="14">
        <v>3</v>
      </c>
      <c r="AI66" s="14">
        <v>1</v>
      </c>
      <c r="AJ66" s="18">
        <f t="shared" si="10"/>
        <v>200</v>
      </c>
      <c r="AK66" s="14" t="s">
        <v>414</v>
      </c>
      <c r="AL66" s="18">
        <f t="shared" si="4"/>
        <v>1440</v>
      </c>
      <c r="AM66" s="14" t="s">
        <v>454</v>
      </c>
      <c r="AN66" s="18">
        <f t="shared" si="5"/>
        <v>1170</v>
      </c>
      <c r="AO66" s="14" t="s">
        <v>464</v>
      </c>
      <c r="AP66" s="18"/>
      <c r="AQ66" s="14"/>
      <c r="AR66" s="18"/>
      <c r="AS66" s="14"/>
      <c r="AT66" s="14"/>
    </row>
    <row r="67" spans="1:46" ht="16.5" x14ac:dyDescent="0.2">
      <c r="A67" s="14">
        <v>6</v>
      </c>
      <c r="B67" s="14">
        <v>4</v>
      </c>
      <c r="C67" s="14">
        <v>0</v>
      </c>
      <c r="D67" s="18">
        <f t="shared" si="3"/>
        <v>125</v>
      </c>
      <c r="E67" s="14" t="s">
        <v>414</v>
      </c>
      <c r="F67" s="18">
        <f t="shared" si="8"/>
        <v>720</v>
      </c>
      <c r="G67" s="14" t="s">
        <v>455</v>
      </c>
      <c r="H67" s="18">
        <f t="shared" si="9"/>
        <v>780</v>
      </c>
      <c r="I67" s="14"/>
      <c r="J67" s="18"/>
      <c r="K67" s="14"/>
      <c r="L67" s="18"/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4</v>
      </c>
      <c r="AI67" s="14">
        <v>0</v>
      </c>
      <c r="AJ67" s="18">
        <f t="shared" si="10"/>
        <v>200</v>
      </c>
      <c r="AK67" s="14" t="s">
        <v>414</v>
      </c>
      <c r="AL67" s="18">
        <f t="shared" si="4"/>
        <v>1440</v>
      </c>
      <c r="AM67" s="14" t="s">
        <v>455</v>
      </c>
      <c r="AN67" s="18">
        <f t="shared" si="5"/>
        <v>1170</v>
      </c>
      <c r="AO67" s="14" t="s">
        <v>465</v>
      </c>
      <c r="AP67" s="18"/>
      <c r="AQ67" s="14"/>
      <c r="AR67" s="18"/>
      <c r="AS67" s="14"/>
      <c r="AT67" s="14"/>
    </row>
    <row r="68" spans="1:46" ht="16.5" x14ac:dyDescent="0.2">
      <c r="A68" s="14">
        <v>6</v>
      </c>
      <c r="B68" s="14">
        <v>5</v>
      </c>
      <c r="C68" s="14">
        <v>0</v>
      </c>
      <c r="D68" s="18">
        <f t="shared" si="3"/>
        <v>125</v>
      </c>
      <c r="E68" s="14" t="s">
        <v>414</v>
      </c>
      <c r="F68" s="18">
        <f t="shared" ref="F68:F99" si="11">INDEX($Z$4:$Z$13,$A68)</f>
        <v>720</v>
      </c>
      <c r="G68" s="14" t="s">
        <v>454</v>
      </c>
      <c r="H68" s="18">
        <f t="shared" ref="H68:H99" si="12">INDEX($AA$4:$AA$13,$A68)</f>
        <v>780</v>
      </c>
      <c r="I68" s="14"/>
      <c r="J68" s="18"/>
      <c r="K68" s="14"/>
      <c r="L68" s="18"/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5</v>
      </c>
      <c r="AI68" s="14">
        <v>0</v>
      </c>
      <c r="AJ68" s="18">
        <f t="shared" ref="AJ68:AJ99" si="13">ROUND(INDEX($AX$4:$AX$13,A68)/INDEX($AY$4:$AY$13,A68)/50,0)*50</f>
        <v>200</v>
      </c>
      <c r="AK68" s="14" t="s">
        <v>414</v>
      </c>
      <c r="AL68" s="18">
        <f t="shared" si="4"/>
        <v>1440</v>
      </c>
      <c r="AM68" s="14" t="s">
        <v>454</v>
      </c>
      <c r="AN68" s="18">
        <f t="shared" si="5"/>
        <v>1170</v>
      </c>
      <c r="AO68" s="14" t="s">
        <v>464</v>
      </c>
      <c r="AP68" s="18"/>
      <c r="AQ68" s="14"/>
      <c r="AR68" s="18"/>
      <c r="AS68" s="14"/>
      <c r="AT68" s="14"/>
    </row>
    <row r="69" spans="1:46" ht="16.5" x14ac:dyDescent="0.2">
      <c r="A69" s="14">
        <v>6</v>
      </c>
      <c r="B69" s="14">
        <v>6</v>
      </c>
      <c r="C69" s="14">
        <v>1</v>
      </c>
      <c r="D69" s="18">
        <f t="shared" ref="D69:D123" si="14">ROUND(INDEX($X$4:$X$13,A69)/INDEX($Y$4:$Y$13,A69)/5,0)*5</f>
        <v>125</v>
      </c>
      <c r="E69" s="14" t="s">
        <v>414</v>
      </c>
      <c r="F69" s="18">
        <f t="shared" si="11"/>
        <v>720</v>
      </c>
      <c r="G69" s="14" t="s">
        <v>455</v>
      </c>
      <c r="H69" s="18">
        <f t="shared" si="12"/>
        <v>780</v>
      </c>
      <c r="I69" s="14"/>
      <c r="J69" s="18"/>
      <c r="K69" s="14"/>
      <c r="L69" s="18"/>
      <c r="M69" s="14" t="s">
        <v>816</v>
      </c>
      <c r="N69" s="18">
        <f>INDEX($Z$17:$AE$26,章节!$A69,MATCH(M69,$Z$16:$AE$16,0))</f>
        <v>390</v>
      </c>
      <c r="O69" s="14" t="s">
        <v>826</v>
      </c>
      <c r="P69" s="18">
        <f>INDEX($Z$17:$AE$26,章节!$A69,MATCH(O69,$Z$16:$AE$16,0))</f>
        <v>360</v>
      </c>
      <c r="Q69" s="14"/>
      <c r="R69" s="18"/>
      <c r="S69" s="14"/>
      <c r="T69" s="18"/>
      <c r="AG69" s="14">
        <v>6</v>
      </c>
      <c r="AH69" s="14">
        <v>6</v>
      </c>
      <c r="AI69" s="14">
        <v>1</v>
      </c>
      <c r="AJ69" s="18">
        <f t="shared" si="13"/>
        <v>200</v>
      </c>
      <c r="AK69" s="14" t="s">
        <v>414</v>
      </c>
      <c r="AL69" s="18">
        <f t="shared" ref="AL69:AL123" si="15">INDEX($AZ$4:$AZ$13,$AG69)</f>
        <v>1440</v>
      </c>
      <c r="AM69" s="14" t="s">
        <v>455</v>
      </c>
      <c r="AN69" s="18">
        <f t="shared" ref="AN69:AN123" si="16">INDEX($BA$4:$BA$13,$AG69)</f>
        <v>1170</v>
      </c>
      <c r="AO69" s="14" t="s">
        <v>465</v>
      </c>
      <c r="AP69" s="18"/>
      <c r="AQ69" s="14"/>
      <c r="AR69" s="18"/>
      <c r="AS69" s="14"/>
      <c r="AT69" s="14"/>
    </row>
    <row r="70" spans="1:46" ht="16.5" x14ac:dyDescent="0.2">
      <c r="A70" s="14">
        <v>6</v>
      </c>
      <c r="B70" s="14">
        <v>7</v>
      </c>
      <c r="C70" s="14">
        <v>0</v>
      </c>
      <c r="D70" s="18">
        <f t="shared" si="14"/>
        <v>125</v>
      </c>
      <c r="E70" s="14" t="s">
        <v>414</v>
      </c>
      <c r="F70" s="18">
        <f t="shared" si="11"/>
        <v>720</v>
      </c>
      <c r="G70" s="14" t="s">
        <v>454</v>
      </c>
      <c r="H70" s="18">
        <f t="shared" si="12"/>
        <v>780</v>
      </c>
      <c r="I70" s="14"/>
      <c r="J70" s="18"/>
      <c r="K70" s="14"/>
      <c r="L70" s="18"/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7</v>
      </c>
      <c r="AI70" s="14">
        <v>0</v>
      </c>
      <c r="AJ70" s="18">
        <f t="shared" si="13"/>
        <v>200</v>
      </c>
      <c r="AK70" s="14" t="s">
        <v>414</v>
      </c>
      <c r="AL70" s="18">
        <f t="shared" si="15"/>
        <v>1440</v>
      </c>
      <c r="AM70" s="14" t="s">
        <v>454</v>
      </c>
      <c r="AN70" s="18">
        <f t="shared" si="16"/>
        <v>1170</v>
      </c>
      <c r="AO70" s="14" t="s">
        <v>464</v>
      </c>
      <c r="AP70" s="18"/>
      <c r="AQ70" s="14"/>
      <c r="AR70" s="18"/>
      <c r="AS70" s="14"/>
      <c r="AT70" s="14"/>
    </row>
    <row r="71" spans="1:46" ht="16.5" x14ac:dyDescent="0.2">
      <c r="A71" s="14">
        <v>6</v>
      </c>
      <c r="B71" s="14">
        <v>8</v>
      </c>
      <c r="C71" s="14">
        <v>0</v>
      </c>
      <c r="D71" s="18">
        <f t="shared" si="14"/>
        <v>125</v>
      </c>
      <c r="E71" s="14" t="s">
        <v>414</v>
      </c>
      <c r="F71" s="18">
        <f t="shared" si="11"/>
        <v>720</v>
      </c>
      <c r="G71" s="14" t="s">
        <v>455</v>
      </c>
      <c r="H71" s="18">
        <f t="shared" si="12"/>
        <v>780</v>
      </c>
      <c r="I71" s="14"/>
      <c r="J71" s="18"/>
      <c r="K71" s="14"/>
      <c r="L71" s="18"/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8</v>
      </c>
      <c r="AI71" s="14">
        <v>0</v>
      </c>
      <c r="AJ71" s="18">
        <f t="shared" si="13"/>
        <v>200</v>
      </c>
      <c r="AK71" s="14" t="s">
        <v>414</v>
      </c>
      <c r="AL71" s="18">
        <f t="shared" si="15"/>
        <v>1440</v>
      </c>
      <c r="AM71" s="14" t="s">
        <v>455</v>
      </c>
      <c r="AN71" s="18">
        <f t="shared" si="16"/>
        <v>1170</v>
      </c>
      <c r="AO71" s="14" t="s">
        <v>465</v>
      </c>
      <c r="AP71" s="18"/>
      <c r="AQ71" s="14"/>
      <c r="AR71" s="18"/>
      <c r="AS71" s="14"/>
      <c r="AT71" s="14"/>
    </row>
    <row r="72" spans="1:46" ht="16.5" x14ac:dyDescent="0.2">
      <c r="A72" s="14">
        <v>6</v>
      </c>
      <c r="B72" s="14">
        <v>9</v>
      </c>
      <c r="C72" s="14">
        <v>1</v>
      </c>
      <c r="D72" s="18">
        <f t="shared" si="14"/>
        <v>125</v>
      </c>
      <c r="E72" s="14" t="s">
        <v>414</v>
      </c>
      <c r="F72" s="18">
        <f t="shared" si="11"/>
        <v>720</v>
      </c>
      <c r="G72" s="14" t="s">
        <v>454</v>
      </c>
      <c r="H72" s="18">
        <f t="shared" si="12"/>
        <v>780</v>
      </c>
      <c r="I72" s="14"/>
      <c r="J72" s="18"/>
      <c r="K72" s="14"/>
      <c r="L72" s="18"/>
      <c r="M72" s="14" t="s">
        <v>816</v>
      </c>
      <c r="N72" s="18">
        <f>INDEX($Z$17:$AE$26,章节!$A72,MATCH(M72,$Z$16:$AE$16,0))</f>
        <v>390</v>
      </c>
      <c r="O72" s="14" t="s">
        <v>826</v>
      </c>
      <c r="P72" s="18">
        <f>INDEX($Z$17:$AE$26,章节!$A72,MATCH(O72,$Z$16:$AE$16,0))</f>
        <v>360</v>
      </c>
      <c r="Q72" s="14"/>
      <c r="R72" s="18"/>
      <c r="S72" s="14"/>
      <c r="T72" s="18"/>
      <c r="AG72" s="14">
        <v>6</v>
      </c>
      <c r="AH72" s="14">
        <v>9</v>
      </c>
      <c r="AI72" s="14">
        <v>1</v>
      </c>
      <c r="AJ72" s="18">
        <f t="shared" si="13"/>
        <v>200</v>
      </c>
      <c r="AK72" s="14" t="s">
        <v>414</v>
      </c>
      <c r="AL72" s="18">
        <f t="shared" si="15"/>
        <v>1440</v>
      </c>
      <c r="AM72" s="14" t="s">
        <v>454</v>
      </c>
      <c r="AN72" s="18">
        <f t="shared" si="16"/>
        <v>1170</v>
      </c>
      <c r="AO72" s="14" t="s">
        <v>464</v>
      </c>
      <c r="AP72" s="18"/>
      <c r="AQ72" s="14"/>
      <c r="AR72" s="18"/>
      <c r="AS72" s="14"/>
      <c r="AT72" s="14"/>
    </row>
    <row r="73" spans="1:46" ht="16.5" x14ac:dyDescent="0.2">
      <c r="A73" s="14">
        <v>6</v>
      </c>
      <c r="B73" s="14">
        <v>10</v>
      </c>
      <c r="C73" s="14">
        <v>0</v>
      </c>
      <c r="D73" s="18">
        <f t="shared" si="14"/>
        <v>125</v>
      </c>
      <c r="E73" s="14" t="s">
        <v>414</v>
      </c>
      <c r="F73" s="18">
        <f t="shared" si="11"/>
        <v>720</v>
      </c>
      <c r="G73" s="14" t="s">
        <v>455</v>
      </c>
      <c r="H73" s="18">
        <f t="shared" si="12"/>
        <v>780</v>
      </c>
      <c r="I73" s="14"/>
      <c r="J73" s="18"/>
      <c r="K73" s="14"/>
      <c r="L73" s="18"/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10</v>
      </c>
      <c r="AI73" s="14">
        <v>0</v>
      </c>
      <c r="AJ73" s="18">
        <f t="shared" si="13"/>
        <v>200</v>
      </c>
      <c r="AK73" s="14" t="s">
        <v>414</v>
      </c>
      <c r="AL73" s="18">
        <f t="shared" si="15"/>
        <v>1440</v>
      </c>
      <c r="AM73" s="14" t="s">
        <v>455</v>
      </c>
      <c r="AN73" s="18">
        <f t="shared" si="16"/>
        <v>1170</v>
      </c>
      <c r="AO73" s="14" t="s">
        <v>465</v>
      </c>
      <c r="AP73" s="18"/>
      <c r="AQ73" s="14"/>
      <c r="AR73" s="18"/>
      <c r="AS73" s="14"/>
      <c r="AT73" s="14"/>
    </row>
    <row r="74" spans="1:46" ht="16.5" x14ac:dyDescent="0.2">
      <c r="A74" s="14">
        <v>6</v>
      </c>
      <c r="B74" s="14">
        <v>11</v>
      </c>
      <c r="C74" s="14">
        <v>0</v>
      </c>
      <c r="D74" s="18">
        <f t="shared" si="14"/>
        <v>125</v>
      </c>
      <c r="E74" s="14" t="s">
        <v>414</v>
      </c>
      <c r="F74" s="18">
        <f t="shared" si="11"/>
        <v>720</v>
      </c>
      <c r="G74" s="14" t="s">
        <v>454</v>
      </c>
      <c r="H74" s="18">
        <f t="shared" si="12"/>
        <v>780</v>
      </c>
      <c r="I74" s="14"/>
      <c r="J74" s="18"/>
      <c r="K74" s="14"/>
      <c r="L74" s="18"/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11</v>
      </c>
      <c r="AI74" s="14">
        <v>0</v>
      </c>
      <c r="AJ74" s="18">
        <f t="shared" si="13"/>
        <v>200</v>
      </c>
      <c r="AK74" s="14" t="s">
        <v>414</v>
      </c>
      <c r="AL74" s="18">
        <f t="shared" si="15"/>
        <v>1440</v>
      </c>
      <c r="AM74" s="14" t="s">
        <v>454</v>
      </c>
      <c r="AN74" s="18">
        <f t="shared" si="16"/>
        <v>1170</v>
      </c>
      <c r="AO74" s="14" t="s">
        <v>464</v>
      </c>
      <c r="AP74" s="18"/>
      <c r="AQ74" s="14"/>
      <c r="AR74" s="18"/>
      <c r="AS74" s="14"/>
      <c r="AT74" s="14"/>
    </row>
    <row r="75" spans="1:46" ht="16.5" x14ac:dyDescent="0.2">
      <c r="A75" s="14">
        <v>6</v>
      </c>
      <c r="B75" s="14">
        <v>12</v>
      </c>
      <c r="C75" s="14">
        <v>1</v>
      </c>
      <c r="D75" s="18">
        <f t="shared" si="14"/>
        <v>125</v>
      </c>
      <c r="E75" s="14" t="s">
        <v>414</v>
      </c>
      <c r="F75" s="18">
        <f t="shared" si="11"/>
        <v>720</v>
      </c>
      <c r="G75" s="14" t="s">
        <v>455</v>
      </c>
      <c r="H75" s="18">
        <f t="shared" si="12"/>
        <v>780</v>
      </c>
      <c r="I75" s="14"/>
      <c r="J75" s="18"/>
      <c r="K75" s="14"/>
      <c r="L75" s="18"/>
      <c r="M75" s="14" t="s">
        <v>816</v>
      </c>
      <c r="N75" s="18">
        <f>INDEX($Z$17:$AE$26,章节!$A75,MATCH(M75,$Z$16:$AE$16,0))</f>
        <v>390</v>
      </c>
      <c r="O75" s="14" t="s">
        <v>826</v>
      </c>
      <c r="P75" s="18">
        <f>INDEX($Z$17:$AE$26,章节!$A75,MATCH(O75,$Z$16:$AE$16,0))</f>
        <v>360</v>
      </c>
      <c r="Q75" s="14"/>
      <c r="R75" s="18"/>
      <c r="S75" s="14"/>
      <c r="T75" s="18"/>
      <c r="AG75" s="14">
        <v>6</v>
      </c>
      <c r="AH75" s="14">
        <v>12</v>
      </c>
      <c r="AI75" s="14">
        <v>1</v>
      </c>
      <c r="AJ75" s="18">
        <f t="shared" si="13"/>
        <v>200</v>
      </c>
      <c r="AK75" s="14" t="s">
        <v>414</v>
      </c>
      <c r="AL75" s="18">
        <f t="shared" si="15"/>
        <v>1440</v>
      </c>
      <c r="AM75" s="14" t="s">
        <v>455</v>
      </c>
      <c r="AN75" s="18">
        <f t="shared" si="16"/>
        <v>1170</v>
      </c>
      <c r="AO75" s="14" t="s">
        <v>465</v>
      </c>
      <c r="AP75" s="18"/>
      <c r="AQ75" s="14"/>
      <c r="AR75" s="18"/>
      <c r="AS75" s="14"/>
      <c r="AT75" s="14"/>
    </row>
    <row r="76" spans="1:46" ht="16.5" x14ac:dyDescent="0.2">
      <c r="A76" s="14">
        <v>6</v>
      </c>
      <c r="B76" s="14">
        <v>13</v>
      </c>
      <c r="C76" s="14">
        <v>0</v>
      </c>
      <c r="D76" s="18">
        <f t="shared" si="14"/>
        <v>125</v>
      </c>
      <c r="E76" s="14" t="s">
        <v>414</v>
      </c>
      <c r="F76" s="18">
        <f t="shared" si="11"/>
        <v>720</v>
      </c>
      <c r="G76" s="14" t="s">
        <v>454</v>
      </c>
      <c r="H76" s="18">
        <f t="shared" si="12"/>
        <v>780</v>
      </c>
      <c r="I76" s="14"/>
      <c r="J76" s="18"/>
      <c r="K76" s="14"/>
      <c r="L76" s="18"/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13</v>
      </c>
      <c r="AI76" s="14">
        <v>0</v>
      </c>
      <c r="AJ76" s="18">
        <f t="shared" si="13"/>
        <v>200</v>
      </c>
      <c r="AK76" s="14" t="s">
        <v>414</v>
      </c>
      <c r="AL76" s="18">
        <f t="shared" si="15"/>
        <v>1440</v>
      </c>
      <c r="AM76" s="14" t="s">
        <v>454</v>
      </c>
      <c r="AN76" s="18">
        <f t="shared" si="16"/>
        <v>1170</v>
      </c>
      <c r="AO76" s="14" t="s">
        <v>464</v>
      </c>
      <c r="AP76" s="18"/>
      <c r="AQ76" s="14"/>
      <c r="AR76" s="18"/>
      <c r="AS76" s="14"/>
      <c r="AT76" s="14"/>
    </row>
    <row r="77" spans="1:46" ht="16.5" x14ac:dyDescent="0.2">
      <c r="A77" s="14">
        <v>6</v>
      </c>
      <c r="B77" s="14">
        <v>14</v>
      </c>
      <c r="C77" s="14">
        <v>0</v>
      </c>
      <c r="D77" s="18">
        <f t="shared" si="14"/>
        <v>125</v>
      </c>
      <c r="E77" s="14" t="s">
        <v>414</v>
      </c>
      <c r="F77" s="18">
        <f t="shared" si="11"/>
        <v>720</v>
      </c>
      <c r="G77" s="14" t="s">
        <v>455</v>
      </c>
      <c r="H77" s="18">
        <f t="shared" si="12"/>
        <v>780</v>
      </c>
      <c r="I77" s="14"/>
      <c r="J77" s="18"/>
      <c r="K77" s="14"/>
      <c r="L77" s="18"/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14</v>
      </c>
      <c r="AI77" s="14">
        <v>0</v>
      </c>
      <c r="AJ77" s="18">
        <f t="shared" si="13"/>
        <v>200</v>
      </c>
      <c r="AK77" s="14" t="s">
        <v>414</v>
      </c>
      <c r="AL77" s="18">
        <f t="shared" si="15"/>
        <v>1440</v>
      </c>
      <c r="AM77" s="14" t="s">
        <v>455</v>
      </c>
      <c r="AN77" s="18">
        <f t="shared" si="16"/>
        <v>1170</v>
      </c>
      <c r="AO77" s="14" t="s">
        <v>465</v>
      </c>
      <c r="AP77" s="18"/>
      <c r="AQ77" s="14"/>
      <c r="AR77" s="18"/>
      <c r="AS77" s="14"/>
      <c r="AT77" s="14"/>
    </row>
    <row r="78" spans="1:46" ht="16.5" x14ac:dyDescent="0.2">
      <c r="A78" s="14">
        <v>6</v>
      </c>
      <c r="B78" s="14">
        <v>15</v>
      </c>
      <c r="C78" s="14">
        <v>1</v>
      </c>
      <c r="D78" s="18">
        <f t="shared" si="14"/>
        <v>125</v>
      </c>
      <c r="E78" s="14" t="s">
        <v>414</v>
      </c>
      <c r="F78" s="18">
        <f t="shared" si="11"/>
        <v>720</v>
      </c>
      <c r="G78" s="14" t="s">
        <v>455</v>
      </c>
      <c r="H78" s="18">
        <f t="shared" si="12"/>
        <v>780</v>
      </c>
      <c r="I78" s="14"/>
      <c r="J78" s="18"/>
      <c r="K78" s="14"/>
      <c r="L78" s="18"/>
      <c r="M78" s="14" t="s">
        <v>816</v>
      </c>
      <c r="N78" s="18">
        <f>INDEX($Z$17:$AE$26,章节!$A78,MATCH(M78,$Z$16:$AE$16,0))</f>
        <v>390</v>
      </c>
      <c r="O78" s="14" t="s">
        <v>826</v>
      </c>
      <c r="P78" s="18">
        <f>INDEX($Z$17:$AE$26,章节!$A78,MATCH(O78,$Z$16:$AE$16,0))</f>
        <v>360</v>
      </c>
      <c r="Q78" s="14"/>
      <c r="R78" s="18"/>
      <c r="S78" s="14"/>
      <c r="T78" s="18"/>
      <c r="AG78" s="14">
        <v>6</v>
      </c>
      <c r="AH78" s="14">
        <v>15</v>
      </c>
      <c r="AI78" s="14">
        <v>1</v>
      </c>
      <c r="AJ78" s="18">
        <f t="shared" si="13"/>
        <v>200</v>
      </c>
      <c r="AK78" s="14" t="s">
        <v>414</v>
      </c>
      <c r="AL78" s="18">
        <f t="shared" si="15"/>
        <v>1440</v>
      </c>
      <c r="AM78" s="14" t="s">
        <v>455</v>
      </c>
      <c r="AN78" s="18">
        <f t="shared" si="16"/>
        <v>1170</v>
      </c>
      <c r="AO78" s="14" t="s">
        <v>464</v>
      </c>
      <c r="AP78" s="18"/>
      <c r="AQ78" s="14"/>
      <c r="AR78" s="18"/>
      <c r="AS78" s="14"/>
      <c r="AT78" s="14"/>
    </row>
    <row r="79" spans="1:46" ht="16.5" x14ac:dyDescent="0.2">
      <c r="A79" s="14">
        <v>7</v>
      </c>
      <c r="B79" s="14">
        <v>1</v>
      </c>
      <c r="C79" s="14">
        <v>0</v>
      </c>
      <c r="D79" s="18">
        <f t="shared" si="14"/>
        <v>150</v>
      </c>
      <c r="E79" s="14" t="s">
        <v>414</v>
      </c>
      <c r="F79" s="18">
        <f t="shared" si="11"/>
        <v>840</v>
      </c>
      <c r="G79" s="14" t="s">
        <v>454</v>
      </c>
      <c r="H79" s="18">
        <f t="shared" si="12"/>
        <v>900</v>
      </c>
      <c r="I79" s="14"/>
      <c r="J79" s="18"/>
      <c r="K79" s="14"/>
      <c r="L79" s="18"/>
      <c r="M79" s="14"/>
      <c r="N79" s="18"/>
      <c r="O79" s="14"/>
      <c r="P79" s="18"/>
      <c r="Q79" s="14"/>
      <c r="R79" s="18"/>
      <c r="S79" s="14"/>
      <c r="T79" s="18"/>
      <c r="AG79" s="14">
        <v>7</v>
      </c>
      <c r="AH79" s="14">
        <v>1</v>
      </c>
      <c r="AI79" s="14">
        <v>0</v>
      </c>
      <c r="AJ79" s="18">
        <f t="shared" si="13"/>
        <v>250</v>
      </c>
      <c r="AK79" s="14" t="s">
        <v>414</v>
      </c>
      <c r="AL79" s="18">
        <f t="shared" si="15"/>
        <v>1680</v>
      </c>
      <c r="AM79" s="14" t="s">
        <v>454</v>
      </c>
      <c r="AN79" s="18">
        <f t="shared" si="16"/>
        <v>1350</v>
      </c>
      <c r="AO79" s="14" t="s">
        <v>466</v>
      </c>
      <c r="AP79" s="18"/>
      <c r="AQ79" s="14"/>
      <c r="AR79" s="18"/>
      <c r="AS79" s="14"/>
      <c r="AT79" s="14"/>
    </row>
    <row r="80" spans="1:46" ht="16.5" x14ac:dyDescent="0.2">
      <c r="A80" s="14">
        <v>7</v>
      </c>
      <c r="B80" s="14">
        <v>2</v>
      </c>
      <c r="C80" s="14">
        <v>0</v>
      </c>
      <c r="D80" s="18">
        <f t="shared" si="14"/>
        <v>150</v>
      </c>
      <c r="E80" s="14" t="s">
        <v>414</v>
      </c>
      <c r="F80" s="18">
        <f t="shared" si="11"/>
        <v>840</v>
      </c>
      <c r="G80" s="14" t="s">
        <v>455</v>
      </c>
      <c r="H80" s="18">
        <f t="shared" si="12"/>
        <v>900</v>
      </c>
      <c r="I80" s="14"/>
      <c r="J80" s="18"/>
      <c r="K80" s="14"/>
      <c r="L80" s="18"/>
      <c r="M80" s="14"/>
      <c r="N80" s="18"/>
      <c r="O80" s="14"/>
      <c r="P80" s="18"/>
      <c r="Q80" s="14"/>
      <c r="R80" s="18"/>
      <c r="S80" s="14"/>
      <c r="T80" s="18"/>
      <c r="AG80" s="14">
        <v>7</v>
      </c>
      <c r="AH80" s="14">
        <v>2</v>
      </c>
      <c r="AI80" s="14">
        <v>0</v>
      </c>
      <c r="AJ80" s="18">
        <f t="shared" si="13"/>
        <v>250</v>
      </c>
      <c r="AK80" s="14" t="s">
        <v>414</v>
      </c>
      <c r="AL80" s="18">
        <f t="shared" si="15"/>
        <v>1680</v>
      </c>
      <c r="AM80" s="14" t="s">
        <v>455</v>
      </c>
      <c r="AN80" s="18">
        <f t="shared" si="16"/>
        <v>1350</v>
      </c>
      <c r="AO80" s="14" t="s">
        <v>467</v>
      </c>
      <c r="AP80" s="18"/>
      <c r="AQ80" s="14"/>
      <c r="AR80" s="18"/>
      <c r="AS80" s="14"/>
      <c r="AT80" s="14"/>
    </row>
    <row r="81" spans="1:46" ht="16.5" x14ac:dyDescent="0.2">
      <c r="A81" s="14">
        <v>7</v>
      </c>
      <c r="B81" s="14">
        <v>3</v>
      </c>
      <c r="C81" s="14">
        <v>1</v>
      </c>
      <c r="D81" s="18">
        <f t="shared" si="14"/>
        <v>150</v>
      </c>
      <c r="E81" s="14" t="s">
        <v>414</v>
      </c>
      <c r="F81" s="18">
        <f t="shared" si="11"/>
        <v>840</v>
      </c>
      <c r="G81" s="14" t="s">
        <v>454</v>
      </c>
      <c r="H81" s="18">
        <f t="shared" si="12"/>
        <v>900</v>
      </c>
      <c r="I81" s="14"/>
      <c r="J81" s="18"/>
      <c r="K81" s="14"/>
      <c r="L81" s="18"/>
      <c r="M81" s="14" t="s">
        <v>816</v>
      </c>
      <c r="N81" s="18">
        <f>INDEX($Z$17:$AE$26,章节!$A81,MATCH(M81,$Z$16:$AE$16,0))</f>
        <v>450</v>
      </c>
      <c r="O81" s="14" t="s">
        <v>826</v>
      </c>
      <c r="P81" s="18">
        <f>INDEX($Z$17:$AE$26,章节!$A81,MATCH(O81,$Z$16:$AE$16,0))</f>
        <v>420</v>
      </c>
      <c r="Q81" s="14"/>
      <c r="R81" s="18"/>
      <c r="S81" s="14"/>
      <c r="T81" s="18"/>
      <c r="AG81" s="14">
        <v>7</v>
      </c>
      <c r="AH81" s="14">
        <v>3</v>
      </c>
      <c r="AI81" s="14">
        <v>1</v>
      </c>
      <c r="AJ81" s="18">
        <f t="shared" si="13"/>
        <v>250</v>
      </c>
      <c r="AK81" s="14" t="s">
        <v>414</v>
      </c>
      <c r="AL81" s="18">
        <f t="shared" si="15"/>
        <v>1680</v>
      </c>
      <c r="AM81" s="14" t="s">
        <v>454</v>
      </c>
      <c r="AN81" s="18">
        <f t="shared" si="16"/>
        <v>1350</v>
      </c>
      <c r="AO81" s="14" t="s">
        <v>466</v>
      </c>
      <c r="AP81" s="18"/>
      <c r="AQ81" s="14"/>
      <c r="AR81" s="18"/>
      <c r="AS81" s="14"/>
      <c r="AT81" s="14"/>
    </row>
    <row r="82" spans="1:46" ht="16.5" x14ac:dyDescent="0.2">
      <c r="A82" s="14">
        <v>7</v>
      </c>
      <c r="B82" s="14">
        <v>4</v>
      </c>
      <c r="C82" s="14">
        <v>0</v>
      </c>
      <c r="D82" s="18">
        <f t="shared" si="14"/>
        <v>150</v>
      </c>
      <c r="E82" s="14" t="s">
        <v>414</v>
      </c>
      <c r="F82" s="18">
        <f t="shared" si="11"/>
        <v>840</v>
      </c>
      <c r="G82" s="14" t="s">
        <v>455</v>
      </c>
      <c r="H82" s="18">
        <f t="shared" si="12"/>
        <v>900</v>
      </c>
      <c r="I82" s="14"/>
      <c r="J82" s="18"/>
      <c r="K82" s="14"/>
      <c r="L82" s="18"/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4</v>
      </c>
      <c r="AI82" s="14">
        <v>0</v>
      </c>
      <c r="AJ82" s="18">
        <f t="shared" si="13"/>
        <v>250</v>
      </c>
      <c r="AK82" s="14" t="s">
        <v>414</v>
      </c>
      <c r="AL82" s="18">
        <f t="shared" si="15"/>
        <v>1680</v>
      </c>
      <c r="AM82" s="14" t="s">
        <v>455</v>
      </c>
      <c r="AN82" s="18">
        <f t="shared" si="16"/>
        <v>1350</v>
      </c>
      <c r="AO82" s="14" t="s">
        <v>467</v>
      </c>
      <c r="AP82" s="18"/>
      <c r="AQ82" s="14"/>
      <c r="AR82" s="18"/>
      <c r="AS82" s="14"/>
      <c r="AT82" s="14"/>
    </row>
    <row r="83" spans="1:46" ht="16.5" x14ac:dyDescent="0.2">
      <c r="A83" s="14">
        <v>7</v>
      </c>
      <c r="B83" s="14">
        <v>5</v>
      </c>
      <c r="C83" s="14">
        <v>0</v>
      </c>
      <c r="D83" s="18">
        <f t="shared" si="14"/>
        <v>150</v>
      </c>
      <c r="E83" s="14" t="s">
        <v>414</v>
      </c>
      <c r="F83" s="18">
        <f t="shared" si="11"/>
        <v>840</v>
      </c>
      <c r="G83" s="14" t="s">
        <v>454</v>
      </c>
      <c r="H83" s="18">
        <f t="shared" si="12"/>
        <v>900</v>
      </c>
      <c r="I83" s="14"/>
      <c r="J83" s="18"/>
      <c r="K83" s="14"/>
      <c r="L83" s="18"/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5</v>
      </c>
      <c r="AI83" s="14">
        <v>0</v>
      </c>
      <c r="AJ83" s="18">
        <f t="shared" si="13"/>
        <v>250</v>
      </c>
      <c r="AK83" s="14" t="s">
        <v>414</v>
      </c>
      <c r="AL83" s="18">
        <f t="shared" si="15"/>
        <v>1680</v>
      </c>
      <c r="AM83" s="14" t="s">
        <v>454</v>
      </c>
      <c r="AN83" s="18">
        <f t="shared" si="16"/>
        <v>1350</v>
      </c>
      <c r="AO83" s="14" t="s">
        <v>466</v>
      </c>
      <c r="AP83" s="18"/>
      <c r="AQ83" s="14"/>
      <c r="AR83" s="18"/>
      <c r="AS83" s="14"/>
      <c r="AT83" s="14"/>
    </row>
    <row r="84" spans="1:46" ht="16.5" x14ac:dyDescent="0.2">
      <c r="A84" s="14">
        <v>7</v>
      </c>
      <c r="B84" s="14">
        <v>6</v>
      </c>
      <c r="C84" s="14">
        <v>1</v>
      </c>
      <c r="D84" s="18">
        <f t="shared" si="14"/>
        <v>150</v>
      </c>
      <c r="E84" s="14" t="s">
        <v>414</v>
      </c>
      <c r="F84" s="18">
        <f t="shared" si="11"/>
        <v>840</v>
      </c>
      <c r="G84" s="14" t="s">
        <v>455</v>
      </c>
      <c r="H84" s="18">
        <f t="shared" si="12"/>
        <v>900</v>
      </c>
      <c r="I84" s="14"/>
      <c r="J84" s="18"/>
      <c r="K84" s="14"/>
      <c r="L84" s="18"/>
      <c r="M84" s="14" t="s">
        <v>816</v>
      </c>
      <c r="N84" s="18">
        <f>INDEX($Z$17:$AE$26,章节!$A84,MATCH(M84,$Z$16:$AE$16,0))</f>
        <v>450</v>
      </c>
      <c r="O84" s="14" t="s">
        <v>826</v>
      </c>
      <c r="P84" s="18">
        <f>INDEX($Z$17:$AE$26,章节!$A84,MATCH(O84,$Z$16:$AE$16,0))</f>
        <v>420</v>
      </c>
      <c r="Q84" s="14"/>
      <c r="R84" s="18"/>
      <c r="S84" s="14"/>
      <c r="T84" s="18"/>
      <c r="AG84" s="14">
        <v>7</v>
      </c>
      <c r="AH84" s="14">
        <v>6</v>
      </c>
      <c r="AI84" s="14">
        <v>1</v>
      </c>
      <c r="AJ84" s="18">
        <f t="shared" si="13"/>
        <v>250</v>
      </c>
      <c r="AK84" s="14" t="s">
        <v>414</v>
      </c>
      <c r="AL84" s="18">
        <f t="shared" si="15"/>
        <v>1680</v>
      </c>
      <c r="AM84" s="14" t="s">
        <v>455</v>
      </c>
      <c r="AN84" s="18">
        <f t="shared" si="16"/>
        <v>1350</v>
      </c>
      <c r="AO84" s="14" t="s">
        <v>467</v>
      </c>
      <c r="AP84" s="18"/>
      <c r="AQ84" s="14"/>
      <c r="AR84" s="18"/>
      <c r="AS84" s="14"/>
      <c r="AT84" s="14"/>
    </row>
    <row r="85" spans="1:46" ht="16.5" x14ac:dyDescent="0.2">
      <c r="A85" s="14">
        <v>7</v>
      </c>
      <c r="B85" s="14">
        <v>7</v>
      </c>
      <c r="C85" s="14">
        <v>0</v>
      </c>
      <c r="D85" s="18">
        <f t="shared" si="14"/>
        <v>150</v>
      </c>
      <c r="E85" s="14" t="s">
        <v>414</v>
      </c>
      <c r="F85" s="18">
        <f t="shared" si="11"/>
        <v>840</v>
      </c>
      <c r="G85" s="14" t="s">
        <v>454</v>
      </c>
      <c r="H85" s="18">
        <f t="shared" si="12"/>
        <v>900</v>
      </c>
      <c r="I85" s="14"/>
      <c r="J85" s="18"/>
      <c r="K85" s="14"/>
      <c r="L85" s="18"/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7</v>
      </c>
      <c r="AI85" s="14">
        <v>0</v>
      </c>
      <c r="AJ85" s="18">
        <f t="shared" si="13"/>
        <v>250</v>
      </c>
      <c r="AK85" s="14" t="s">
        <v>414</v>
      </c>
      <c r="AL85" s="18">
        <f t="shared" si="15"/>
        <v>1680</v>
      </c>
      <c r="AM85" s="14" t="s">
        <v>454</v>
      </c>
      <c r="AN85" s="18">
        <f t="shared" si="16"/>
        <v>1350</v>
      </c>
      <c r="AO85" s="14" t="s">
        <v>466</v>
      </c>
      <c r="AP85" s="18"/>
      <c r="AQ85" s="14"/>
      <c r="AR85" s="18"/>
      <c r="AS85" s="14"/>
      <c r="AT85" s="14"/>
    </row>
    <row r="86" spans="1:46" ht="16.5" x14ac:dyDescent="0.2">
      <c r="A86" s="14">
        <v>7</v>
      </c>
      <c r="B86" s="14">
        <v>8</v>
      </c>
      <c r="C86" s="14">
        <v>0</v>
      </c>
      <c r="D86" s="18">
        <f t="shared" si="14"/>
        <v>150</v>
      </c>
      <c r="E86" s="14" t="s">
        <v>414</v>
      </c>
      <c r="F86" s="18">
        <f t="shared" si="11"/>
        <v>840</v>
      </c>
      <c r="G86" s="14" t="s">
        <v>455</v>
      </c>
      <c r="H86" s="18">
        <f t="shared" si="12"/>
        <v>900</v>
      </c>
      <c r="I86" s="14"/>
      <c r="J86" s="18"/>
      <c r="K86" s="14"/>
      <c r="L86" s="18"/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8</v>
      </c>
      <c r="AI86" s="14">
        <v>0</v>
      </c>
      <c r="AJ86" s="18">
        <f t="shared" si="13"/>
        <v>250</v>
      </c>
      <c r="AK86" s="14" t="s">
        <v>414</v>
      </c>
      <c r="AL86" s="18">
        <f t="shared" si="15"/>
        <v>1680</v>
      </c>
      <c r="AM86" s="14" t="s">
        <v>455</v>
      </c>
      <c r="AN86" s="18">
        <f t="shared" si="16"/>
        <v>1350</v>
      </c>
      <c r="AO86" s="14" t="s">
        <v>467</v>
      </c>
      <c r="AP86" s="18"/>
      <c r="AQ86" s="14"/>
      <c r="AR86" s="18"/>
      <c r="AS86" s="14"/>
      <c r="AT86" s="14"/>
    </row>
    <row r="87" spans="1:46" ht="16.5" x14ac:dyDescent="0.2">
      <c r="A87" s="14">
        <v>7</v>
      </c>
      <c r="B87" s="14">
        <v>9</v>
      </c>
      <c r="C87" s="14">
        <v>1</v>
      </c>
      <c r="D87" s="18">
        <f t="shared" si="14"/>
        <v>150</v>
      </c>
      <c r="E87" s="14" t="s">
        <v>414</v>
      </c>
      <c r="F87" s="18">
        <f t="shared" si="11"/>
        <v>840</v>
      </c>
      <c r="G87" s="14" t="s">
        <v>454</v>
      </c>
      <c r="H87" s="18">
        <f t="shared" si="12"/>
        <v>900</v>
      </c>
      <c r="I87" s="14"/>
      <c r="J87" s="18"/>
      <c r="K87" s="14"/>
      <c r="L87" s="18"/>
      <c r="M87" s="14" t="s">
        <v>816</v>
      </c>
      <c r="N87" s="18">
        <f>INDEX($Z$17:$AE$26,章节!$A87,MATCH(M87,$Z$16:$AE$16,0))</f>
        <v>450</v>
      </c>
      <c r="O87" s="14" t="s">
        <v>826</v>
      </c>
      <c r="P87" s="18">
        <f>INDEX($Z$17:$AE$26,章节!$A87,MATCH(O87,$Z$16:$AE$16,0))</f>
        <v>420</v>
      </c>
      <c r="Q87" s="14"/>
      <c r="R87" s="18"/>
      <c r="S87" s="14"/>
      <c r="T87" s="18"/>
      <c r="AG87" s="14">
        <v>7</v>
      </c>
      <c r="AH87" s="14">
        <v>9</v>
      </c>
      <c r="AI87" s="14">
        <v>1</v>
      </c>
      <c r="AJ87" s="18">
        <f t="shared" si="13"/>
        <v>250</v>
      </c>
      <c r="AK87" s="14" t="s">
        <v>414</v>
      </c>
      <c r="AL87" s="18">
        <f t="shared" si="15"/>
        <v>1680</v>
      </c>
      <c r="AM87" s="14" t="s">
        <v>454</v>
      </c>
      <c r="AN87" s="18">
        <f t="shared" si="16"/>
        <v>1350</v>
      </c>
      <c r="AO87" s="14" t="s">
        <v>466</v>
      </c>
      <c r="AP87" s="18"/>
      <c r="AQ87" s="14"/>
      <c r="AR87" s="18"/>
      <c r="AS87" s="14"/>
      <c r="AT87" s="14"/>
    </row>
    <row r="88" spans="1:46" ht="16.5" x14ac:dyDescent="0.2">
      <c r="A88" s="14">
        <v>7</v>
      </c>
      <c r="B88" s="14">
        <v>10</v>
      </c>
      <c r="C88" s="14">
        <v>0</v>
      </c>
      <c r="D88" s="18">
        <f t="shared" si="14"/>
        <v>150</v>
      </c>
      <c r="E88" s="14" t="s">
        <v>414</v>
      </c>
      <c r="F88" s="18">
        <f t="shared" si="11"/>
        <v>840</v>
      </c>
      <c r="G88" s="14" t="s">
        <v>455</v>
      </c>
      <c r="H88" s="18">
        <f t="shared" si="12"/>
        <v>900</v>
      </c>
      <c r="I88" s="14"/>
      <c r="J88" s="18"/>
      <c r="K88" s="14"/>
      <c r="L88" s="18"/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10</v>
      </c>
      <c r="AI88" s="14">
        <v>0</v>
      </c>
      <c r="AJ88" s="18">
        <f t="shared" si="13"/>
        <v>250</v>
      </c>
      <c r="AK88" s="14" t="s">
        <v>414</v>
      </c>
      <c r="AL88" s="18">
        <f t="shared" si="15"/>
        <v>1680</v>
      </c>
      <c r="AM88" s="14" t="s">
        <v>455</v>
      </c>
      <c r="AN88" s="18">
        <f t="shared" si="16"/>
        <v>1350</v>
      </c>
      <c r="AO88" s="14" t="s">
        <v>467</v>
      </c>
      <c r="AP88" s="18"/>
      <c r="AQ88" s="14"/>
      <c r="AR88" s="18"/>
      <c r="AS88" s="14"/>
      <c r="AT88" s="14"/>
    </row>
    <row r="89" spans="1:46" ht="16.5" x14ac:dyDescent="0.2">
      <c r="A89" s="14">
        <v>7</v>
      </c>
      <c r="B89" s="14">
        <v>11</v>
      </c>
      <c r="C89" s="14">
        <v>0</v>
      </c>
      <c r="D89" s="18">
        <f t="shared" si="14"/>
        <v>150</v>
      </c>
      <c r="E89" s="14" t="s">
        <v>414</v>
      </c>
      <c r="F89" s="18">
        <f t="shared" si="11"/>
        <v>840</v>
      </c>
      <c r="G89" s="14" t="s">
        <v>454</v>
      </c>
      <c r="H89" s="18">
        <f t="shared" si="12"/>
        <v>900</v>
      </c>
      <c r="I89" s="14"/>
      <c r="J89" s="18"/>
      <c r="K89" s="14"/>
      <c r="L89" s="18"/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11</v>
      </c>
      <c r="AI89" s="14">
        <v>0</v>
      </c>
      <c r="AJ89" s="18">
        <f t="shared" si="13"/>
        <v>250</v>
      </c>
      <c r="AK89" s="14" t="s">
        <v>414</v>
      </c>
      <c r="AL89" s="18">
        <f t="shared" si="15"/>
        <v>1680</v>
      </c>
      <c r="AM89" s="14" t="s">
        <v>454</v>
      </c>
      <c r="AN89" s="18">
        <f t="shared" si="16"/>
        <v>1350</v>
      </c>
      <c r="AO89" s="14" t="s">
        <v>466</v>
      </c>
      <c r="AP89" s="18"/>
      <c r="AQ89" s="14"/>
      <c r="AR89" s="18"/>
      <c r="AS89" s="14"/>
      <c r="AT89" s="14"/>
    </row>
    <row r="90" spans="1:46" ht="16.5" x14ac:dyDescent="0.2">
      <c r="A90" s="14">
        <v>7</v>
      </c>
      <c r="B90" s="14">
        <v>12</v>
      </c>
      <c r="C90" s="14">
        <v>1</v>
      </c>
      <c r="D90" s="18">
        <f t="shared" si="14"/>
        <v>150</v>
      </c>
      <c r="E90" s="14" t="s">
        <v>414</v>
      </c>
      <c r="F90" s="18">
        <f t="shared" si="11"/>
        <v>840</v>
      </c>
      <c r="G90" s="14" t="s">
        <v>455</v>
      </c>
      <c r="H90" s="18">
        <f t="shared" si="12"/>
        <v>900</v>
      </c>
      <c r="I90" s="14"/>
      <c r="J90" s="18"/>
      <c r="K90" s="14"/>
      <c r="L90" s="18"/>
      <c r="M90" s="14" t="s">
        <v>816</v>
      </c>
      <c r="N90" s="18">
        <f>INDEX($Z$17:$AE$26,章节!$A90,MATCH(M90,$Z$16:$AE$16,0))</f>
        <v>450</v>
      </c>
      <c r="O90" s="14" t="s">
        <v>826</v>
      </c>
      <c r="P90" s="18">
        <f>INDEX($Z$17:$AE$26,章节!$A90,MATCH(O90,$Z$16:$AE$16,0))</f>
        <v>420</v>
      </c>
      <c r="Q90" s="14"/>
      <c r="R90" s="18"/>
      <c r="S90" s="14"/>
      <c r="T90" s="18"/>
      <c r="AG90" s="14">
        <v>7</v>
      </c>
      <c r="AH90" s="14">
        <v>12</v>
      </c>
      <c r="AI90" s="14">
        <v>1</v>
      </c>
      <c r="AJ90" s="18">
        <f t="shared" si="13"/>
        <v>250</v>
      </c>
      <c r="AK90" s="14" t="s">
        <v>414</v>
      </c>
      <c r="AL90" s="18">
        <f t="shared" si="15"/>
        <v>1680</v>
      </c>
      <c r="AM90" s="14" t="s">
        <v>455</v>
      </c>
      <c r="AN90" s="18">
        <f t="shared" si="16"/>
        <v>1350</v>
      </c>
      <c r="AO90" s="14" t="s">
        <v>467</v>
      </c>
      <c r="AP90" s="18"/>
      <c r="AQ90" s="14"/>
      <c r="AR90" s="18"/>
      <c r="AS90" s="14"/>
      <c r="AT90" s="14"/>
    </row>
    <row r="91" spans="1:46" ht="16.5" x14ac:dyDescent="0.2">
      <c r="A91" s="14">
        <v>7</v>
      </c>
      <c r="B91" s="14">
        <v>13</v>
      </c>
      <c r="C91" s="14">
        <v>0</v>
      </c>
      <c r="D91" s="18">
        <f t="shared" si="14"/>
        <v>150</v>
      </c>
      <c r="E91" s="14" t="s">
        <v>414</v>
      </c>
      <c r="F91" s="18">
        <f t="shared" si="11"/>
        <v>840</v>
      </c>
      <c r="G91" s="14" t="s">
        <v>454</v>
      </c>
      <c r="H91" s="18">
        <f t="shared" si="12"/>
        <v>900</v>
      </c>
      <c r="I91" s="14"/>
      <c r="J91" s="18"/>
      <c r="K91" s="14"/>
      <c r="L91" s="18"/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13</v>
      </c>
      <c r="AI91" s="14">
        <v>0</v>
      </c>
      <c r="AJ91" s="18">
        <f t="shared" si="13"/>
        <v>250</v>
      </c>
      <c r="AK91" s="14" t="s">
        <v>414</v>
      </c>
      <c r="AL91" s="18">
        <f t="shared" si="15"/>
        <v>1680</v>
      </c>
      <c r="AM91" s="14" t="s">
        <v>454</v>
      </c>
      <c r="AN91" s="18">
        <f t="shared" si="16"/>
        <v>1350</v>
      </c>
      <c r="AO91" s="14" t="s">
        <v>466</v>
      </c>
      <c r="AP91" s="18"/>
      <c r="AQ91" s="14"/>
      <c r="AR91" s="18"/>
      <c r="AS91" s="14"/>
      <c r="AT91" s="14"/>
    </row>
    <row r="92" spans="1:46" ht="16.5" x14ac:dyDescent="0.2">
      <c r="A92" s="14">
        <v>7</v>
      </c>
      <c r="B92" s="14">
        <v>14</v>
      </c>
      <c r="C92" s="14">
        <v>0</v>
      </c>
      <c r="D92" s="18">
        <f t="shared" si="14"/>
        <v>150</v>
      </c>
      <c r="E92" s="14" t="s">
        <v>414</v>
      </c>
      <c r="F92" s="18">
        <f t="shared" si="11"/>
        <v>840</v>
      </c>
      <c r="G92" s="14" t="s">
        <v>455</v>
      </c>
      <c r="H92" s="18">
        <f t="shared" si="12"/>
        <v>900</v>
      </c>
      <c r="I92" s="14"/>
      <c r="J92" s="18"/>
      <c r="K92" s="14"/>
      <c r="L92" s="18"/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14</v>
      </c>
      <c r="AI92" s="14">
        <v>0</v>
      </c>
      <c r="AJ92" s="18">
        <f t="shared" si="13"/>
        <v>250</v>
      </c>
      <c r="AK92" s="14" t="s">
        <v>414</v>
      </c>
      <c r="AL92" s="18">
        <f t="shared" si="15"/>
        <v>1680</v>
      </c>
      <c r="AM92" s="14" t="s">
        <v>455</v>
      </c>
      <c r="AN92" s="18">
        <f t="shared" si="16"/>
        <v>1350</v>
      </c>
      <c r="AO92" s="14" t="s">
        <v>467</v>
      </c>
      <c r="AP92" s="18"/>
      <c r="AQ92" s="14"/>
      <c r="AR92" s="18"/>
      <c r="AS92" s="14"/>
      <c r="AT92" s="14"/>
    </row>
    <row r="93" spans="1:46" ht="16.5" x14ac:dyDescent="0.2">
      <c r="A93" s="14">
        <v>7</v>
      </c>
      <c r="B93" s="14">
        <v>15</v>
      </c>
      <c r="C93" s="14">
        <v>1</v>
      </c>
      <c r="D93" s="18">
        <f t="shared" si="14"/>
        <v>150</v>
      </c>
      <c r="E93" s="14" t="s">
        <v>414</v>
      </c>
      <c r="F93" s="18">
        <f t="shared" si="11"/>
        <v>840</v>
      </c>
      <c r="G93" s="14" t="s">
        <v>455</v>
      </c>
      <c r="H93" s="18">
        <f t="shared" si="12"/>
        <v>900</v>
      </c>
      <c r="I93" s="14"/>
      <c r="J93" s="18"/>
      <c r="K93" s="14"/>
      <c r="L93" s="18"/>
      <c r="M93" s="14" t="s">
        <v>816</v>
      </c>
      <c r="N93" s="18">
        <f>INDEX($Z$17:$AE$26,章节!$A93,MATCH(M93,$Z$16:$AE$16,0))</f>
        <v>450</v>
      </c>
      <c r="O93" s="14" t="s">
        <v>826</v>
      </c>
      <c r="P93" s="18">
        <f>INDEX($Z$17:$AE$26,章节!$A93,MATCH(O93,$Z$16:$AE$16,0))</f>
        <v>420</v>
      </c>
      <c r="Q93" s="14"/>
      <c r="R93" s="18"/>
      <c r="S93" s="14"/>
      <c r="T93" s="18"/>
      <c r="AG93" s="14">
        <v>7</v>
      </c>
      <c r="AH93" s="14">
        <v>15</v>
      </c>
      <c r="AI93" s="14">
        <v>1</v>
      </c>
      <c r="AJ93" s="18">
        <f t="shared" si="13"/>
        <v>250</v>
      </c>
      <c r="AK93" s="14" t="s">
        <v>414</v>
      </c>
      <c r="AL93" s="18">
        <f t="shared" si="15"/>
        <v>1680</v>
      </c>
      <c r="AM93" s="14" t="s">
        <v>455</v>
      </c>
      <c r="AN93" s="18">
        <f t="shared" si="16"/>
        <v>1350</v>
      </c>
      <c r="AO93" s="14" t="s">
        <v>466</v>
      </c>
      <c r="AP93" s="18"/>
      <c r="AQ93" s="14"/>
      <c r="AR93" s="18"/>
      <c r="AS93" s="14"/>
      <c r="AT93" s="14"/>
    </row>
    <row r="94" spans="1:46" ht="16.5" x14ac:dyDescent="0.2">
      <c r="A94" s="14">
        <v>8</v>
      </c>
      <c r="B94" s="14">
        <v>1</v>
      </c>
      <c r="C94" s="14">
        <v>0</v>
      </c>
      <c r="D94" s="18">
        <f t="shared" si="14"/>
        <v>185</v>
      </c>
      <c r="E94" s="14" t="s">
        <v>414</v>
      </c>
      <c r="F94" s="18">
        <f t="shared" si="11"/>
        <v>960</v>
      </c>
      <c r="G94" s="14" t="s">
        <v>454</v>
      </c>
      <c r="H94" s="18">
        <f t="shared" si="12"/>
        <v>1020</v>
      </c>
      <c r="I94" s="14"/>
      <c r="J94" s="18"/>
      <c r="K94" s="14"/>
      <c r="L94" s="18"/>
      <c r="M94" s="14"/>
      <c r="N94" s="18"/>
      <c r="O94" s="14"/>
      <c r="P94" s="18"/>
      <c r="Q94" s="14"/>
      <c r="R94" s="18"/>
      <c r="S94" s="14"/>
      <c r="T94" s="18"/>
      <c r="AG94" s="14">
        <v>8</v>
      </c>
      <c r="AH94" s="14">
        <v>1</v>
      </c>
      <c r="AI94" s="14">
        <v>0</v>
      </c>
      <c r="AJ94" s="18">
        <f t="shared" si="13"/>
        <v>300</v>
      </c>
      <c r="AK94" s="14" t="s">
        <v>414</v>
      </c>
      <c r="AL94" s="18">
        <f t="shared" si="15"/>
        <v>1920</v>
      </c>
      <c r="AM94" s="14" t="s">
        <v>454</v>
      </c>
      <c r="AN94" s="18">
        <f t="shared" si="16"/>
        <v>1530</v>
      </c>
      <c r="AO94" s="14" t="s">
        <v>467</v>
      </c>
      <c r="AP94" s="18"/>
      <c r="AQ94" s="14"/>
      <c r="AR94" s="18"/>
      <c r="AS94" s="14"/>
      <c r="AT94" s="18"/>
    </row>
    <row r="95" spans="1:46" ht="16.5" x14ac:dyDescent="0.2">
      <c r="A95" s="14">
        <v>8</v>
      </c>
      <c r="B95" s="14">
        <v>2</v>
      </c>
      <c r="C95" s="14">
        <v>0</v>
      </c>
      <c r="D95" s="18">
        <f t="shared" si="14"/>
        <v>185</v>
      </c>
      <c r="E95" s="14" t="s">
        <v>414</v>
      </c>
      <c r="F95" s="18">
        <f t="shared" si="11"/>
        <v>960</v>
      </c>
      <c r="G95" s="14" t="s">
        <v>455</v>
      </c>
      <c r="H95" s="18">
        <f t="shared" si="12"/>
        <v>1020</v>
      </c>
      <c r="I95" s="14"/>
      <c r="J95" s="18"/>
      <c r="K95" s="14"/>
      <c r="L95" s="18"/>
      <c r="M95" s="14"/>
      <c r="N95" s="18"/>
      <c r="O95" s="14"/>
      <c r="P95" s="18"/>
      <c r="Q95" s="14"/>
      <c r="R95" s="18"/>
      <c r="S95" s="14"/>
      <c r="T95" s="18"/>
      <c r="AG95" s="14">
        <v>8</v>
      </c>
      <c r="AH95" s="14">
        <v>2</v>
      </c>
      <c r="AI95" s="14">
        <v>0</v>
      </c>
      <c r="AJ95" s="18">
        <f t="shared" si="13"/>
        <v>300</v>
      </c>
      <c r="AK95" s="14" t="s">
        <v>414</v>
      </c>
      <c r="AL95" s="18">
        <f t="shared" si="15"/>
        <v>1920</v>
      </c>
      <c r="AM95" s="14" t="s">
        <v>455</v>
      </c>
      <c r="AN95" s="18">
        <f t="shared" si="16"/>
        <v>1530</v>
      </c>
      <c r="AO95" s="14" t="s">
        <v>466</v>
      </c>
      <c r="AP95" s="18"/>
      <c r="AQ95" s="14"/>
      <c r="AR95" s="18"/>
      <c r="AS95" s="14"/>
      <c r="AT95" s="18"/>
    </row>
    <row r="96" spans="1:46" ht="16.5" x14ac:dyDescent="0.2">
      <c r="A96" s="14">
        <v>8</v>
      </c>
      <c r="B96" s="14">
        <v>3</v>
      </c>
      <c r="C96" s="14">
        <v>1</v>
      </c>
      <c r="D96" s="18">
        <f t="shared" si="14"/>
        <v>185</v>
      </c>
      <c r="E96" s="14" t="s">
        <v>414</v>
      </c>
      <c r="F96" s="18">
        <f t="shared" si="11"/>
        <v>960</v>
      </c>
      <c r="G96" s="14" t="s">
        <v>454</v>
      </c>
      <c r="H96" s="18">
        <f t="shared" si="12"/>
        <v>1020</v>
      </c>
      <c r="I96" s="14"/>
      <c r="J96" s="18"/>
      <c r="K96" s="14"/>
      <c r="L96" s="18"/>
      <c r="M96" s="14" t="s">
        <v>816</v>
      </c>
      <c r="N96" s="18">
        <f>INDEX($Z$17:$AE$26,章节!$A96,MATCH(M96,$Z$16:$AE$16,0))</f>
        <v>510</v>
      </c>
      <c r="O96" s="14" t="s">
        <v>826</v>
      </c>
      <c r="P96" s="18">
        <f>INDEX($Z$17:$AE$26,章节!$A96,MATCH(O96,$Z$16:$AE$16,0))</f>
        <v>480</v>
      </c>
      <c r="Q96" s="14"/>
      <c r="R96" s="18"/>
      <c r="S96" s="14"/>
      <c r="T96" s="18"/>
      <c r="AG96" s="14">
        <v>8</v>
      </c>
      <c r="AH96" s="14">
        <v>3</v>
      </c>
      <c r="AI96" s="14">
        <v>1</v>
      </c>
      <c r="AJ96" s="18">
        <f t="shared" si="13"/>
        <v>300</v>
      </c>
      <c r="AK96" s="14" t="s">
        <v>414</v>
      </c>
      <c r="AL96" s="18">
        <f t="shared" si="15"/>
        <v>1920</v>
      </c>
      <c r="AM96" s="14" t="s">
        <v>454</v>
      </c>
      <c r="AN96" s="18">
        <f t="shared" si="16"/>
        <v>1530</v>
      </c>
      <c r="AO96" s="14" t="s">
        <v>467</v>
      </c>
      <c r="AP96" s="18"/>
      <c r="AQ96" s="14"/>
      <c r="AR96" s="18"/>
      <c r="AS96" s="14"/>
      <c r="AT96" s="18"/>
    </row>
    <row r="97" spans="1:46" ht="16.5" x14ac:dyDescent="0.2">
      <c r="A97" s="14">
        <v>8</v>
      </c>
      <c r="B97" s="14">
        <v>4</v>
      </c>
      <c r="C97" s="14">
        <v>0</v>
      </c>
      <c r="D97" s="18">
        <f t="shared" si="14"/>
        <v>185</v>
      </c>
      <c r="E97" s="14" t="s">
        <v>414</v>
      </c>
      <c r="F97" s="18">
        <f t="shared" si="11"/>
        <v>960</v>
      </c>
      <c r="G97" s="14" t="s">
        <v>455</v>
      </c>
      <c r="H97" s="18">
        <f t="shared" si="12"/>
        <v>1020</v>
      </c>
      <c r="I97" s="14"/>
      <c r="J97" s="18"/>
      <c r="K97" s="14"/>
      <c r="L97" s="18"/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4</v>
      </c>
      <c r="AI97" s="14">
        <v>0</v>
      </c>
      <c r="AJ97" s="18">
        <f t="shared" si="13"/>
        <v>300</v>
      </c>
      <c r="AK97" s="14" t="s">
        <v>414</v>
      </c>
      <c r="AL97" s="18">
        <f t="shared" si="15"/>
        <v>1920</v>
      </c>
      <c r="AM97" s="14" t="s">
        <v>455</v>
      </c>
      <c r="AN97" s="18">
        <f t="shared" si="16"/>
        <v>1530</v>
      </c>
      <c r="AO97" s="14" t="s">
        <v>466</v>
      </c>
      <c r="AP97" s="18"/>
      <c r="AQ97" s="14"/>
      <c r="AR97" s="18"/>
      <c r="AS97" s="14"/>
      <c r="AT97" s="18"/>
    </row>
    <row r="98" spans="1:46" ht="16.5" x14ac:dyDescent="0.2">
      <c r="A98" s="14">
        <v>8</v>
      </c>
      <c r="B98" s="14">
        <v>5</v>
      </c>
      <c r="C98" s="14">
        <v>0</v>
      </c>
      <c r="D98" s="18">
        <f t="shared" si="14"/>
        <v>185</v>
      </c>
      <c r="E98" s="14" t="s">
        <v>414</v>
      </c>
      <c r="F98" s="18">
        <f t="shared" si="11"/>
        <v>960</v>
      </c>
      <c r="G98" s="14" t="s">
        <v>454</v>
      </c>
      <c r="H98" s="18">
        <f t="shared" si="12"/>
        <v>1020</v>
      </c>
      <c r="I98" s="14"/>
      <c r="J98" s="18"/>
      <c r="K98" s="14"/>
      <c r="L98" s="18"/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5</v>
      </c>
      <c r="AI98" s="14">
        <v>0</v>
      </c>
      <c r="AJ98" s="18">
        <f t="shared" si="13"/>
        <v>300</v>
      </c>
      <c r="AK98" s="14" t="s">
        <v>414</v>
      </c>
      <c r="AL98" s="18">
        <f t="shared" si="15"/>
        <v>1920</v>
      </c>
      <c r="AM98" s="14" t="s">
        <v>454</v>
      </c>
      <c r="AN98" s="18">
        <f t="shared" si="16"/>
        <v>1530</v>
      </c>
      <c r="AO98" s="14" t="s">
        <v>467</v>
      </c>
      <c r="AP98" s="18"/>
      <c r="AQ98" s="14"/>
      <c r="AR98" s="18"/>
      <c r="AS98" s="14"/>
      <c r="AT98" s="18"/>
    </row>
    <row r="99" spans="1:46" ht="16.5" x14ac:dyDescent="0.2">
      <c r="A99" s="14">
        <v>8</v>
      </c>
      <c r="B99" s="14">
        <v>6</v>
      </c>
      <c r="C99" s="14">
        <v>1</v>
      </c>
      <c r="D99" s="18">
        <f t="shared" si="14"/>
        <v>185</v>
      </c>
      <c r="E99" s="14" t="s">
        <v>414</v>
      </c>
      <c r="F99" s="18">
        <f t="shared" si="11"/>
        <v>960</v>
      </c>
      <c r="G99" s="14" t="s">
        <v>455</v>
      </c>
      <c r="H99" s="18">
        <f t="shared" si="12"/>
        <v>1020</v>
      </c>
      <c r="I99" s="14"/>
      <c r="J99" s="18"/>
      <c r="K99" s="14"/>
      <c r="L99" s="18"/>
      <c r="M99" s="14" t="s">
        <v>816</v>
      </c>
      <c r="N99" s="18">
        <f>INDEX($Z$17:$AE$26,章节!$A99,MATCH(M99,$Z$16:$AE$16,0))</f>
        <v>510</v>
      </c>
      <c r="O99" s="14" t="s">
        <v>826</v>
      </c>
      <c r="P99" s="18">
        <f>INDEX($Z$17:$AE$26,章节!$A99,MATCH(O99,$Z$16:$AE$16,0))</f>
        <v>480</v>
      </c>
      <c r="Q99" s="14"/>
      <c r="R99" s="18"/>
      <c r="S99" s="14"/>
      <c r="T99" s="18"/>
      <c r="AG99" s="14">
        <v>8</v>
      </c>
      <c r="AH99" s="14">
        <v>6</v>
      </c>
      <c r="AI99" s="14">
        <v>1</v>
      </c>
      <c r="AJ99" s="18">
        <f t="shared" si="13"/>
        <v>300</v>
      </c>
      <c r="AK99" s="14" t="s">
        <v>414</v>
      </c>
      <c r="AL99" s="18">
        <f t="shared" si="15"/>
        <v>1920</v>
      </c>
      <c r="AM99" s="14" t="s">
        <v>455</v>
      </c>
      <c r="AN99" s="18">
        <f t="shared" si="16"/>
        <v>1530</v>
      </c>
      <c r="AO99" s="14" t="s">
        <v>466</v>
      </c>
      <c r="AP99" s="18"/>
      <c r="AQ99" s="14"/>
      <c r="AR99" s="18"/>
      <c r="AS99" s="14"/>
      <c r="AT99" s="18"/>
    </row>
    <row r="100" spans="1:46" ht="16.5" x14ac:dyDescent="0.2">
      <c r="A100" s="14">
        <v>8</v>
      </c>
      <c r="B100" s="14">
        <v>7</v>
      </c>
      <c r="C100" s="14">
        <v>0</v>
      </c>
      <c r="D100" s="18">
        <f t="shared" si="14"/>
        <v>185</v>
      </c>
      <c r="E100" s="14" t="s">
        <v>414</v>
      </c>
      <c r="F100" s="18">
        <f t="shared" ref="F100:F123" si="17">INDEX($Z$4:$Z$13,$A100)</f>
        <v>960</v>
      </c>
      <c r="G100" s="14" t="s">
        <v>454</v>
      </c>
      <c r="H100" s="18">
        <f t="shared" ref="H100:H123" si="18">INDEX($AA$4:$AA$13,$A100)</f>
        <v>1020</v>
      </c>
      <c r="I100" s="14"/>
      <c r="J100" s="18"/>
      <c r="K100" s="14"/>
      <c r="L100" s="18"/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7</v>
      </c>
      <c r="AI100" s="14">
        <v>0</v>
      </c>
      <c r="AJ100" s="18">
        <f t="shared" ref="AJ100:AJ123" si="19">ROUND(INDEX($AX$4:$AX$13,A100)/INDEX($AY$4:$AY$13,A100)/50,0)*50</f>
        <v>300</v>
      </c>
      <c r="AK100" s="14" t="s">
        <v>414</v>
      </c>
      <c r="AL100" s="18">
        <f t="shared" si="15"/>
        <v>1920</v>
      </c>
      <c r="AM100" s="14" t="s">
        <v>454</v>
      </c>
      <c r="AN100" s="18">
        <f t="shared" si="16"/>
        <v>1530</v>
      </c>
      <c r="AO100" s="14" t="s">
        <v>467</v>
      </c>
      <c r="AP100" s="18"/>
      <c r="AQ100" s="14"/>
      <c r="AR100" s="18"/>
      <c r="AS100" s="14"/>
      <c r="AT100" s="18"/>
    </row>
    <row r="101" spans="1:46" ht="16.5" x14ac:dyDescent="0.2">
      <c r="A101" s="14">
        <v>8</v>
      </c>
      <c r="B101" s="14">
        <v>8</v>
      </c>
      <c r="C101" s="14">
        <v>0</v>
      </c>
      <c r="D101" s="18">
        <f t="shared" si="14"/>
        <v>185</v>
      </c>
      <c r="E101" s="14" t="s">
        <v>414</v>
      </c>
      <c r="F101" s="18">
        <f t="shared" si="17"/>
        <v>960</v>
      </c>
      <c r="G101" s="14" t="s">
        <v>455</v>
      </c>
      <c r="H101" s="18">
        <f t="shared" si="18"/>
        <v>1020</v>
      </c>
      <c r="I101" s="14"/>
      <c r="J101" s="18"/>
      <c r="K101" s="14"/>
      <c r="L101" s="18"/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8</v>
      </c>
      <c r="AI101" s="14">
        <v>0</v>
      </c>
      <c r="AJ101" s="18">
        <f t="shared" si="19"/>
        <v>300</v>
      </c>
      <c r="AK101" s="14" t="s">
        <v>414</v>
      </c>
      <c r="AL101" s="18">
        <f t="shared" si="15"/>
        <v>1920</v>
      </c>
      <c r="AM101" s="14" t="s">
        <v>455</v>
      </c>
      <c r="AN101" s="18">
        <f t="shared" si="16"/>
        <v>1530</v>
      </c>
      <c r="AO101" s="14" t="s">
        <v>466</v>
      </c>
      <c r="AP101" s="18"/>
      <c r="AQ101" s="14"/>
      <c r="AR101" s="18"/>
      <c r="AS101" s="14"/>
      <c r="AT101" s="18"/>
    </row>
    <row r="102" spans="1:46" ht="16.5" x14ac:dyDescent="0.2">
      <c r="A102" s="14">
        <v>8</v>
      </c>
      <c r="B102" s="14">
        <v>9</v>
      </c>
      <c r="C102" s="14">
        <v>1</v>
      </c>
      <c r="D102" s="18">
        <f t="shared" si="14"/>
        <v>185</v>
      </c>
      <c r="E102" s="14" t="s">
        <v>414</v>
      </c>
      <c r="F102" s="18">
        <f t="shared" si="17"/>
        <v>960</v>
      </c>
      <c r="G102" s="14" t="s">
        <v>454</v>
      </c>
      <c r="H102" s="18">
        <f t="shared" si="18"/>
        <v>1020</v>
      </c>
      <c r="I102" s="14"/>
      <c r="J102" s="18"/>
      <c r="K102" s="14"/>
      <c r="L102" s="18"/>
      <c r="M102" s="14" t="s">
        <v>816</v>
      </c>
      <c r="N102" s="18">
        <f>INDEX($Z$17:$AE$26,章节!$A102,MATCH(M102,$Z$16:$AE$16,0))</f>
        <v>510</v>
      </c>
      <c r="O102" s="14" t="s">
        <v>826</v>
      </c>
      <c r="P102" s="18">
        <f>INDEX($Z$17:$AE$26,章节!$A102,MATCH(O102,$Z$16:$AE$16,0))</f>
        <v>480</v>
      </c>
      <c r="Q102" s="14"/>
      <c r="R102" s="18"/>
      <c r="S102" s="14"/>
      <c r="T102" s="18"/>
      <c r="AG102" s="14">
        <v>8</v>
      </c>
      <c r="AH102" s="14">
        <v>9</v>
      </c>
      <c r="AI102" s="14">
        <v>1</v>
      </c>
      <c r="AJ102" s="18">
        <f t="shared" si="19"/>
        <v>300</v>
      </c>
      <c r="AK102" s="14" t="s">
        <v>414</v>
      </c>
      <c r="AL102" s="18">
        <f t="shared" si="15"/>
        <v>1920</v>
      </c>
      <c r="AM102" s="14" t="s">
        <v>454</v>
      </c>
      <c r="AN102" s="18">
        <f t="shared" si="16"/>
        <v>1530</v>
      </c>
      <c r="AO102" s="14" t="s">
        <v>467</v>
      </c>
      <c r="AP102" s="18"/>
      <c r="AQ102" s="14"/>
      <c r="AR102" s="18"/>
      <c r="AS102" s="14"/>
      <c r="AT102" s="18"/>
    </row>
    <row r="103" spans="1:46" ht="16.5" x14ac:dyDescent="0.2">
      <c r="A103" s="14">
        <v>8</v>
      </c>
      <c r="B103" s="14">
        <v>10</v>
      </c>
      <c r="C103" s="14">
        <v>0</v>
      </c>
      <c r="D103" s="18">
        <f t="shared" si="14"/>
        <v>185</v>
      </c>
      <c r="E103" s="14" t="s">
        <v>414</v>
      </c>
      <c r="F103" s="18">
        <f t="shared" si="17"/>
        <v>960</v>
      </c>
      <c r="G103" s="14" t="s">
        <v>455</v>
      </c>
      <c r="H103" s="18">
        <f t="shared" si="18"/>
        <v>1020</v>
      </c>
      <c r="I103" s="14"/>
      <c r="J103" s="18"/>
      <c r="K103" s="14"/>
      <c r="L103" s="18"/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10</v>
      </c>
      <c r="AI103" s="14">
        <v>0</v>
      </c>
      <c r="AJ103" s="18">
        <f t="shared" si="19"/>
        <v>300</v>
      </c>
      <c r="AK103" s="14" t="s">
        <v>414</v>
      </c>
      <c r="AL103" s="18">
        <f t="shared" si="15"/>
        <v>1920</v>
      </c>
      <c r="AM103" s="14" t="s">
        <v>455</v>
      </c>
      <c r="AN103" s="18">
        <f t="shared" si="16"/>
        <v>1530</v>
      </c>
      <c r="AO103" s="14" t="s">
        <v>466</v>
      </c>
      <c r="AP103" s="18"/>
      <c r="AQ103" s="14"/>
      <c r="AR103" s="18"/>
      <c r="AS103" s="14"/>
      <c r="AT103" s="18"/>
    </row>
    <row r="104" spans="1:46" ht="16.5" x14ac:dyDescent="0.2">
      <c r="A104" s="14">
        <v>8</v>
      </c>
      <c r="B104" s="14">
        <v>11</v>
      </c>
      <c r="C104" s="14">
        <v>0</v>
      </c>
      <c r="D104" s="18">
        <f t="shared" si="14"/>
        <v>185</v>
      </c>
      <c r="E104" s="14" t="s">
        <v>414</v>
      </c>
      <c r="F104" s="18">
        <f t="shared" si="17"/>
        <v>960</v>
      </c>
      <c r="G104" s="14" t="s">
        <v>454</v>
      </c>
      <c r="H104" s="18">
        <f t="shared" si="18"/>
        <v>1020</v>
      </c>
      <c r="I104" s="14"/>
      <c r="J104" s="18"/>
      <c r="K104" s="14"/>
      <c r="L104" s="18"/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11</v>
      </c>
      <c r="AI104" s="14">
        <v>0</v>
      </c>
      <c r="AJ104" s="18">
        <f t="shared" si="19"/>
        <v>300</v>
      </c>
      <c r="AK104" s="14" t="s">
        <v>414</v>
      </c>
      <c r="AL104" s="18">
        <f t="shared" si="15"/>
        <v>1920</v>
      </c>
      <c r="AM104" s="14" t="s">
        <v>454</v>
      </c>
      <c r="AN104" s="18">
        <f t="shared" si="16"/>
        <v>1530</v>
      </c>
      <c r="AO104" s="14" t="s">
        <v>467</v>
      </c>
      <c r="AP104" s="18"/>
      <c r="AQ104" s="14"/>
      <c r="AR104" s="18"/>
      <c r="AS104" s="14"/>
      <c r="AT104" s="18"/>
    </row>
    <row r="105" spans="1:46" ht="16.5" x14ac:dyDescent="0.2">
      <c r="A105" s="14">
        <v>8</v>
      </c>
      <c r="B105" s="14">
        <v>12</v>
      </c>
      <c r="C105" s="14">
        <v>1</v>
      </c>
      <c r="D105" s="18">
        <f t="shared" si="14"/>
        <v>185</v>
      </c>
      <c r="E105" s="14" t="s">
        <v>414</v>
      </c>
      <c r="F105" s="18">
        <f t="shared" si="17"/>
        <v>960</v>
      </c>
      <c r="G105" s="14" t="s">
        <v>455</v>
      </c>
      <c r="H105" s="18">
        <f t="shared" si="18"/>
        <v>1020</v>
      </c>
      <c r="I105" s="14"/>
      <c r="J105" s="18"/>
      <c r="K105" s="14"/>
      <c r="L105" s="18"/>
      <c r="M105" s="14" t="s">
        <v>816</v>
      </c>
      <c r="N105" s="18">
        <f>INDEX($Z$17:$AE$26,章节!$A105,MATCH(M105,$Z$16:$AE$16,0))</f>
        <v>510</v>
      </c>
      <c r="O105" s="14" t="s">
        <v>826</v>
      </c>
      <c r="P105" s="18">
        <f>INDEX($Z$17:$AE$26,章节!$A105,MATCH(O105,$Z$16:$AE$16,0))</f>
        <v>480</v>
      </c>
      <c r="Q105" s="14"/>
      <c r="R105" s="18"/>
      <c r="S105" s="14"/>
      <c r="T105" s="18"/>
      <c r="AG105" s="14">
        <v>8</v>
      </c>
      <c r="AH105" s="14">
        <v>12</v>
      </c>
      <c r="AI105" s="14">
        <v>1</v>
      </c>
      <c r="AJ105" s="18">
        <f t="shared" si="19"/>
        <v>300</v>
      </c>
      <c r="AK105" s="14" t="s">
        <v>414</v>
      </c>
      <c r="AL105" s="18">
        <f t="shared" si="15"/>
        <v>1920</v>
      </c>
      <c r="AM105" s="14" t="s">
        <v>455</v>
      </c>
      <c r="AN105" s="18">
        <f t="shared" si="16"/>
        <v>1530</v>
      </c>
      <c r="AO105" s="14" t="s">
        <v>466</v>
      </c>
      <c r="AP105" s="18"/>
      <c r="AQ105" s="14"/>
      <c r="AR105" s="18"/>
      <c r="AS105" s="14"/>
      <c r="AT105" s="18"/>
    </row>
    <row r="106" spans="1:46" ht="16.5" x14ac:dyDescent="0.2">
      <c r="A106" s="14">
        <v>8</v>
      </c>
      <c r="B106" s="14">
        <v>13</v>
      </c>
      <c r="C106" s="14">
        <v>0</v>
      </c>
      <c r="D106" s="18">
        <f t="shared" si="14"/>
        <v>185</v>
      </c>
      <c r="E106" s="14" t="s">
        <v>414</v>
      </c>
      <c r="F106" s="18">
        <f t="shared" si="17"/>
        <v>960</v>
      </c>
      <c r="G106" s="14" t="s">
        <v>454</v>
      </c>
      <c r="H106" s="18">
        <f t="shared" si="18"/>
        <v>1020</v>
      </c>
      <c r="I106" s="14"/>
      <c r="J106" s="18"/>
      <c r="K106" s="14"/>
      <c r="L106" s="18"/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13</v>
      </c>
      <c r="AI106" s="14">
        <v>0</v>
      </c>
      <c r="AJ106" s="18">
        <f t="shared" si="19"/>
        <v>300</v>
      </c>
      <c r="AK106" s="14" t="s">
        <v>414</v>
      </c>
      <c r="AL106" s="18">
        <f t="shared" si="15"/>
        <v>1920</v>
      </c>
      <c r="AM106" s="14" t="s">
        <v>454</v>
      </c>
      <c r="AN106" s="18">
        <f t="shared" si="16"/>
        <v>1530</v>
      </c>
      <c r="AO106" s="14" t="s">
        <v>467</v>
      </c>
      <c r="AP106" s="18"/>
      <c r="AQ106" s="14"/>
      <c r="AR106" s="18"/>
      <c r="AS106" s="14"/>
      <c r="AT106" s="18"/>
    </row>
    <row r="107" spans="1:46" ht="16.5" x14ac:dyDescent="0.2">
      <c r="A107" s="14">
        <v>8</v>
      </c>
      <c r="B107" s="14">
        <v>14</v>
      </c>
      <c r="C107" s="14">
        <v>0</v>
      </c>
      <c r="D107" s="18">
        <f t="shared" si="14"/>
        <v>185</v>
      </c>
      <c r="E107" s="14" t="s">
        <v>414</v>
      </c>
      <c r="F107" s="18">
        <f t="shared" si="17"/>
        <v>960</v>
      </c>
      <c r="G107" s="14" t="s">
        <v>455</v>
      </c>
      <c r="H107" s="18">
        <f t="shared" si="18"/>
        <v>1020</v>
      </c>
      <c r="I107" s="14"/>
      <c r="J107" s="18"/>
      <c r="K107" s="14"/>
      <c r="L107" s="18"/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14</v>
      </c>
      <c r="AI107" s="14">
        <v>0</v>
      </c>
      <c r="AJ107" s="18">
        <f t="shared" si="19"/>
        <v>300</v>
      </c>
      <c r="AK107" s="14" t="s">
        <v>414</v>
      </c>
      <c r="AL107" s="18">
        <f t="shared" si="15"/>
        <v>1920</v>
      </c>
      <c r="AM107" s="14" t="s">
        <v>455</v>
      </c>
      <c r="AN107" s="18">
        <f t="shared" si="16"/>
        <v>1530</v>
      </c>
      <c r="AO107" s="14" t="s">
        <v>466</v>
      </c>
      <c r="AP107" s="18"/>
      <c r="AQ107" s="14"/>
      <c r="AR107" s="18"/>
      <c r="AS107" s="14"/>
      <c r="AT107" s="18"/>
    </row>
    <row r="108" spans="1:46" ht="16.5" x14ac:dyDescent="0.2">
      <c r="A108" s="14">
        <v>8</v>
      </c>
      <c r="B108" s="14">
        <v>15</v>
      </c>
      <c r="C108" s="14">
        <v>1</v>
      </c>
      <c r="D108" s="18">
        <f t="shared" si="14"/>
        <v>185</v>
      </c>
      <c r="E108" s="14" t="s">
        <v>414</v>
      </c>
      <c r="F108" s="18">
        <f t="shared" si="17"/>
        <v>960</v>
      </c>
      <c r="G108" s="14" t="s">
        <v>455</v>
      </c>
      <c r="H108" s="18">
        <f t="shared" si="18"/>
        <v>1020</v>
      </c>
      <c r="I108" s="14"/>
      <c r="J108" s="18"/>
      <c r="K108" s="14"/>
      <c r="L108" s="18"/>
      <c r="M108" s="14" t="s">
        <v>816</v>
      </c>
      <c r="N108" s="18">
        <f>INDEX($Z$17:$AE$26,章节!$A108,MATCH(M108,$Z$16:$AE$16,0))</f>
        <v>510</v>
      </c>
      <c r="O108" s="14" t="s">
        <v>826</v>
      </c>
      <c r="P108" s="18">
        <f>INDEX($Z$17:$AE$26,章节!$A108,MATCH(O108,$Z$16:$AE$16,0))</f>
        <v>480</v>
      </c>
      <c r="Q108" s="14"/>
      <c r="R108" s="18"/>
      <c r="S108" s="14"/>
      <c r="T108" s="18"/>
      <c r="AG108" s="14">
        <v>8</v>
      </c>
      <c r="AH108" s="14">
        <v>15</v>
      </c>
      <c r="AI108" s="14">
        <v>1</v>
      </c>
      <c r="AJ108" s="18">
        <f t="shared" si="19"/>
        <v>300</v>
      </c>
      <c r="AK108" s="14" t="s">
        <v>414</v>
      </c>
      <c r="AL108" s="18">
        <f t="shared" si="15"/>
        <v>1920</v>
      </c>
      <c r="AM108" s="14" t="s">
        <v>455</v>
      </c>
      <c r="AN108" s="18">
        <f t="shared" si="16"/>
        <v>1530</v>
      </c>
      <c r="AO108" s="14" t="s">
        <v>467</v>
      </c>
      <c r="AP108" s="18"/>
      <c r="AQ108" s="14"/>
      <c r="AR108" s="18"/>
      <c r="AS108" s="14"/>
      <c r="AT108" s="18"/>
    </row>
    <row r="109" spans="1:46" ht="16.5" x14ac:dyDescent="0.2">
      <c r="A109" s="14">
        <v>9</v>
      </c>
      <c r="B109" s="14">
        <v>1</v>
      </c>
      <c r="C109" s="14">
        <v>0</v>
      </c>
      <c r="D109" s="18">
        <f t="shared" si="14"/>
        <v>300</v>
      </c>
      <c r="E109" s="14" t="s">
        <v>414</v>
      </c>
      <c r="F109" s="18">
        <f t="shared" si="17"/>
        <v>1080</v>
      </c>
      <c r="G109" s="14" t="s">
        <v>454</v>
      </c>
      <c r="H109" s="18">
        <f t="shared" si="18"/>
        <v>1140</v>
      </c>
      <c r="I109" s="14"/>
      <c r="J109" s="18"/>
      <c r="K109" s="14"/>
      <c r="L109" s="18"/>
      <c r="M109" s="14"/>
      <c r="N109" s="18"/>
      <c r="O109" s="14"/>
      <c r="P109" s="18"/>
      <c r="Q109" s="14"/>
      <c r="R109" s="18"/>
      <c r="S109" s="14"/>
      <c r="T109" s="18"/>
      <c r="AG109" s="14">
        <v>9</v>
      </c>
      <c r="AH109" s="14">
        <v>1</v>
      </c>
      <c r="AI109" s="14">
        <v>0</v>
      </c>
      <c r="AJ109" s="18">
        <f t="shared" si="19"/>
        <v>450</v>
      </c>
      <c r="AK109" s="14" t="s">
        <v>414</v>
      </c>
      <c r="AL109" s="18">
        <f t="shared" si="15"/>
        <v>2160</v>
      </c>
      <c r="AM109" s="14" t="s">
        <v>454</v>
      </c>
      <c r="AN109" s="18">
        <f t="shared" si="16"/>
        <v>1710</v>
      </c>
      <c r="AO109" s="14" t="s">
        <v>466</v>
      </c>
      <c r="AP109" s="18"/>
      <c r="AQ109" s="14"/>
      <c r="AR109" s="18"/>
      <c r="AS109" s="14"/>
      <c r="AT109" s="18"/>
    </row>
    <row r="110" spans="1:46" ht="16.5" x14ac:dyDescent="0.2">
      <c r="A110" s="14">
        <v>9</v>
      </c>
      <c r="B110" s="14">
        <v>2</v>
      </c>
      <c r="C110" s="14">
        <v>0</v>
      </c>
      <c r="D110" s="18">
        <f t="shared" si="14"/>
        <v>300</v>
      </c>
      <c r="E110" s="14" t="s">
        <v>414</v>
      </c>
      <c r="F110" s="18">
        <f t="shared" si="17"/>
        <v>1080</v>
      </c>
      <c r="G110" s="14" t="s">
        <v>455</v>
      </c>
      <c r="H110" s="18">
        <f t="shared" si="18"/>
        <v>1140</v>
      </c>
      <c r="I110" s="14"/>
      <c r="J110" s="18"/>
      <c r="K110" s="14"/>
      <c r="L110" s="18"/>
      <c r="M110" s="14"/>
      <c r="N110" s="18"/>
      <c r="O110" s="14"/>
      <c r="P110" s="18"/>
      <c r="Q110" s="14"/>
      <c r="R110" s="18"/>
      <c r="S110" s="14"/>
      <c r="T110" s="18"/>
      <c r="AG110" s="14">
        <v>9</v>
      </c>
      <c r="AH110" s="14">
        <v>2</v>
      </c>
      <c r="AI110" s="14">
        <v>0</v>
      </c>
      <c r="AJ110" s="18">
        <f t="shared" si="19"/>
        <v>450</v>
      </c>
      <c r="AK110" s="14" t="s">
        <v>414</v>
      </c>
      <c r="AL110" s="18">
        <f t="shared" si="15"/>
        <v>2160</v>
      </c>
      <c r="AM110" s="14" t="s">
        <v>455</v>
      </c>
      <c r="AN110" s="18">
        <f t="shared" si="16"/>
        <v>1710</v>
      </c>
      <c r="AO110" s="14" t="s">
        <v>467</v>
      </c>
      <c r="AP110" s="18"/>
      <c r="AQ110" s="14"/>
      <c r="AR110" s="18"/>
      <c r="AS110" s="14"/>
      <c r="AT110" s="18"/>
    </row>
    <row r="111" spans="1:46" ht="16.5" x14ac:dyDescent="0.2">
      <c r="A111" s="14">
        <v>9</v>
      </c>
      <c r="B111" s="14">
        <v>3</v>
      </c>
      <c r="C111" s="14">
        <v>1</v>
      </c>
      <c r="D111" s="18">
        <f t="shared" si="14"/>
        <v>300</v>
      </c>
      <c r="E111" s="14" t="s">
        <v>414</v>
      </c>
      <c r="F111" s="18">
        <f t="shared" si="17"/>
        <v>1080</v>
      </c>
      <c r="G111" s="14" t="s">
        <v>454</v>
      </c>
      <c r="H111" s="18">
        <f t="shared" si="18"/>
        <v>1140</v>
      </c>
      <c r="I111" s="14"/>
      <c r="J111" s="18"/>
      <c r="K111" s="14"/>
      <c r="L111" s="18"/>
      <c r="M111" s="14" t="s">
        <v>816</v>
      </c>
      <c r="N111" s="18">
        <f>INDEX($Z$17:$AE$26,章节!$A111,MATCH(M111,$Z$16:$AE$16,0))</f>
        <v>570</v>
      </c>
      <c r="O111" s="14" t="s">
        <v>826</v>
      </c>
      <c r="P111" s="18">
        <f>INDEX($Z$17:$AE$26,章节!$A111,MATCH(O111,$Z$16:$AE$16,0))</f>
        <v>540</v>
      </c>
      <c r="Q111" s="14"/>
      <c r="R111" s="18"/>
      <c r="S111" s="14"/>
      <c r="T111" s="18"/>
      <c r="AG111" s="14">
        <v>9</v>
      </c>
      <c r="AH111" s="14">
        <v>3</v>
      </c>
      <c r="AI111" s="14">
        <v>1</v>
      </c>
      <c r="AJ111" s="18">
        <f t="shared" si="19"/>
        <v>450</v>
      </c>
      <c r="AK111" s="14" t="s">
        <v>414</v>
      </c>
      <c r="AL111" s="18">
        <f t="shared" si="15"/>
        <v>2160</v>
      </c>
      <c r="AM111" s="14" t="s">
        <v>454</v>
      </c>
      <c r="AN111" s="18">
        <f t="shared" si="16"/>
        <v>1710</v>
      </c>
      <c r="AO111" s="14" t="s">
        <v>466</v>
      </c>
      <c r="AP111" s="18"/>
      <c r="AQ111" s="14"/>
      <c r="AR111" s="18"/>
      <c r="AS111" s="14"/>
      <c r="AT111" s="18"/>
    </row>
    <row r="112" spans="1:46" ht="16.5" x14ac:dyDescent="0.2">
      <c r="A112" s="14">
        <v>9</v>
      </c>
      <c r="B112" s="14">
        <v>4</v>
      </c>
      <c r="C112" s="14">
        <v>0</v>
      </c>
      <c r="D112" s="18">
        <f t="shared" si="14"/>
        <v>300</v>
      </c>
      <c r="E112" s="14" t="s">
        <v>414</v>
      </c>
      <c r="F112" s="18">
        <f t="shared" si="17"/>
        <v>1080</v>
      </c>
      <c r="G112" s="14" t="s">
        <v>455</v>
      </c>
      <c r="H112" s="18">
        <f t="shared" si="18"/>
        <v>1140</v>
      </c>
      <c r="I112" s="14"/>
      <c r="J112" s="18"/>
      <c r="K112" s="14"/>
      <c r="L112" s="18"/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4</v>
      </c>
      <c r="AI112" s="14">
        <v>0</v>
      </c>
      <c r="AJ112" s="18">
        <f t="shared" si="19"/>
        <v>450</v>
      </c>
      <c r="AK112" s="14" t="s">
        <v>414</v>
      </c>
      <c r="AL112" s="18">
        <f t="shared" si="15"/>
        <v>2160</v>
      </c>
      <c r="AM112" s="14" t="s">
        <v>455</v>
      </c>
      <c r="AN112" s="18">
        <f t="shared" si="16"/>
        <v>1710</v>
      </c>
      <c r="AO112" s="14" t="s">
        <v>467</v>
      </c>
      <c r="AP112" s="18"/>
      <c r="AQ112" s="14"/>
      <c r="AR112" s="18"/>
      <c r="AS112" s="14"/>
      <c r="AT112" s="18"/>
    </row>
    <row r="113" spans="1:46" ht="16.5" x14ac:dyDescent="0.2">
      <c r="A113" s="14">
        <v>9</v>
      </c>
      <c r="B113" s="14">
        <v>5</v>
      </c>
      <c r="C113" s="14">
        <v>0</v>
      </c>
      <c r="D113" s="18">
        <f t="shared" si="14"/>
        <v>300</v>
      </c>
      <c r="E113" s="14" t="s">
        <v>414</v>
      </c>
      <c r="F113" s="18">
        <f t="shared" si="17"/>
        <v>1080</v>
      </c>
      <c r="G113" s="14" t="s">
        <v>454</v>
      </c>
      <c r="H113" s="18">
        <f t="shared" si="18"/>
        <v>1140</v>
      </c>
      <c r="I113" s="14"/>
      <c r="J113" s="18"/>
      <c r="K113" s="14"/>
      <c r="L113" s="18"/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5</v>
      </c>
      <c r="AI113" s="14">
        <v>0</v>
      </c>
      <c r="AJ113" s="18">
        <f t="shared" si="19"/>
        <v>450</v>
      </c>
      <c r="AK113" s="14" t="s">
        <v>414</v>
      </c>
      <c r="AL113" s="18">
        <f t="shared" si="15"/>
        <v>2160</v>
      </c>
      <c r="AM113" s="14" t="s">
        <v>454</v>
      </c>
      <c r="AN113" s="18">
        <f t="shared" si="16"/>
        <v>1710</v>
      </c>
      <c r="AO113" s="14" t="s">
        <v>466</v>
      </c>
      <c r="AP113" s="18"/>
      <c r="AQ113" s="14"/>
      <c r="AR113" s="18"/>
      <c r="AS113" s="14"/>
      <c r="AT113" s="18"/>
    </row>
    <row r="114" spans="1:46" ht="16.5" x14ac:dyDescent="0.2">
      <c r="A114" s="14">
        <v>9</v>
      </c>
      <c r="B114" s="14">
        <v>6</v>
      </c>
      <c r="C114" s="14">
        <v>1</v>
      </c>
      <c r="D114" s="18">
        <f t="shared" si="14"/>
        <v>300</v>
      </c>
      <c r="E114" s="14" t="s">
        <v>414</v>
      </c>
      <c r="F114" s="18">
        <f t="shared" si="17"/>
        <v>1080</v>
      </c>
      <c r="G114" s="14" t="s">
        <v>455</v>
      </c>
      <c r="H114" s="18">
        <f t="shared" si="18"/>
        <v>1140</v>
      </c>
      <c r="I114" s="14"/>
      <c r="J114" s="18"/>
      <c r="K114" s="14"/>
      <c r="L114" s="18"/>
      <c r="M114" s="14" t="s">
        <v>816</v>
      </c>
      <c r="N114" s="18">
        <f>INDEX($Z$17:$AE$26,章节!$A114,MATCH(M114,$Z$16:$AE$16,0))</f>
        <v>570</v>
      </c>
      <c r="O114" s="14" t="s">
        <v>826</v>
      </c>
      <c r="P114" s="18">
        <f>INDEX($Z$17:$AE$26,章节!$A114,MATCH(O114,$Z$16:$AE$16,0))</f>
        <v>540</v>
      </c>
      <c r="Q114" s="14"/>
      <c r="R114" s="18"/>
      <c r="S114" s="14"/>
      <c r="T114" s="18"/>
      <c r="AG114" s="14">
        <v>9</v>
      </c>
      <c r="AH114" s="14">
        <v>6</v>
      </c>
      <c r="AI114" s="14">
        <v>1</v>
      </c>
      <c r="AJ114" s="18">
        <f t="shared" si="19"/>
        <v>450</v>
      </c>
      <c r="AK114" s="14" t="s">
        <v>414</v>
      </c>
      <c r="AL114" s="18">
        <f t="shared" si="15"/>
        <v>2160</v>
      </c>
      <c r="AM114" s="14" t="s">
        <v>455</v>
      </c>
      <c r="AN114" s="18">
        <f t="shared" si="16"/>
        <v>1710</v>
      </c>
      <c r="AO114" s="14" t="s">
        <v>467</v>
      </c>
      <c r="AP114" s="18"/>
      <c r="AQ114" s="14"/>
      <c r="AR114" s="18"/>
      <c r="AS114" s="14"/>
      <c r="AT114" s="18"/>
    </row>
    <row r="115" spans="1:46" ht="16.5" x14ac:dyDescent="0.2">
      <c r="A115" s="14">
        <v>9</v>
      </c>
      <c r="B115" s="14">
        <v>7</v>
      </c>
      <c r="C115" s="14">
        <v>0</v>
      </c>
      <c r="D115" s="18">
        <f t="shared" si="14"/>
        <v>300</v>
      </c>
      <c r="E115" s="14" t="s">
        <v>414</v>
      </c>
      <c r="F115" s="18">
        <f t="shared" si="17"/>
        <v>1080</v>
      </c>
      <c r="G115" s="14" t="s">
        <v>454</v>
      </c>
      <c r="H115" s="18">
        <f t="shared" si="18"/>
        <v>1140</v>
      </c>
      <c r="I115" s="14"/>
      <c r="J115" s="18"/>
      <c r="K115" s="14"/>
      <c r="L115" s="18"/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7</v>
      </c>
      <c r="AI115" s="14">
        <v>0</v>
      </c>
      <c r="AJ115" s="18">
        <f t="shared" si="19"/>
        <v>450</v>
      </c>
      <c r="AK115" s="14" t="s">
        <v>414</v>
      </c>
      <c r="AL115" s="18">
        <f t="shared" si="15"/>
        <v>2160</v>
      </c>
      <c r="AM115" s="14" t="s">
        <v>454</v>
      </c>
      <c r="AN115" s="18">
        <f t="shared" si="16"/>
        <v>1710</v>
      </c>
      <c r="AO115" s="14" t="s">
        <v>466</v>
      </c>
      <c r="AP115" s="18"/>
      <c r="AQ115" s="14"/>
      <c r="AR115" s="18"/>
      <c r="AS115" s="14"/>
      <c r="AT115" s="18"/>
    </row>
    <row r="116" spans="1:46" ht="16.5" x14ac:dyDescent="0.2">
      <c r="A116" s="14">
        <v>9</v>
      </c>
      <c r="B116" s="14">
        <v>8</v>
      </c>
      <c r="C116" s="14">
        <v>0</v>
      </c>
      <c r="D116" s="18">
        <f t="shared" si="14"/>
        <v>300</v>
      </c>
      <c r="E116" s="14" t="s">
        <v>414</v>
      </c>
      <c r="F116" s="18">
        <f t="shared" si="17"/>
        <v>1080</v>
      </c>
      <c r="G116" s="14" t="s">
        <v>455</v>
      </c>
      <c r="H116" s="18">
        <f t="shared" si="18"/>
        <v>1140</v>
      </c>
      <c r="I116" s="14"/>
      <c r="J116" s="18"/>
      <c r="K116" s="14"/>
      <c r="L116" s="18"/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8</v>
      </c>
      <c r="AI116" s="14">
        <v>0</v>
      </c>
      <c r="AJ116" s="18">
        <f t="shared" si="19"/>
        <v>450</v>
      </c>
      <c r="AK116" s="14" t="s">
        <v>414</v>
      </c>
      <c r="AL116" s="18">
        <f t="shared" si="15"/>
        <v>2160</v>
      </c>
      <c r="AM116" s="14" t="s">
        <v>455</v>
      </c>
      <c r="AN116" s="18">
        <f t="shared" si="16"/>
        <v>1710</v>
      </c>
      <c r="AO116" s="14" t="s">
        <v>467</v>
      </c>
      <c r="AP116" s="18"/>
      <c r="AQ116" s="14"/>
      <c r="AR116" s="18"/>
      <c r="AS116" s="14"/>
      <c r="AT116" s="18"/>
    </row>
    <row r="117" spans="1:46" ht="16.5" x14ac:dyDescent="0.2">
      <c r="A117" s="14">
        <v>9</v>
      </c>
      <c r="B117" s="14">
        <v>9</v>
      </c>
      <c r="C117" s="14">
        <v>1</v>
      </c>
      <c r="D117" s="18">
        <f t="shared" si="14"/>
        <v>300</v>
      </c>
      <c r="E117" s="14" t="s">
        <v>414</v>
      </c>
      <c r="F117" s="18">
        <f t="shared" si="17"/>
        <v>1080</v>
      </c>
      <c r="G117" s="14" t="s">
        <v>454</v>
      </c>
      <c r="H117" s="18">
        <f t="shared" si="18"/>
        <v>1140</v>
      </c>
      <c r="I117" s="14"/>
      <c r="J117" s="18"/>
      <c r="K117" s="14"/>
      <c r="L117" s="18"/>
      <c r="M117" s="14" t="s">
        <v>816</v>
      </c>
      <c r="N117" s="18">
        <f>INDEX($Z$17:$AE$26,章节!$A117,MATCH(M117,$Z$16:$AE$16,0))</f>
        <v>570</v>
      </c>
      <c r="O117" s="14" t="s">
        <v>826</v>
      </c>
      <c r="P117" s="18">
        <f>INDEX($Z$17:$AE$26,章节!$A117,MATCH(O117,$Z$16:$AE$16,0))</f>
        <v>540</v>
      </c>
      <c r="Q117" s="14"/>
      <c r="R117" s="18"/>
      <c r="S117" s="14"/>
      <c r="T117" s="18"/>
      <c r="AG117" s="14">
        <v>9</v>
      </c>
      <c r="AH117" s="14">
        <v>9</v>
      </c>
      <c r="AI117" s="14">
        <v>1</v>
      </c>
      <c r="AJ117" s="18">
        <f t="shared" si="19"/>
        <v>450</v>
      </c>
      <c r="AK117" s="14" t="s">
        <v>414</v>
      </c>
      <c r="AL117" s="18">
        <f t="shared" si="15"/>
        <v>2160</v>
      </c>
      <c r="AM117" s="14" t="s">
        <v>454</v>
      </c>
      <c r="AN117" s="18">
        <f t="shared" si="16"/>
        <v>1710</v>
      </c>
      <c r="AO117" s="14" t="s">
        <v>466</v>
      </c>
      <c r="AP117" s="18"/>
      <c r="AQ117" s="14"/>
      <c r="AR117" s="18"/>
      <c r="AS117" s="14"/>
      <c r="AT117" s="18"/>
    </row>
    <row r="118" spans="1:46" ht="16.5" x14ac:dyDescent="0.2">
      <c r="A118" s="14">
        <v>9</v>
      </c>
      <c r="B118" s="14">
        <v>10</v>
      </c>
      <c r="C118" s="14">
        <v>0</v>
      </c>
      <c r="D118" s="18">
        <f t="shared" si="14"/>
        <v>300</v>
      </c>
      <c r="E118" s="14" t="s">
        <v>414</v>
      </c>
      <c r="F118" s="18">
        <f t="shared" si="17"/>
        <v>1080</v>
      </c>
      <c r="G118" s="14" t="s">
        <v>455</v>
      </c>
      <c r="H118" s="18">
        <f t="shared" si="18"/>
        <v>1140</v>
      </c>
      <c r="I118" s="14"/>
      <c r="J118" s="18"/>
      <c r="K118" s="14"/>
      <c r="L118" s="18"/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10</v>
      </c>
      <c r="AI118" s="14">
        <v>0</v>
      </c>
      <c r="AJ118" s="18">
        <f t="shared" si="19"/>
        <v>450</v>
      </c>
      <c r="AK118" s="14" t="s">
        <v>414</v>
      </c>
      <c r="AL118" s="18">
        <f t="shared" si="15"/>
        <v>2160</v>
      </c>
      <c r="AM118" s="14" t="s">
        <v>455</v>
      </c>
      <c r="AN118" s="18">
        <f t="shared" si="16"/>
        <v>1710</v>
      </c>
      <c r="AO118" s="14" t="s">
        <v>467</v>
      </c>
      <c r="AP118" s="18"/>
      <c r="AQ118" s="14"/>
      <c r="AR118" s="18"/>
      <c r="AS118" s="14"/>
      <c r="AT118" s="18"/>
    </row>
    <row r="119" spans="1:46" ht="16.5" x14ac:dyDescent="0.2">
      <c r="A119" s="14">
        <v>9</v>
      </c>
      <c r="B119" s="14">
        <v>11</v>
      </c>
      <c r="C119" s="14">
        <v>0</v>
      </c>
      <c r="D119" s="18">
        <f t="shared" si="14"/>
        <v>300</v>
      </c>
      <c r="E119" s="14" t="s">
        <v>414</v>
      </c>
      <c r="F119" s="18">
        <f t="shared" si="17"/>
        <v>1080</v>
      </c>
      <c r="G119" s="14" t="s">
        <v>454</v>
      </c>
      <c r="H119" s="18">
        <f t="shared" si="18"/>
        <v>1140</v>
      </c>
      <c r="I119" s="14"/>
      <c r="J119" s="18"/>
      <c r="K119" s="14"/>
      <c r="L119" s="18"/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11</v>
      </c>
      <c r="AI119" s="14">
        <v>0</v>
      </c>
      <c r="AJ119" s="18">
        <f t="shared" si="19"/>
        <v>450</v>
      </c>
      <c r="AK119" s="14" t="s">
        <v>414</v>
      </c>
      <c r="AL119" s="18">
        <f t="shared" si="15"/>
        <v>2160</v>
      </c>
      <c r="AM119" s="14" t="s">
        <v>454</v>
      </c>
      <c r="AN119" s="18">
        <f t="shared" si="16"/>
        <v>1710</v>
      </c>
      <c r="AO119" s="14" t="s">
        <v>466</v>
      </c>
      <c r="AP119" s="18"/>
      <c r="AQ119" s="14"/>
      <c r="AR119" s="18"/>
      <c r="AS119" s="14"/>
      <c r="AT119" s="18"/>
    </row>
    <row r="120" spans="1:46" ht="16.5" x14ac:dyDescent="0.2">
      <c r="A120" s="14">
        <v>9</v>
      </c>
      <c r="B120" s="14">
        <v>12</v>
      </c>
      <c r="C120" s="14">
        <v>1</v>
      </c>
      <c r="D120" s="18">
        <f t="shared" si="14"/>
        <v>300</v>
      </c>
      <c r="E120" s="14" t="s">
        <v>414</v>
      </c>
      <c r="F120" s="18">
        <f t="shared" si="17"/>
        <v>1080</v>
      </c>
      <c r="G120" s="14" t="s">
        <v>455</v>
      </c>
      <c r="H120" s="18">
        <f t="shared" si="18"/>
        <v>1140</v>
      </c>
      <c r="I120" s="14"/>
      <c r="J120" s="18"/>
      <c r="K120" s="14"/>
      <c r="L120" s="18"/>
      <c r="M120" s="14" t="s">
        <v>816</v>
      </c>
      <c r="N120" s="18">
        <f>INDEX($Z$17:$AE$26,章节!$A120,MATCH(M120,$Z$16:$AE$16,0))</f>
        <v>570</v>
      </c>
      <c r="O120" s="14" t="s">
        <v>826</v>
      </c>
      <c r="P120" s="18">
        <f>INDEX($Z$17:$AE$26,章节!$A120,MATCH(O120,$Z$16:$AE$16,0))</f>
        <v>540</v>
      </c>
      <c r="Q120" s="14"/>
      <c r="R120" s="18"/>
      <c r="S120" s="14"/>
      <c r="T120" s="18"/>
      <c r="AG120" s="14">
        <v>9</v>
      </c>
      <c r="AH120" s="14">
        <v>12</v>
      </c>
      <c r="AI120" s="14">
        <v>1</v>
      </c>
      <c r="AJ120" s="18">
        <f t="shared" si="19"/>
        <v>450</v>
      </c>
      <c r="AK120" s="14" t="s">
        <v>414</v>
      </c>
      <c r="AL120" s="18">
        <f t="shared" si="15"/>
        <v>2160</v>
      </c>
      <c r="AM120" s="14" t="s">
        <v>455</v>
      </c>
      <c r="AN120" s="18">
        <f t="shared" si="16"/>
        <v>1710</v>
      </c>
      <c r="AO120" s="14" t="s">
        <v>467</v>
      </c>
      <c r="AP120" s="18"/>
      <c r="AQ120" s="14"/>
      <c r="AR120" s="18"/>
      <c r="AS120" s="14"/>
      <c r="AT120" s="18"/>
    </row>
    <row r="121" spans="1:46" ht="16.5" x14ac:dyDescent="0.2">
      <c r="A121" s="14">
        <v>9</v>
      </c>
      <c r="B121" s="14">
        <v>13</v>
      </c>
      <c r="C121" s="14">
        <v>0</v>
      </c>
      <c r="D121" s="18">
        <f t="shared" si="14"/>
        <v>300</v>
      </c>
      <c r="E121" s="14" t="s">
        <v>414</v>
      </c>
      <c r="F121" s="18">
        <f t="shared" si="17"/>
        <v>1080</v>
      </c>
      <c r="G121" s="14" t="s">
        <v>454</v>
      </c>
      <c r="H121" s="18">
        <f t="shared" si="18"/>
        <v>1140</v>
      </c>
      <c r="I121" s="14"/>
      <c r="J121" s="18"/>
      <c r="K121" s="14"/>
      <c r="L121" s="18"/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13</v>
      </c>
      <c r="AI121" s="14">
        <v>0</v>
      </c>
      <c r="AJ121" s="18">
        <f t="shared" si="19"/>
        <v>450</v>
      </c>
      <c r="AK121" s="14" t="s">
        <v>414</v>
      </c>
      <c r="AL121" s="18">
        <f t="shared" si="15"/>
        <v>2160</v>
      </c>
      <c r="AM121" s="14" t="s">
        <v>454</v>
      </c>
      <c r="AN121" s="18">
        <f t="shared" si="16"/>
        <v>1710</v>
      </c>
      <c r="AO121" s="14" t="s">
        <v>466</v>
      </c>
      <c r="AP121" s="18"/>
      <c r="AQ121" s="14"/>
      <c r="AR121" s="18"/>
      <c r="AS121" s="14"/>
      <c r="AT121" s="18"/>
    </row>
    <row r="122" spans="1:46" ht="16.5" x14ac:dyDescent="0.2">
      <c r="A122" s="14">
        <v>9</v>
      </c>
      <c r="B122" s="14">
        <v>14</v>
      </c>
      <c r="C122" s="14">
        <v>0</v>
      </c>
      <c r="D122" s="18">
        <f t="shared" si="14"/>
        <v>300</v>
      </c>
      <c r="E122" s="14" t="s">
        <v>414</v>
      </c>
      <c r="F122" s="18">
        <f t="shared" si="17"/>
        <v>1080</v>
      </c>
      <c r="G122" s="14" t="s">
        <v>455</v>
      </c>
      <c r="H122" s="18">
        <f t="shared" si="18"/>
        <v>1140</v>
      </c>
      <c r="I122" s="14"/>
      <c r="J122" s="18"/>
      <c r="K122" s="14"/>
      <c r="L122" s="18"/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14</v>
      </c>
      <c r="AI122" s="14">
        <v>0</v>
      </c>
      <c r="AJ122" s="18">
        <f t="shared" si="19"/>
        <v>450</v>
      </c>
      <c r="AK122" s="14" t="s">
        <v>414</v>
      </c>
      <c r="AL122" s="18">
        <f t="shared" si="15"/>
        <v>2160</v>
      </c>
      <c r="AM122" s="14" t="s">
        <v>455</v>
      </c>
      <c r="AN122" s="18">
        <f t="shared" si="16"/>
        <v>1710</v>
      </c>
      <c r="AO122" s="14" t="s">
        <v>467</v>
      </c>
      <c r="AP122" s="18"/>
      <c r="AQ122" s="14"/>
      <c r="AR122" s="18"/>
      <c r="AS122" s="14"/>
      <c r="AT122" s="18"/>
    </row>
    <row r="123" spans="1:46" ht="16.5" x14ac:dyDescent="0.2">
      <c r="A123" s="14">
        <v>9</v>
      </c>
      <c r="B123" s="14">
        <v>15</v>
      </c>
      <c r="C123" s="14">
        <v>1</v>
      </c>
      <c r="D123" s="18">
        <f t="shared" si="14"/>
        <v>300</v>
      </c>
      <c r="E123" s="14" t="s">
        <v>414</v>
      </c>
      <c r="F123" s="18">
        <f t="shared" si="17"/>
        <v>1080</v>
      </c>
      <c r="G123" s="14" t="s">
        <v>455</v>
      </c>
      <c r="H123" s="18">
        <f t="shared" si="18"/>
        <v>1140</v>
      </c>
      <c r="I123" s="14"/>
      <c r="J123" s="18"/>
      <c r="K123" s="14"/>
      <c r="L123" s="18"/>
      <c r="M123" s="14" t="s">
        <v>816</v>
      </c>
      <c r="N123" s="18">
        <f>INDEX($Z$17:$AE$26,章节!$A123,MATCH(M123,$Z$16:$AE$16,0))</f>
        <v>570</v>
      </c>
      <c r="O123" s="14" t="s">
        <v>826</v>
      </c>
      <c r="P123" s="18">
        <f>INDEX($Z$17:$AE$26,章节!$A123,MATCH(O123,$Z$16:$AE$16,0))</f>
        <v>540</v>
      </c>
      <c r="Q123" s="14"/>
      <c r="R123" s="18"/>
      <c r="S123" s="14"/>
      <c r="T123" s="18"/>
      <c r="AG123" s="14">
        <v>9</v>
      </c>
      <c r="AH123" s="14">
        <v>15</v>
      </c>
      <c r="AI123" s="14">
        <v>1</v>
      </c>
      <c r="AJ123" s="18">
        <f t="shared" si="19"/>
        <v>450</v>
      </c>
      <c r="AK123" s="14" t="s">
        <v>414</v>
      </c>
      <c r="AL123" s="18">
        <f t="shared" si="15"/>
        <v>2160</v>
      </c>
      <c r="AM123" s="14" t="s">
        <v>455</v>
      </c>
      <c r="AN123" s="18">
        <f t="shared" si="16"/>
        <v>1710</v>
      </c>
      <c r="AO123" s="14" t="s">
        <v>466</v>
      </c>
      <c r="AP123" s="18"/>
      <c r="AQ123" s="14"/>
      <c r="AR123" s="18"/>
      <c r="AS123" s="14"/>
      <c r="AT123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N17" activePane="bottomRight" state="frozen"/>
      <selection pane="topRight" activeCell="D1" sqref="D1"/>
      <selection pane="bottomLeft" activeCell="A16" sqref="A16"/>
      <selection pane="bottomRight" activeCell="AC12" sqref="AC12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735</v>
      </c>
      <c r="B1" s="18">
        <f>D1+F1+H1</f>
        <v>40</v>
      </c>
      <c r="C1" s="17" t="s">
        <v>736</v>
      </c>
      <c r="D1" s="18">
        <v>24</v>
      </c>
      <c r="E1" s="17" t="s">
        <v>737</v>
      </c>
      <c r="F1" s="14">
        <v>6</v>
      </c>
      <c r="G1" s="17" t="s">
        <v>738</v>
      </c>
      <c r="H1" s="14">
        <v>10</v>
      </c>
      <c r="I1" s="17" t="s">
        <v>743</v>
      </c>
      <c r="J1" s="14">
        <v>3</v>
      </c>
      <c r="AW1" s="17" t="s">
        <v>744</v>
      </c>
      <c r="AX1" s="14">
        <v>1</v>
      </c>
      <c r="AY1" s="17" t="s">
        <v>745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53" t="s">
        <v>697</v>
      </c>
      <c r="R2" s="53"/>
      <c r="S2" s="53"/>
      <c r="T2" s="53"/>
      <c r="U2" s="13" t="s">
        <v>712</v>
      </c>
      <c r="V2" s="13" t="s">
        <v>714</v>
      </c>
      <c r="W2" s="13" t="s">
        <v>716</v>
      </c>
      <c r="X2" s="13" t="s">
        <v>718</v>
      </c>
      <c r="Y2" s="13" t="s">
        <v>720</v>
      </c>
      <c r="Z2" s="13" t="s">
        <v>722</v>
      </c>
      <c r="AA2" s="13" t="s">
        <v>724</v>
      </c>
      <c r="AB2" s="13" t="s">
        <v>424</v>
      </c>
      <c r="AD2" s="13" t="s">
        <v>742</v>
      </c>
      <c r="AE2" s="13" t="s">
        <v>712</v>
      </c>
      <c r="AF2" s="13" t="s">
        <v>714</v>
      </c>
      <c r="AG2" s="13" t="s">
        <v>716</v>
      </c>
      <c r="AH2" s="13" t="s">
        <v>718</v>
      </c>
      <c r="AI2" s="13" t="s">
        <v>720</v>
      </c>
      <c r="AJ2" s="13" t="s">
        <v>722</v>
      </c>
      <c r="AK2" s="13" t="s">
        <v>724</v>
      </c>
      <c r="AL2" s="13" t="s">
        <v>424</v>
      </c>
      <c r="AN2" s="13" t="s">
        <v>712</v>
      </c>
      <c r="AO2" s="13" t="s">
        <v>714</v>
      </c>
      <c r="AP2" s="13" t="s">
        <v>716</v>
      </c>
      <c r="AQ2" s="13" t="s">
        <v>718</v>
      </c>
      <c r="AR2" s="13" t="s">
        <v>720</v>
      </c>
      <c r="AS2" s="13" t="s">
        <v>722</v>
      </c>
      <c r="AT2" s="13" t="s">
        <v>724</v>
      </c>
      <c r="AU2" s="13" t="s">
        <v>424</v>
      </c>
      <c r="AW2" s="13" t="s">
        <v>712</v>
      </c>
      <c r="AX2" s="13" t="s">
        <v>714</v>
      </c>
      <c r="AY2" s="13" t="s">
        <v>716</v>
      </c>
      <c r="AZ2" s="13" t="s">
        <v>718</v>
      </c>
      <c r="BA2" s="13" t="s">
        <v>720</v>
      </c>
      <c r="BB2" s="13" t="s">
        <v>722</v>
      </c>
      <c r="BC2" s="13" t="s">
        <v>724</v>
      </c>
      <c r="BD2" s="13" t="s">
        <v>424</v>
      </c>
      <c r="BF2" s="13" t="s">
        <v>712</v>
      </c>
      <c r="BG2" s="13" t="s">
        <v>714</v>
      </c>
      <c r="BH2" s="13" t="s">
        <v>716</v>
      </c>
      <c r="BI2" s="13" t="s">
        <v>718</v>
      </c>
      <c r="BJ2" s="13" t="s">
        <v>720</v>
      </c>
      <c r="BK2" s="13" t="s">
        <v>722</v>
      </c>
      <c r="BL2" s="13" t="s">
        <v>724</v>
      </c>
      <c r="BM2" s="13" t="s">
        <v>424</v>
      </c>
    </row>
    <row r="3" spans="1:67" ht="17.25" x14ac:dyDescent="0.2">
      <c r="A3" s="13" t="s">
        <v>655</v>
      </c>
      <c r="B3" s="13" t="s">
        <v>731</v>
      </c>
      <c r="C3" s="13" t="s">
        <v>727</v>
      </c>
      <c r="D3" s="13" t="s">
        <v>728</v>
      </c>
      <c r="E3" s="13" t="s">
        <v>729</v>
      </c>
      <c r="F3" s="13" t="s">
        <v>730</v>
      </c>
      <c r="G3" s="13" t="s">
        <v>694</v>
      </c>
      <c r="H3" s="13" t="s">
        <v>656</v>
      </c>
      <c r="I3" s="13" t="s">
        <v>657</v>
      </c>
      <c r="J3" s="13" t="s">
        <v>658</v>
      </c>
      <c r="M3" t="s">
        <v>710</v>
      </c>
      <c r="Q3" s="14">
        <v>2</v>
      </c>
      <c r="R3" s="14" t="s">
        <v>698</v>
      </c>
      <c r="S3" s="14"/>
      <c r="T3" s="14"/>
      <c r="U3" s="18">
        <f>SUMIFS(T$17:T$106,$O$17:$O$106,"&lt;="&amp;$Q3*10)</f>
        <v>163.50000000000009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62.112000000000002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60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F3" s="18">
        <f>ROUND(AN3*$AZ$1/5,0)*5</f>
        <v>60</v>
      </c>
      <c r="BG3" s="18">
        <f t="shared" ref="BG3:BM3" si="3">ROUND(AO3*$AZ$1/5,0)*5</f>
        <v>0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</row>
    <row r="4" spans="1:67" ht="16.5" x14ac:dyDescent="0.2">
      <c r="A4" s="14" t="s">
        <v>825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707</v>
      </c>
      <c r="Q4" s="14">
        <v>3</v>
      </c>
      <c r="R4" s="14" t="s">
        <v>699</v>
      </c>
      <c r="S4" s="14" t="s">
        <v>706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144.928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24.663200000000003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25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F4" s="18">
        <f t="shared" ref="BF4:BF10" si="16">ROUND(AN4*$AZ$1/5,0)*5</f>
        <v>145</v>
      </c>
      <c r="BG4" s="18">
        <f t="shared" ref="BG4:BG10" si="17">ROUND(AO4*$AZ$1/5,0)*5</f>
        <v>0</v>
      </c>
      <c r="BH4" s="18">
        <f t="shared" ref="BH4:BH10" si="18">ROUND(AP4*$AZ$1/5,0)*5</f>
        <v>0</v>
      </c>
      <c r="BI4" s="18">
        <f t="shared" ref="BI4:BI10" si="19">ROUND(AQ4*$AZ$1/5,0)*5</f>
        <v>0</v>
      </c>
      <c r="BJ4" s="18">
        <f t="shared" ref="BJ4:BJ10" si="20">ROUND(AR4*$AZ$1/5,0)*5</f>
        <v>25</v>
      </c>
      <c r="BK4" s="18">
        <f t="shared" ref="BK4:BK10" si="21">ROUND(AS4*$AZ$1/5,0)*5</f>
        <v>0</v>
      </c>
      <c r="BL4" s="18">
        <f t="shared" ref="BL4:BL10" si="22">ROUND(AT4*$AZ$1/5,0)*5</f>
        <v>0</v>
      </c>
      <c r="BM4" s="18">
        <f t="shared" ref="BM4:BM10" si="23">ROUND(AU4*$AZ$1/5,0)*5</f>
        <v>0</v>
      </c>
    </row>
    <row r="5" spans="1:67" ht="16.5" x14ac:dyDescent="0.2">
      <c r="A5" s="14">
        <v>1</v>
      </c>
      <c r="B5" s="14">
        <f>INDEX(游戏节奏!$T$4:$T$13,挂机派遣!A5)</f>
        <v>0.28000000000000003</v>
      </c>
      <c r="C5" s="14"/>
      <c r="D5" s="14"/>
      <c r="E5" s="14"/>
      <c r="F5" s="14"/>
      <c r="G5" s="14"/>
      <c r="H5" s="23"/>
      <c r="I5" s="23"/>
      <c r="J5" s="23"/>
      <c r="M5" t="s">
        <v>708</v>
      </c>
      <c r="Q5" s="14">
        <v>4</v>
      </c>
      <c r="R5" s="14" t="s">
        <v>700</v>
      </c>
      <c r="S5" s="14" t="s">
        <v>706</v>
      </c>
      <c r="T5" s="14"/>
      <c r="U5" s="18">
        <f t="shared" ref="U5:U10" si="24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57.547466666666679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60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F5" s="18">
        <f t="shared" si="16"/>
        <v>0</v>
      </c>
      <c r="BG5" s="18">
        <f t="shared" si="17"/>
        <v>85</v>
      </c>
      <c r="BH5" s="18">
        <f t="shared" si="18"/>
        <v>0</v>
      </c>
      <c r="BI5" s="18">
        <f t="shared" si="19"/>
        <v>0</v>
      </c>
      <c r="BJ5" s="18">
        <f t="shared" si="20"/>
        <v>60</v>
      </c>
      <c r="BK5" s="18">
        <f t="shared" si="21"/>
        <v>0</v>
      </c>
      <c r="BL5" s="18">
        <f t="shared" si="22"/>
        <v>0</v>
      </c>
      <c r="BM5" s="18">
        <f t="shared" si="23"/>
        <v>0</v>
      </c>
    </row>
    <row r="6" spans="1:67" ht="16.5" x14ac:dyDescent="0.2">
      <c r="A6" s="14">
        <v>2</v>
      </c>
      <c r="B6" s="14">
        <f>INDEX(游戏节奏!$T$4:$T$13,挂机派遣!A6)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695</v>
      </c>
      <c r="Q6" s="14">
        <v>5</v>
      </c>
      <c r="R6" s="14" t="s">
        <v>700</v>
      </c>
      <c r="S6" s="14" t="s">
        <v>701</v>
      </c>
      <c r="T6" s="14"/>
      <c r="U6" s="18">
        <f t="shared" si="24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47.127500000000019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45</v>
      </c>
      <c r="BC6" s="18">
        <f t="shared" si="14"/>
        <v>0</v>
      </c>
      <c r="BD6" s="18">
        <f t="shared" si="15"/>
        <v>0</v>
      </c>
      <c r="BF6" s="18">
        <f t="shared" si="16"/>
        <v>0</v>
      </c>
      <c r="BG6" s="18">
        <f t="shared" si="17"/>
        <v>205</v>
      </c>
      <c r="BH6" s="18">
        <f t="shared" si="18"/>
        <v>0</v>
      </c>
      <c r="BI6" s="18">
        <f t="shared" si="19"/>
        <v>0</v>
      </c>
      <c r="BJ6" s="18">
        <f t="shared" si="20"/>
        <v>0</v>
      </c>
      <c r="BK6" s="18">
        <f t="shared" si="21"/>
        <v>45</v>
      </c>
      <c r="BL6" s="18">
        <f t="shared" si="22"/>
        <v>0</v>
      </c>
      <c r="BM6" s="18">
        <f t="shared" si="23"/>
        <v>0</v>
      </c>
    </row>
    <row r="7" spans="1:67" ht="16.5" x14ac:dyDescent="0.2">
      <c r="A7" s="14">
        <v>3</v>
      </c>
      <c r="B7" s="14">
        <f>INDEX(游戏节奏!$T$4:$T$13,挂机派遣!A7)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696</v>
      </c>
      <c r="Q7" s="14">
        <v>6</v>
      </c>
      <c r="R7" s="14" t="s">
        <v>704</v>
      </c>
      <c r="S7" s="14" t="s">
        <v>701</v>
      </c>
      <c r="T7" s="14"/>
      <c r="U7" s="18">
        <f t="shared" si="24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109.9641666666667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110</v>
      </c>
      <c r="BC7" s="18">
        <f t="shared" si="14"/>
        <v>0</v>
      </c>
      <c r="BD7" s="18">
        <f t="shared" si="15"/>
        <v>0</v>
      </c>
      <c r="BF7" s="18">
        <f t="shared" si="16"/>
        <v>0</v>
      </c>
      <c r="BG7" s="18">
        <f t="shared" si="17"/>
        <v>0</v>
      </c>
      <c r="BH7" s="18">
        <f t="shared" si="18"/>
        <v>130</v>
      </c>
      <c r="BI7" s="18">
        <f t="shared" si="19"/>
        <v>0</v>
      </c>
      <c r="BJ7" s="18">
        <f t="shared" si="20"/>
        <v>0</v>
      </c>
      <c r="BK7" s="18">
        <f t="shared" si="21"/>
        <v>110</v>
      </c>
      <c r="BL7" s="18">
        <f t="shared" si="22"/>
        <v>0</v>
      </c>
      <c r="BM7" s="18">
        <f t="shared" si="23"/>
        <v>0</v>
      </c>
    </row>
    <row r="8" spans="1:67" ht="16.5" x14ac:dyDescent="0.2">
      <c r="A8" s="14">
        <v>4</v>
      </c>
      <c r="B8" s="14">
        <f>INDEX(游戏节奏!$T$4:$T$13,挂机派遣!A8)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711</v>
      </c>
      <c r="Q8" s="14">
        <v>7</v>
      </c>
      <c r="R8" s="14" t="s">
        <v>704</v>
      </c>
      <c r="S8" s="14" t="s">
        <v>702</v>
      </c>
      <c r="T8" s="14"/>
      <c r="U8" s="18">
        <f t="shared" si="24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51.39466666666668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50</v>
      </c>
      <c r="BD8" s="18">
        <f t="shared" si="15"/>
        <v>0</v>
      </c>
      <c r="BF8" s="18">
        <f t="shared" si="16"/>
        <v>0</v>
      </c>
      <c r="BG8" s="18">
        <f t="shared" si="17"/>
        <v>0</v>
      </c>
      <c r="BH8" s="18">
        <f t="shared" si="18"/>
        <v>305</v>
      </c>
      <c r="BI8" s="18">
        <f t="shared" si="19"/>
        <v>0</v>
      </c>
      <c r="BJ8" s="18">
        <f t="shared" si="20"/>
        <v>0</v>
      </c>
      <c r="BK8" s="18">
        <f t="shared" si="21"/>
        <v>0</v>
      </c>
      <c r="BL8" s="18">
        <f t="shared" si="22"/>
        <v>50</v>
      </c>
      <c r="BM8" s="18">
        <f t="shared" si="23"/>
        <v>0</v>
      </c>
    </row>
    <row r="9" spans="1:67" ht="16.5" x14ac:dyDescent="0.2">
      <c r="A9" s="14">
        <v>5</v>
      </c>
      <c r="B9" s="14">
        <f>INDEX(游戏节奏!$T$4:$T$13,挂机派遣!A9)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709</v>
      </c>
      <c r="Q9" s="14">
        <v>8</v>
      </c>
      <c r="R9" s="14" t="s">
        <v>703</v>
      </c>
      <c r="S9" s="14" t="s">
        <v>702</v>
      </c>
      <c r="T9" s="14" t="s">
        <v>705</v>
      </c>
      <c r="U9" s="18">
        <f t="shared" si="24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68.526222222222259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70</v>
      </c>
      <c r="BD9" s="18">
        <f t="shared" si="15"/>
        <v>20</v>
      </c>
      <c r="BF9" s="18">
        <f t="shared" si="16"/>
        <v>0</v>
      </c>
      <c r="BG9" s="18">
        <f t="shared" si="17"/>
        <v>0</v>
      </c>
      <c r="BH9" s="18">
        <f t="shared" si="18"/>
        <v>0</v>
      </c>
      <c r="BI9" s="18">
        <f t="shared" si="19"/>
        <v>105</v>
      </c>
      <c r="BJ9" s="18">
        <f t="shared" si="20"/>
        <v>0</v>
      </c>
      <c r="BK9" s="18">
        <f t="shared" si="21"/>
        <v>0</v>
      </c>
      <c r="BL9" s="18">
        <f t="shared" si="22"/>
        <v>70</v>
      </c>
      <c r="BM9" s="18">
        <f t="shared" si="23"/>
        <v>20</v>
      </c>
    </row>
    <row r="10" spans="1:67" ht="16.5" x14ac:dyDescent="0.2">
      <c r="A10" s="14">
        <v>6</v>
      </c>
      <c r="B10" s="14">
        <f>INDEX(游戏节奏!$T$4:$T$13,挂机派遣!A10)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703</v>
      </c>
      <c r="S10" s="14" t="s">
        <v>702</v>
      </c>
      <c r="T10" s="14" t="s">
        <v>705</v>
      </c>
      <c r="U10" s="18">
        <f t="shared" si="24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85.65777777777781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85</v>
      </c>
      <c r="BD10" s="18">
        <f t="shared" si="15"/>
        <v>75</v>
      </c>
      <c r="BF10" s="18">
        <f t="shared" si="16"/>
        <v>0</v>
      </c>
      <c r="BG10" s="18">
        <f t="shared" si="17"/>
        <v>0</v>
      </c>
      <c r="BH10" s="18">
        <f t="shared" si="18"/>
        <v>0</v>
      </c>
      <c r="BI10" s="18">
        <f t="shared" si="19"/>
        <v>240</v>
      </c>
      <c r="BJ10" s="18">
        <f t="shared" si="20"/>
        <v>0</v>
      </c>
      <c r="BK10" s="18">
        <f t="shared" si="21"/>
        <v>0</v>
      </c>
      <c r="BL10" s="18">
        <f t="shared" si="22"/>
        <v>85</v>
      </c>
      <c r="BM10" s="18">
        <f t="shared" si="23"/>
        <v>75</v>
      </c>
    </row>
    <row r="11" spans="1:67" ht="16.5" x14ac:dyDescent="0.2">
      <c r="A11" s="14">
        <v>7</v>
      </c>
      <c r="B11" s="14">
        <f>INDEX(游戏节奏!$T$4:$T$13,挂机派遣!A11)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739</v>
      </c>
      <c r="U11" s="18">
        <f>SUM(U3:U10)</f>
        <v>3726.7200000000007</v>
      </c>
      <c r="V11" s="18">
        <f t="shared" ref="V11:AB11" si="25">SUM(V3:V10)</f>
        <v>5224.7100000000019</v>
      </c>
      <c r="W11" s="18">
        <f t="shared" si="25"/>
        <v>7791.2400000000034</v>
      </c>
      <c r="X11" s="18">
        <f t="shared" si="25"/>
        <v>3086.9200000000014</v>
      </c>
      <c r="Y11" s="18">
        <f t="shared" si="25"/>
        <v>1479.7920000000004</v>
      </c>
      <c r="Z11" s="18">
        <f t="shared" si="25"/>
        <v>2262.1200000000008</v>
      </c>
      <c r="AA11" s="18">
        <f t="shared" si="25"/>
        <v>1850.2080000000005</v>
      </c>
      <c r="AB11" s="18">
        <f t="shared" si="25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INDEX(游戏节奏!$T$4:$T$13,挂机派遣!A12)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740</v>
      </c>
      <c r="U12" s="26">
        <v>1</v>
      </c>
      <c r="V12" s="26">
        <v>1</v>
      </c>
      <c r="W12" s="26">
        <v>1</v>
      </c>
      <c r="X12" s="26">
        <v>0.5</v>
      </c>
      <c r="Y12" s="26">
        <v>1</v>
      </c>
      <c r="Z12" s="26">
        <v>0.8</v>
      </c>
      <c r="AA12" s="26">
        <v>0.6</v>
      </c>
      <c r="AB12" s="26">
        <v>0.4</v>
      </c>
    </row>
    <row r="13" spans="1:67" ht="16.5" x14ac:dyDescent="0.2">
      <c r="A13" s="14">
        <v>9</v>
      </c>
      <c r="B13" s="14">
        <f>INDEX(游戏节奏!$T$4:$T$13,挂机派遣!A13)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741</v>
      </c>
      <c r="U13" s="18">
        <f>U11/U12</f>
        <v>3726.7200000000007</v>
      </c>
      <c r="V13" s="18">
        <f t="shared" ref="V13:AB13" si="26">V11/V12</f>
        <v>5224.7100000000019</v>
      </c>
      <c r="W13" s="18">
        <f t="shared" si="26"/>
        <v>7791.2400000000034</v>
      </c>
      <c r="X13" s="18">
        <f t="shared" si="26"/>
        <v>6173.8400000000029</v>
      </c>
      <c r="Y13" s="18">
        <f t="shared" si="26"/>
        <v>1479.7920000000004</v>
      </c>
      <c r="Z13" s="18">
        <f t="shared" si="26"/>
        <v>2827.650000000001</v>
      </c>
      <c r="AA13" s="18">
        <f t="shared" si="26"/>
        <v>3083.6800000000012</v>
      </c>
      <c r="AB13" s="18">
        <f t="shared" si="26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INDEX(游戏节奏!$T$4:$T$13,挂机派遣!A14)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762</v>
      </c>
      <c r="AE15" t="s">
        <v>763</v>
      </c>
      <c r="AF15" t="s">
        <v>764</v>
      </c>
      <c r="AG15" t="s">
        <v>765</v>
      </c>
      <c r="AH15" t="s">
        <v>781</v>
      </c>
      <c r="AI15" t="s">
        <v>782</v>
      </c>
      <c r="AJ15" t="s">
        <v>783</v>
      </c>
      <c r="AK15" t="s">
        <v>784</v>
      </c>
      <c r="AL15" t="s">
        <v>785</v>
      </c>
      <c r="AM15" t="s">
        <v>786</v>
      </c>
      <c r="AN15" t="s">
        <v>787</v>
      </c>
      <c r="AO15" t="s">
        <v>788</v>
      </c>
      <c r="AP15" t="s">
        <v>789</v>
      </c>
      <c r="AQ15" t="s">
        <v>790</v>
      </c>
      <c r="AR15" t="s">
        <v>791</v>
      </c>
      <c r="AS15" t="s">
        <v>792</v>
      </c>
      <c r="AT15" t="s">
        <v>793</v>
      </c>
      <c r="AU15" t="s">
        <v>794</v>
      </c>
      <c r="AV15" t="s">
        <v>795</v>
      </c>
      <c r="AW15" t="s">
        <v>796</v>
      </c>
    </row>
    <row r="16" spans="1:67" ht="17.25" x14ac:dyDescent="0.2">
      <c r="A16" s="13" t="s">
        <v>659</v>
      </c>
      <c r="B16" s="13" t="s">
        <v>660</v>
      </c>
      <c r="C16" s="13" t="s">
        <v>661</v>
      </c>
      <c r="D16" s="13" t="s">
        <v>662</v>
      </c>
      <c r="E16" s="13" t="s">
        <v>663</v>
      </c>
      <c r="F16" s="13" t="s">
        <v>713</v>
      </c>
      <c r="G16" s="13" t="s">
        <v>715</v>
      </c>
      <c r="H16" s="13" t="s">
        <v>717</v>
      </c>
      <c r="I16" s="13" t="s">
        <v>719</v>
      </c>
      <c r="J16" s="13" t="s">
        <v>721</v>
      </c>
      <c r="K16" s="13" t="s">
        <v>723</v>
      </c>
      <c r="L16" s="13" t="s">
        <v>725</v>
      </c>
      <c r="M16" s="13" t="s">
        <v>726</v>
      </c>
      <c r="O16" s="13" t="s">
        <v>732</v>
      </c>
      <c r="P16" s="13" t="s">
        <v>411</v>
      </c>
      <c r="Q16" s="13" t="s">
        <v>416</v>
      </c>
      <c r="R16" s="13" t="s">
        <v>733</v>
      </c>
      <c r="S16" s="13" t="s">
        <v>734</v>
      </c>
      <c r="T16" s="13" t="s">
        <v>713</v>
      </c>
      <c r="U16" s="13" t="s">
        <v>715</v>
      </c>
      <c r="V16" s="13" t="s">
        <v>717</v>
      </c>
      <c r="W16" s="13" t="s">
        <v>719</v>
      </c>
      <c r="X16" s="13" t="s">
        <v>721</v>
      </c>
      <c r="Y16" s="13" t="s">
        <v>723</v>
      </c>
      <c r="Z16" s="13" t="s">
        <v>725</v>
      </c>
      <c r="AA16" s="13" t="s">
        <v>726</v>
      </c>
      <c r="AB16" s="13" t="s">
        <v>811</v>
      </c>
      <c r="AD16" s="13" t="s">
        <v>712</v>
      </c>
      <c r="AE16" s="13" t="s">
        <v>714</v>
      </c>
      <c r="AF16" s="13" t="s">
        <v>716</v>
      </c>
      <c r="AG16" s="13" t="s">
        <v>718</v>
      </c>
      <c r="AH16" s="13" t="s">
        <v>746</v>
      </c>
      <c r="AI16" s="13" t="s">
        <v>747</v>
      </c>
      <c r="AJ16" s="13" t="s">
        <v>748</v>
      </c>
      <c r="AK16" s="13" t="s">
        <v>749</v>
      </c>
      <c r="AL16" s="13" t="s">
        <v>750</v>
      </c>
      <c r="AM16" s="13" t="s">
        <v>751</v>
      </c>
      <c r="AN16" s="13" t="s">
        <v>752</v>
      </c>
      <c r="AO16" s="13" t="s">
        <v>753</v>
      </c>
      <c r="AP16" s="13" t="s">
        <v>754</v>
      </c>
      <c r="AQ16" s="13" t="s">
        <v>755</v>
      </c>
      <c r="AR16" s="13" t="s">
        <v>756</v>
      </c>
      <c r="AS16" s="13" t="s">
        <v>757</v>
      </c>
      <c r="AT16" s="13" t="s">
        <v>758</v>
      </c>
      <c r="AU16" s="13" t="s">
        <v>759</v>
      </c>
      <c r="AV16" s="13" t="s">
        <v>760</v>
      </c>
      <c r="AW16" s="13" t="s">
        <v>761</v>
      </c>
      <c r="AX16" s="13" t="s">
        <v>797</v>
      </c>
      <c r="AY16" s="13" t="s">
        <v>798</v>
      </c>
      <c r="AZ16" s="13" t="s">
        <v>799</v>
      </c>
      <c r="BC16" s="13" t="s">
        <v>766</v>
      </c>
      <c r="BD16" s="13" t="s">
        <v>767</v>
      </c>
      <c r="BE16" s="13" t="s">
        <v>768</v>
      </c>
      <c r="BF16" s="13" t="s">
        <v>769</v>
      </c>
      <c r="BG16" s="13" t="s">
        <v>770</v>
      </c>
      <c r="BH16" s="13" t="s">
        <v>771</v>
      </c>
      <c r="BJ16" s="13" t="s">
        <v>775</v>
      </c>
      <c r="BK16" s="13" t="s">
        <v>776</v>
      </c>
      <c r="BL16" s="13" t="s">
        <v>777</v>
      </c>
      <c r="BM16" s="13" t="s">
        <v>778</v>
      </c>
      <c r="BN16" s="13" t="s">
        <v>779</v>
      </c>
      <c r="BO16" s="13" t="s">
        <v>780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664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0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27">F17*C$2</f>
        <v>0</v>
      </c>
      <c r="AE17" s="31">
        <f t="shared" ref="AE17:AE35" si="28">G17*D$2</f>
        <v>0</v>
      </c>
      <c r="AF17" s="31">
        <f t="shared" ref="AF17:AF35" si="29">H17*E$2</f>
        <v>0</v>
      </c>
      <c r="AG17" s="31">
        <f t="shared" ref="AG17:AG35" si="30">I17*F$2</f>
        <v>0</v>
      </c>
      <c r="AH17" s="31">
        <f t="shared" ref="AH17:AH35" si="31">J17*G$2</f>
        <v>0</v>
      </c>
      <c r="AI17" s="18">
        <f t="shared" ref="AI17:AI34" si="32">J17*G$2</f>
        <v>0</v>
      </c>
      <c r="AJ17" s="18">
        <f t="shared" ref="AJ17:AJ34" si="33">J17*G$2</f>
        <v>0</v>
      </c>
      <c r="AK17" s="18">
        <v>0</v>
      </c>
      <c r="AL17" s="18">
        <f t="shared" ref="AL17:AL63" si="34">K17*H$2</f>
        <v>0</v>
      </c>
      <c r="AM17" s="18">
        <f t="shared" ref="AM17:AM62" si="35">K17*H$2</f>
        <v>0</v>
      </c>
      <c r="AN17" s="18">
        <f t="shared" ref="AN17:AN62" si="36">K17*H$2</f>
        <v>0</v>
      </c>
      <c r="AO17" s="18">
        <f t="shared" ref="AO17:AO62" si="37">K17*H$2</f>
        <v>0</v>
      </c>
      <c r="AP17" s="18">
        <f t="shared" ref="AP17:AP62" si="38">L17*I$2</f>
        <v>0</v>
      </c>
      <c r="AQ17" s="18">
        <f t="shared" ref="AQ17:AQ48" si="39">L17*I$2</f>
        <v>0</v>
      </c>
      <c r="AR17" s="18">
        <f t="shared" ref="AR17:AR48" si="40">L17*I$2</f>
        <v>0</v>
      </c>
      <c r="AS17" s="18">
        <f t="shared" ref="AS17:AS48" si="41">L17*I$2</f>
        <v>0</v>
      </c>
      <c r="AT17" s="18">
        <f t="shared" ref="AT17:AT48" si="42">M17*J$2</f>
        <v>0</v>
      </c>
      <c r="AU17" s="18">
        <f>INDEX(游戏节奏!$V$4:$V$13,挂机派遣!B17)</f>
        <v>5</v>
      </c>
      <c r="AV17" s="18">
        <f>INDEX(游戏节奏!$V$4:$V$13,挂机派遣!B17)</f>
        <v>5</v>
      </c>
      <c r="AW17" s="18">
        <f>INDEX(游戏节奏!$W$4:$W$13,挂机派遣!B17)</f>
        <v>5</v>
      </c>
      <c r="AX17" s="14">
        <v>20</v>
      </c>
      <c r="AY17" s="14"/>
      <c r="AZ17" s="14"/>
      <c r="BC17" s="18" t="s">
        <v>772</v>
      </c>
      <c r="BD17" s="18" t="str">
        <f t="shared" ref="BD17:BD48" si="43">AW17*60&amp;"/h"</f>
        <v>300/h</v>
      </c>
      <c r="BE17" s="18" t="s">
        <v>773</v>
      </c>
      <c r="BF17" s="18" t="str">
        <f t="shared" ref="BF17:BF48" si="44">AU17*60&amp;"/h"</f>
        <v>300/h</v>
      </c>
      <c r="BG17" s="18" t="s">
        <v>774</v>
      </c>
      <c r="BH17" s="18" t="str">
        <f t="shared" ref="BH17:BH48" si="45">AV17*60&amp;"/h"</f>
        <v>300/h</v>
      </c>
      <c r="BJ17" t="str">
        <f t="shared" ref="BJ17:BJ48" si="46">INDEX($AD$15:$AW$15,$AX17)</f>
        <v>金币</v>
      </c>
      <c r="BK17" t="str">
        <f t="shared" ref="BK17:BK48" si="47">INDEX($AD17:$AW17,AX17)*60/INDEX(AD$13:AW$13,AX17)&amp;"/h"</f>
        <v>300/h</v>
      </c>
      <c r="BL17" t="str">
        <f t="shared" ref="BL17:BL48" si="48">IF(ISBLANK($AY17),"",INDEX($AD$15:$AW$15,$AY17))</f>
        <v/>
      </c>
      <c r="BM17" t="str">
        <f t="shared" ref="BM17:BM48" si="49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665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50">INDEX(C$5:C$14,$Q18)*$R18*$P18*C$4</f>
        <v>0</v>
      </c>
      <c r="U18" s="18">
        <f t="shared" ref="U18:U81" si="51">INDEX(D$5:D$14,$Q18)*$R18*$P18*D$4</f>
        <v>0</v>
      </c>
      <c r="V18" s="18">
        <f t="shared" ref="V18:V81" si="52">INDEX(E$5:E$14,$Q18)*$R18*$P18*E$4</f>
        <v>0</v>
      </c>
      <c r="W18" s="18">
        <f t="shared" ref="W18:W81" si="53">INDEX(F$5:F$14,$Q18)*$R18*$P18*F$4</f>
        <v>0</v>
      </c>
      <c r="X18" s="18">
        <f t="shared" ref="X18:X81" si="54">INDEX(G$5:G$14,$Q18)*$S18*$P18*G$4</f>
        <v>0</v>
      </c>
      <c r="Y18" s="18">
        <f t="shared" ref="Y18:Y81" si="55">INDEX(H$5:H$14,$Q18)*$S18*$P18*H$4</f>
        <v>0</v>
      </c>
      <c r="Z18" s="18">
        <f t="shared" ref="Z18:Z81" si="56">INDEX(I$5:I$14,$Q18)*$S18*$P18*I$4</f>
        <v>0</v>
      </c>
      <c r="AA18" s="18">
        <f t="shared" ref="AA18:AA81" si="57">INDEX(J$5:J$14,$Q18)*$S18*$P18*J$4</f>
        <v>0</v>
      </c>
      <c r="AB18" s="18">
        <f t="shared" ref="AB18:AB81" si="58">AW18/AW$13*$B$1*60*(R18+S18)</f>
        <v>12000</v>
      </c>
      <c r="AD18" s="31">
        <f t="shared" si="27"/>
        <v>0</v>
      </c>
      <c r="AE18" s="31">
        <f t="shared" si="28"/>
        <v>0</v>
      </c>
      <c r="AF18" s="31">
        <f t="shared" si="29"/>
        <v>0</v>
      </c>
      <c r="AG18" s="31">
        <f t="shared" si="30"/>
        <v>0</v>
      </c>
      <c r="AH18" s="31">
        <f t="shared" si="31"/>
        <v>0</v>
      </c>
      <c r="AI18" s="18">
        <f t="shared" si="32"/>
        <v>0</v>
      </c>
      <c r="AJ18" s="18">
        <f t="shared" si="33"/>
        <v>0</v>
      </c>
      <c r="AK18" s="18">
        <v>0</v>
      </c>
      <c r="AL18" s="18">
        <f t="shared" si="34"/>
        <v>0</v>
      </c>
      <c r="AM18" s="18">
        <f t="shared" si="35"/>
        <v>0</v>
      </c>
      <c r="AN18" s="18">
        <f t="shared" si="36"/>
        <v>0</v>
      </c>
      <c r="AO18" s="18">
        <f t="shared" si="37"/>
        <v>0</v>
      </c>
      <c r="AP18" s="18">
        <f t="shared" si="38"/>
        <v>0</v>
      </c>
      <c r="AQ18" s="18">
        <f t="shared" si="39"/>
        <v>0</v>
      </c>
      <c r="AR18" s="18">
        <f t="shared" si="40"/>
        <v>0</v>
      </c>
      <c r="AS18" s="18">
        <f t="shared" si="41"/>
        <v>0</v>
      </c>
      <c r="AT18" s="18">
        <f t="shared" si="42"/>
        <v>0</v>
      </c>
      <c r="AU18" s="18">
        <f>INDEX(游戏节奏!$V$4:$V$13,挂机派遣!B18)</f>
        <v>5</v>
      </c>
      <c r="AV18" s="18">
        <f>INDEX(游戏节奏!$V$4:$V$13,挂机派遣!B18)</f>
        <v>5</v>
      </c>
      <c r="AW18" s="18">
        <f>INDEX(游戏节奏!$W$4:$W$13,挂机派遣!B18)</f>
        <v>5</v>
      </c>
      <c r="AX18" s="14">
        <v>20</v>
      </c>
      <c r="AY18" s="14"/>
      <c r="AZ18" s="14"/>
      <c r="BC18" s="18" t="s">
        <v>772</v>
      </c>
      <c r="BD18" s="18" t="str">
        <f t="shared" si="43"/>
        <v>300/h</v>
      </c>
      <c r="BE18" s="18" t="s">
        <v>773</v>
      </c>
      <c r="BF18" s="18" t="str">
        <f t="shared" si="44"/>
        <v>300/h</v>
      </c>
      <c r="BG18" s="18" t="s">
        <v>774</v>
      </c>
      <c r="BH18" s="18" t="str">
        <f t="shared" si="45"/>
        <v>300/h</v>
      </c>
      <c r="BJ18" t="str">
        <f t="shared" si="46"/>
        <v>金币</v>
      </c>
      <c r="BK18" t="str">
        <f t="shared" si="47"/>
        <v>300/h</v>
      </c>
      <c r="BL18" t="str">
        <f t="shared" si="48"/>
        <v/>
      </c>
      <c r="BM18" t="str">
        <f t="shared" si="49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666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50"/>
        <v>0</v>
      </c>
      <c r="U19" s="18">
        <f t="shared" si="51"/>
        <v>0</v>
      </c>
      <c r="V19" s="18">
        <f t="shared" si="52"/>
        <v>0</v>
      </c>
      <c r="W19" s="18">
        <f t="shared" si="53"/>
        <v>0</v>
      </c>
      <c r="X19" s="18">
        <f t="shared" si="54"/>
        <v>0</v>
      </c>
      <c r="Y19" s="18">
        <f t="shared" si="55"/>
        <v>0</v>
      </c>
      <c r="Z19" s="18">
        <f t="shared" si="56"/>
        <v>0</v>
      </c>
      <c r="AA19" s="18">
        <f t="shared" si="57"/>
        <v>0</v>
      </c>
      <c r="AB19" s="18">
        <f t="shared" si="58"/>
        <v>12000</v>
      </c>
      <c r="AD19" s="31">
        <f t="shared" si="27"/>
        <v>0.3</v>
      </c>
      <c r="AE19" s="31">
        <f t="shared" si="28"/>
        <v>0</v>
      </c>
      <c r="AF19" s="31">
        <f t="shared" si="29"/>
        <v>0</v>
      </c>
      <c r="AG19" s="31">
        <f t="shared" si="30"/>
        <v>0</v>
      </c>
      <c r="AH19" s="31">
        <f t="shared" si="31"/>
        <v>0</v>
      </c>
      <c r="AI19" s="18">
        <f t="shared" si="32"/>
        <v>0</v>
      </c>
      <c r="AJ19" s="18">
        <f t="shared" si="33"/>
        <v>0</v>
      </c>
      <c r="AK19" s="18">
        <v>0</v>
      </c>
      <c r="AL19" s="18">
        <f t="shared" si="34"/>
        <v>0</v>
      </c>
      <c r="AM19" s="18">
        <f t="shared" si="35"/>
        <v>0</v>
      </c>
      <c r="AN19" s="18">
        <f t="shared" si="36"/>
        <v>0</v>
      </c>
      <c r="AO19" s="18">
        <f t="shared" si="37"/>
        <v>0</v>
      </c>
      <c r="AP19" s="18">
        <f t="shared" si="38"/>
        <v>0</v>
      </c>
      <c r="AQ19" s="18">
        <f t="shared" si="39"/>
        <v>0</v>
      </c>
      <c r="AR19" s="18">
        <f t="shared" si="40"/>
        <v>0</v>
      </c>
      <c r="AS19" s="18">
        <f t="shared" si="41"/>
        <v>0</v>
      </c>
      <c r="AT19" s="18">
        <f t="shared" si="42"/>
        <v>0</v>
      </c>
      <c r="AU19" s="18">
        <f>INDEX(游戏节奏!$V$4:$V$13,挂机派遣!B19)</f>
        <v>5</v>
      </c>
      <c r="AV19" s="18">
        <f>INDEX(游戏节奏!$V$4:$V$13,挂机派遣!B19)</f>
        <v>5</v>
      </c>
      <c r="AW19" s="18">
        <f>INDEX(游戏节奏!$W$4:$W$13,挂机派遣!B19)</f>
        <v>5</v>
      </c>
      <c r="AX19" s="14">
        <v>1</v>
      </c>
      <c r="AY19" s="14"/>
      <c r="AZ19" s="14"/>
      <c r="BC19" s="18" t="s">
        <v>772</v>
      </c>
      <c r="BD19" s="18" t="str">
        <f t="shared" si="43"/>
        <v>300/h</v>
      </c>
      <c r="BE19" s="18" t="s">
        <v>773</v>
      </c>
      <c r="BF19" s="18" t="str">
        <f t="shared" si="44"/>
        <v>300/h</v>
      </c>
      <c r="BG19" s="18" t="s">
        <v>774</v>
      </c>
      <c r="BH19" s="18" t="str">
        <f t="shared" si="45"/>
        <v>300/h</v>
      </c>
      <c r="BJ19" t="str">
        <f t="shared" si="46"/>
        <v>绿色基础材料</v>
      </c>
      <c r="BK19" t="str">
        <f t="shared" si="47"/>
        <v>3/h</v>
      </c>
      <c r="BL19" t="str">
        <f t="shared" si="48"/>
        <v/>
      </c>
      <c r="BM19" t="str">
        <f t="shared" si="49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667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50"/>
        <v>0</v>
      </c>
      <c r="U20" s="18">
        <f t="shared" si="51"/>
        <v>0</v>
      </c>
      <c r="V20" s="18">
        <f t="shared" si="52"/>
        <v>0</v>
      </c>
      <c r="W20" s="18">
        <f t="shared" si="53"/>
        <v>0</v>
      </c>
      <c r="X20" s="18">
        <f t="shared" si="54"/>
        <v>0</v>
      </c>
      <c r="Y20" s="18">
        <f t="shared" si="55"/>
        <v>0</v>
      </c>
      <c r="Z20" s="18">
        <f t="shared" si="56"/>
        <v>0</v>
      </c>
      <c r="AA20" s="18">
        <f t="shared" si="57"/>
        <v>0</v>
      </c>
      <c r="AB20" s="18">
        <f t="shared" si="58"/>
        <v>12000</v>
      </c>
      <c r="AD20" s="31">
        <f t="shared" si="27"/>
        <v>0.4</v>
      </c>
      <c r="AE20" s="31">
        <f t="shared" si="28"/>
        <v>0</v>
      </c>
      <c r="AF20" s="31">
        <f t="shared" si="29"/>
        <v>0</v>
      </c>
      <c r="AG20" s="31">
        <f t="shared" si="30"/>
        <v>0</v>
      </c>
      <c r="AH20" s="31">
        <f t="shared" si="31"/>
        <v>0</v>
      </c>
      <c r="AI20" s="18">
        <f t="shared" si="32"/>
        <v>0</v>
      </c>
      <c r="AJ20" s="18">
        <f t="shared" si="33"/>
        <v>0</v>
      </c>
      <c r="AK20" s="18">
        <v>0</v>
      </c>
      <c r="AL20" s="18">
        <f t="shared" si="34"/>
        <v>0</v>
      </c>
      <c r="AM20" s="18">
        <f t="shared" si="35"/>
        <v>0</v>
      </c>
      <c r="AN20" s="18">
        <f t="shared" si="36"/>
        <v>0</v>
      </c>
      <c r="AO20" s="18">
        <f t="shared" si="37"/>
        <v>0</v>
      </c>
      <c r="AP20" s="18">
        <f t="shared" si="38"/>
        <v>0</v>
      </c>
      <c r="AQ20" s="18">
        <f t="shared" si="39"/>
        <v>0</v>
      </c>
      <c r="AR20" s="18">
        <f t="shared" si="40"/>
        <v>0</v>
      </c>
      <c r="AS20" s="18">
        <f t="shared" si="41"/>
        <v>0</v>
      </c>
      <c r="AT20" s="18">
        <f t="shared" si="42"/>
        <v>0</v>
      </c>
      <c r="AU20" s="18">
        <f>INDEX(游戏节奏!$V$4:$V$13,挂机派遣!B20)</f>
        <v>5</v>
      </c>
      <c r="AV20" s="18">
        <f>INDEX(游戏节奏!$V$4:$V$13,挂机派遣!B20)</f>
        <v>5</v>
      </c>
      <c r="AW20" s="18">
        <f>INDEX(游戏节奏!$W$4:$W$13,挂机派遣!B20)</f>
        <v>5</v>
      </c>
      <c r="AX20" s="14">
        <v>1</v>
      </c>
      <c r="AY20" s="14"/>
      <c r="AZ20" s="14"/>
      <c r="BC20" s="18" t="s">
        <v>772</v>
      </c>
      <c r="BD20" s="18" t="str">
        <f t="shared" si="43"/>
        <v>300/h</v>
      </c>
      <c r="BE20" s="18" t="s">
        <v>773</v>
      </c>
      <c r="BF20" s="18" t="str">
        <f t="shared" si="44"/>
        <v>300/h</v>
      </c>
      <c r="BG20" s="18" t="s">
        <v>774</v>
      </c>
      <c r="BH20" s="18" t="str">
        <f t="shared" si="45"/>
        <v>300/h</v>
      </c>
      <c r="BJ20" t="str">
        <f t="shared" si="46"/>
        <v>绿色基础材料</v>
      </c>
      <c r="BK20" t="str">
        <f t="shared" si="47"/>
        <v>4/h</v>
      </c>
      <c r="BL20" t="str">
        <f t="shared" si="48"/>
        <v/>
      </c>
      <c r="BM20" t="str">
        <f t="shared" si="49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668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50"/>
        <v>0</v>
      </c>
      <c r="U21" s="18">
        <f t="shared" si="51"/>
        <v>0</v>
      </c>
      <c r="V21" s="18">
        <f t="shared" si="52"/>
        <v>0</v>
      </c>
      <c r="W21" s="18">
        <f t="shared" si="53"/>
        <v>0</v>
      </c>
      <c r="X21" s="18">
        <f t="shared" si="54"/>
        <v>0</v>
      </c>
      <c r="Y21" s="18">
        <f t="shared" si="55"/>
        <v>0</v>
      </c>
      <c r="Z21" s="18">
        <f t="shared" si="56"/>
        <v>0</v>
      </c>
      <c r="AA21" s="18">
        <f t="shared" si="57"/>
        <v>0</v>
      </c>
      <c r="AB21" s="18">
        <f t="shared" si="58"/>
        <v>14400</v>
      </c>
      <c r="AD21" s="31">
        <f t="shared" si="27"/>
        <v>0.2</v>
      </c>
      <c r="AE21" s="31">
        <f t="shared" si="28"/>
        <v>0</v>
      </c>
      <c r="AF21" s="31">
        <f t="shared" si="29"/>
        <v>0</v>
      </c>
      <c r="AG21" s="31">
        <f t="shared" si="30"/>
        <v>0</v>
      </c>
      <c r="AH21" s="31">
        <f t="shared" si="31"/>
        <v>0</v>
      </c>
      <c r="AI21" s="18">
        <f t="shared" si="32"/>
        <v>0</v>
      </c>
      <c r="AJ21" s="18">
        <f t="shared" si="33"/>
        <v>0</v>
      </c>
      <c r="AK21" s="18">
        <v>0</v>
      </c>
      <c r="AL21" s="18">
        <f t="shared" si="34"/>
        <v>0</v>
      </c>
      <c r="AM21" s="18">
        <f t="shared" si="35"/>
        <v>0</v>
      </c>
      <c r="AN21" s="18">
        <f t="shared" si="36"/>
        <v>0</v>
      </c>
      <c r="AO21" s="18">
        <f t="shared" si="37"/>
        <v>0</v>
      </c>
      <c r="AP21" s="18">
        <f t="shared" si="38"/>
        <v>0</v>
      </c>
      <c r="AQ21" s="18">
        <f t="shared" si="39"/>
        <v>0</v>
      </c>
      <c r="AR21" s="18">
        <f t="shared" si="40"/>
        <v>0</v>
      </c>
      <c r="AS21" s="18">
        <f t="shared" si="41"/>
        <v>0</v>
      </c>
      <c r="AT21" s="18">
        <f t="shared" si="42"/>
        <v>0</v>
      </c>
      <c r="AU21" s="18">
        <f>INDEX(游戏节奏!$V$4:$V$13,挂机派遣!B21)</f>
        <v>6</v>
      </c>
      <c r="AV21" s="18">
        <f>INDEX(游戏节奏!$V$4:$V$13,挂机派遣!B21)</f>
        <v>6</v>
      </c>
      <c r="AW21" s="18">
        <f>INDEX(游戏节奏!$W$4:$W$13,挂机派遣!B21)</f>
        <v>6</v>
      </c>
      <c r="AX21" s="14">
        <v>1</v>
      </c>
      <c r="AY21" s="14"/>
      <c r="AZ21" s="14"/>
      <c r="BC21" s="18" t="s">
        <v>772</v>
      </c>
      <c r="BD21" s="18" t="str">
        <f t="shared" si="43"/>
        <v>360/h</v>
      </c>
      <c r="BE21" s="18" t="s">
        <v>773</v>
      </c>
      <c r="BF21" s="18" t="str">
        <f t="shared" si="44"/>
        <v>360/h</v>
      </c>
      <c r="BG21" s="18" t="s">
        <v>774</v>
      </c>
      <c r="BH21" s="18" t="str">
        <f t="shared" si="45"/>
        <v>360/h</v>
      </c>
      <c r="BJ21" t="str">
        <f t="shared" si="46"/>
        <v>绿色基础材料</v>
      </c>
      <c r="BK21" t="str">
        <f t="shared" si="47"/>
        <v>2/h</v>
      </c>
      <c r="BL21" t="str">
        <f t="shared" si="48"/>
        <v/>
      </c>
      <c r="BM21" t="str">
        <f t="shared" si="49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669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50"/>
        <v>0</v>
      </c>
      <c r="U22" s="18">
        <f t="shared" si="51"/>
        <v>0</v>
      </c>
      <c r="V22" s="18">
        <f t="shared" si="52"/>
        <v>0</v>
      </c>
      <c r="W22" s="18">
        <f t="shared" si="53"/>
        <v>0</v>
      </c>
      <c r="X22" s="18">
        <f t="shared" si="54"/>
        <v>0</v>
      </c>
      <c r="Y22" s="18">
        <f t="shared" si="55"/>
        <v>0</v>
      </c>
      <c r="Z22" s="18">
        <f t="shared" si="56"/>
        <v>0</v>
      </c>
      <c r="AA22" s="18">
        <f t="shared" si="57"/>
        <v>0</v>
      </c>
      <c r="AB22" s="18">
        <f t="shared" si="58"/>
        <v>14400</v>
      </c>
      <c r="AD22" s="31">
        <f t="shared" si="27"/>
        <v>0.3</v>
      </c>
      <c r="AE22" s="31">
        <f t="shared" si="28"/>
        <v>0</v>
      </c>
      <c r="AF22" s="31">
        <f t="shared" si="29"/>
        <v>0</v>
      </c>
      <c r="AG22" s="31">
        <f t="shared" si="30"/>
        <v>0</v>
      </c>
      <c r="AH22" s="31">
        <f t="shared" si="31"/>
        <v>0</v>
      </c>
      <c r="AI22" s="18">
        <f t="shared" si="32"/>
        <v>0</v>
      </c>
      <c r="AJ22" s="18">
        <f t="shared" si="33"/>
        <v>0</v>
      </c>
      <c r="AK22" s="18">
        <v>0</v>
      </c>
      <c r="AL22" s="18">
        <f t="shared" si="34"/>
        <v>0</v>
      </c>
      <c r="AM22" s="18">
        <f t="shared" si="35"/>
        <v>0</v>
      </c>
      <c r="AN22" s="18">
        <f t="shared" si="36"/>
        <v>0</v>
      </c>
      <c r="AO22" s="18">
        <f t="shared" si="37"/>
        <v>0</v>
      </c>
      <c r="AP22" s="18">
        <f t="shared" si="38"/>
        <v>0</v>
      </c>
      <c r="AQ22" s="18">
        <f t="shared" si="39"/>
        <v>0</v>
      </c>
      <c r="AR22" s="18">
        <f t="shared" si="40"/>
        <v>0</v>
      </c>
      <c r="AS22" s="18">
        <f t="shared" si="41"/>
        <v>0</v>
      </c>
      <c r="AT22" s="18">
        <f t="shared" si="42"/>
        <v>0</v>
      </c>
      <c r="AU22" s="18">
        <f>INDEX(游戏节奏!$V$4:$V$13,挂机派遣!B22)</f>
        <v>6</v>
      </c>
      <c r="AV22" s="18">
        <f>INDEX(游戏节奏!$V$4:$V$13,挂机派遣!B22)</f>
        <v>6</v>
      </c>
      <c r="AW22" s="18">
        <f>INDEX(游戏节奏!$W$4:$W$13,挂机派遣!B22)</f>
        <v>6</v>
      </c>
      <c r="AX22" s="14">
        <v>1</v>
      </c>
      <c r="AY22" s="14"/>
      <c r="AZ22" s="14"/>
      <c r="BC22" s="18" t="s">
        <v>772</v>
      </c>
      <c r="BD22" s="18" t="str">
        <f t="shared" si="43"/>
        <v>360/h</v>
      </c>
      <c r="BE22" s="18" t="s">
        <v>773</v>
      </c>
      <c r="BF22" s="18" t="str">
        <f t="shared" si="44"/>
        <v>360/h</v>
      </c>
      <c r="BG22" s="18" t="s">
        <v>774</v>
      </c>
      <c r="BH22" s="18" t="str">
        <f t="shared" si="45"/>
        <v>360/h</v>
      </c>
      <c r="BJ22" t="str">
        <f t="shared" si="46"/>
        <v>绿色基础材料</v>
      </c>
      <c r="BK22" t="str">
        <f t="shared" si="47"/>
        <v>3/h</v>
      </c>
      <c r="BL22" t="str">
        <f t="shared" si="48"/>
        <v/>
      </c>
      <c r="BM22" t="str">
        <f t="shared" si="49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670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50"/>
        <v>0</v>
      </c>
      <c r="U23" s="18">
        <f t="shared" si="51"/>
        <v>0</v>
      </c>
      <c r="V23" s="18">
        <f t="shared" si="52"/>
        <v>0</v>
      </c>
      <c r="W23" s="18">
        <f t="shared" si="53"/>
        <v>0</v>
      </c>
      <c r="X23" s="18">
        <f t="shared" si="54"/>
        <v>0</v>
      </c>
      <c r="Y23" s="18">
        <f t="shared" si="55"/>
        <v>0</v>
      </c>
      <c r="Z23" s="18">
        <f t="shared" si="56"/>
        <v>0</v>
      </c>
      <c r="AA23" s="18">
        <f t="shared" si="57"/>
        <v>0</v>
      </c>
      <c r="AB23" s="18">
        <f t="shared" si="58"/>
        <v>14400</v>
      </c>
      <c r="AD23" s="31">
        <f t="shared" si="27"/>
        <v>0.4</v>
      </c>
      <c r="AE23" s="31">
        <f t="shared" si="28"/>
        <v>0</v>
      </c>
      <c r="AF23" s="31">
        <f t="shared" si="29"/>
        <v>0</v>
      </c>
      <c r="AG23" s="31">
        <f t="shared" si="30"/>
        <v>0</v>
      </c>
      <c r="AH23" s="31">
        <f t="shared" si="31"/>
        <v>0</v>
      </c>
      <c r="AI23" s="18">
        <f t="shared" si="32"/>
        <v>0</v>
      </c>
      <c r="AJ23" s="18">
        <f t="shared" si="33"/>
        <v>0</v>
      </c>
      <c r="AK23" s="18">
        <v>0</v>
      </c>
      <c r="AL23" s="18">
        <f t="shared" si="34"/>
        <v>0</v>
      </c>
      <c r="AM23" s="18">
        <f t="shared" si="35"/>
        <v>0</v>
      </c>
      <c r="AN23" s="18">
        <f t="shared" si="36"/>
        <v>0</v>
      </c>
      <c r="AO23" s="18">
        <f t="shared" si="37"/>
        <v>0</v>
      </c>
      <c r="AP23" s="18">
        <f t="shared" si="38"/>
        <v>0</v>
      </c>
      <c r="AQ23" s="18">
        <f t="shared" si="39"/>
        <v>0</v>
      </c>
      <c r="AR23" s="18">
        <f t="shared" si="40"/>
        <v>0</v>
      </c>
      <c r="AS23" s="18">
        <f t="shared" si="41"/>
        <v>0</v>
      </c>
      <c r="AT23" s="18">
        <f t="shared" si="42"/>
        <v>0</v>
      </c>
      <c r="AU23" s="18">
        <f>INDEX(游戏节奏!$V$4:$V$13,挂机派遣!B23)</f>
        <v>6</v>
      </c>
      <c r="AV23" s="18">
        <f>INDEX(游戏节奏!$V$4:$V$13,挂机派遣!B23)</f>
        <v>6</v>
      </c>
      <c r="AW23" s="18">
        <f>INDEX(游戏节奏!$W$4:$W$13,挂机派遣!B23)</f>
        <v>6</v>
      </c>
      <c r="AX23" s="14">
        <v>1</v>
      </c>
      <c r="AY23" s="14"/>
      <c r="AZ23" s="14"/>
      <c r="BC23" s="18" t="s">
        <v>772</v>
      </c>
      <c r="BD23" s="18" t="str">
        <f t="shared" si="43"/>
        <v>360/h</v>
      </c>
      <c r="BE23" s="18" t="s">
        <v>773</v>
      </c>
      <c r="BF23" s="18" t="str">
        <f t="shared" si="44"/>
        <v>360/h</v>
      </c>
      <c r="BG23" s="18" t="s">
        <v>774</v>
      </c>
      <c r="BH23" s="18" t="str">
        <f t="shared" si="45"/>
        <v>360/h</v>
      </c>
      <c r="BJ23" t="str">
        <f t="shared" si="46"/>
        <v>绿色基础材料</v>
      </c>
      <c r="BK23" t="str">
        <f t="shared" si="47"/>
        <v>4/h</v>
      </c>
      <c r="BL23" t="str">
        <f t="shared" si="48"/>
        <v/>
      </c>
      <c r="BM23" t="str">
        <f t="shared" si="49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671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50"/>
        <v>0</v>
      </c>
      <c r="U24" s="18">
        <f t="shared" si="51"/>
        <v>0</v>
      </c>
      <c r="V24" s="18">
        <f t="shared" si="52"/>
        <v>0</v>
      </c>
      <c r="W24" s="18">
        <f t="shared" si="53"/>
        <v>0</v>
      </c>
      <c r="X24" s="18">
        <f t="shared" si="54"/>
        <v>0</v>
      </c>
      <c r="Y24" s="18">
        <f t="shared" si="55"/>
        <v>0</v>
      </c>
      <c r="Z24" s="18">
        <f t="shared" si="56"/>
        <v>0</v>
      </c>
      <c r="AA24" s="18">
        <f t="shared" si="57"/>
        <v>0</v>
      </c>
      <c r="AB24" s="18">
        <f t="shared" si="58"/>
        <v>14400</v>
      </c>
      <c r="AD24" s="31">
        <f t="shared" si="27"/>
        <v>0.5</v>
      </c>
      <c r="AE24" s="31">
        <f t="shared" si="28"/>
        <v>0</v>
      </c>
      <c r="AF24" s="31">
        <f t="shared" si="29"/>
        <v>0</v>
      </c>
      <c r="AG24" s="31">
        <f t="shared" si="30"/>
        <v>0</v>
      </c>
      <c r="AH24" s="31">
        <f t="shared" si="31"/>
        <v>0</v>
      </c>
      <c r="AI24" s="18">
        <f t="shared" si="32"/>
        <v>0</v>
      </c>
      <c r="AJ24" s="18">
        <f t="shared" si="33"/>
        <v>0</v>
      </c>
      <c r="AK24" s="18">
        <v>0</v>
      </c>
      <c r="AL24" s="18">
        <f t="shared" si="34"/>
        <v>0</v>
      </c>
      <c r="AM24" s="18">
        <f t="shared" si="35"/>
        <v>0</v>
      </c>
      <c r="AN24" s="18">
        <f t="shared" si="36"/>
        <v>0</v>
      </c>
      <c r="AO24" s="18">
        <f t="shared" si="37"/>
        <v>0</v>
      </c>
      <c r="AP24" s="18">
        <f t="shared" si="38"/>
        <v>0</v>
      </c>
      <c r="AQ24" s="18">
        <f t="shared" si="39"/>
        <v>0</v>
      </c>
      <c r="AR24" s="18">
        <f t="shared" si="40"/>
        <v>0</v>
      </c>
      <c r="AS24" s="18">
        <f t="shared" si="41"/>
        <v>0</v>
      </c>
      <c r="AT24" s="18">
        <f t="shared" si="42"/>
        <v>0</v>
      </c>
      <c r="AU24" s="18">
        <f>INDEX(游戏节奏!$V$4:$V$13,挂机派遣!B24)</f>
        <v>6</v>
      </c>
      <c r="AV24" s="18">
        <f>INDEX(游戏节奏!$V$4:$V$13,挂机派遣!B24)</f>
        <v>6</v>
      </c>
      <c r="AW24" s="18">
        <f>INDEX(游戏节奏!$W$4:$W$13,挂机派遣!B24)</f>
        <v>6</v>
      </c>
      <c r="AX24" s="14">
        <v>1</v>
      </c>
      <c r="AY24" s="14"/>
      <c r="AZ24" s="14"/>
      <c r="BC24" s="18" t="s">
        <v>772</v>
      </c>
      <c r="BD24" s="18" t="str">
        <f t="shared" si="43"/>
        <v>360/h</v>
      </c>
      <c r="BE24" s="18" t="s">
        <v>773</v>
      </c>
      <c r="BF24" s="18" t="str">
        <f t="shared" si="44"/>
        <v>360/h</v>
      </c>
      <c r="BG24" s="18" t="s">
        <v>774</v>
      </c>
      <c r="BH24" s="18" t="str">
        <f t="shared" si="45"/>
        <v>360/h</v>
      </c>
      <c r="BJ24" t="str">
        <f t="shared" si="46"/>
        <v>绿色基础材料</v>
      </c>
      <c r="BK24" t="str">
        <f t="shared" si="47"/>
        <v>5/h</v>
      </c>
      <c r="BL24" t="str">
        <f t="shared" si="48"/>
        <v/>
      </c>
      <c r="BM24" t="str">
        <f t="shared" si="49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687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50"/>
        <v>0</v>
      </c>
      <c r="U25" s="18">
        <f t="shared" si="51"/>
        <v>0</v>
      </c>
      <c r="V25" s="18">
        <f t="shared" si="52"/>
        <v>0</v>
      </c>
      <c r="W25" s="18">
        <f t="shared" si="53"/>
        <v>0</v>
      </c>
      <c r="X25" s="18">
        <f t="shared" si="54"/>
        <v>0</v>
      </c>
      <c r="Y25" s="18">
        <f t="shared" si="55"/>
        <v>0</v>
      </c>
      <c r="Z25" s="18">
        <f t="shared" si="56"/>
        <v>0</v>
      </c>
      <c r="AA25" s="18">
        <f t="shared" si="57"/>
        <v>0</v>
      </c>
      <c r="AB25" s="18">
        <f t="shared" si="58"/>
        <v>14400</v>
      </c>
      <c r="AD25" s="31">
        <f t="shared" si="27"/>
        <v>0.6</v>
      </c>
      <c r="AE25" s="31">
        <f t="shared" si="28"/>
        <v>0</v>
      </c>
      <c r="AF25" s="31">
        <f t="shared" si="29"/>
        <v>0</v>
      </c>
      <c r="AG25" s="31">
        <f t="shared" si="30"/>
        <v>0</v>
      </c>
      <c r="AH25" s="31">
        <f t="shared" si="31"/>
        <v>0</v>
      </c>
      <c r="AI25" s="18">
        <f t="shared" si="32"/>
        <v>0</v>
      </c>
      <c r="AJ25" s="18">
        <f t="shared" si="33"/>
        <v>0</v>
      </c>
      <c r="AK25" s="18">
        <v>0</v>
      </c>
      <c r="AL25" s="18">
        <f t="shared" si="34"/>
        <v>0</v>
      </c>
      <c r="AM25" s="18">
        <f t="shared" si="35"/>
        <v>0</v>
      </c>
      <c r="AN25" s="18">
        <f t="shared" si="36"/>
        <v>0</v>
      </c>
      <c r="AO25" s="18">
        <f t="shared" si="37"/>
        <v>0</v>
      </c>
      <c r="AP25" s="18">
        <f t="shared" si="38"/>
        <v>0</v>
      </c>
      <c r="AQ25" s="18">
        <f t="shared" si="39"/>
        <v>0</v>
      </c>
      <c r="AR25" s="18">
        <f t="shared" si="40"/>
        <v>0</v>
      </c>
      <c r="AS25" s="18">
        <f t="shared" si="41"/>
        <v>0</v>
      </c>
      <c r="AT25" s="18">
        <f t="shared" si="42"/>
        <v>0</v>
      </c>
      <c r="AU25" s="18">
        <f>INDEX(游戏节奏!$V$4:$V$13,挂机派遣!B25)</f>
        <v>6</v>
      </c>
      <c r="AV25" s="18">
        <f>INDEX(游戏节奏!$V$4:$V$13,挂机派遣!B25)</f>
        <v>6</v>
      </c>
      <c r="AW25" s="18">
        <f>INDEX(游戏节奏!$W$4:$W$13,挂机派遣!B25)</f>
        <v>6</v>
      </c>
      <c r="AX25" s="14">
        <v>1</v>
      </c>
      <c r="AY25" s="14"/>
      <c r="AZ25" s="14"/>
      <c r="BC25" s="18" t="s">
        <v>772</v>
      </c>
      <c r="BD25" s="18" t="str">
        <f t="shared" si="43"/>
        <v>360/h</v>
      </c>
      <c r="BE25" s="18" t="s">
        <v>773</v>
      </c>
      <c r="BF25" s="18" t="str">
        <f t="shared" si="44"/>
        <v>360/h</v>
      </c>
      <c r="BG25" s="18" t="s">
        <v>774</v>
      </c>
      <c r="BH25" s="18" t="str">
        <f t="shared" si="45"/>
        <v>360/h</v>
      </c>
      <c r="BJ25" t="str">
        <f t="shared" si="46"/>
        <v>绿色基础材料</v>
      </c>
      <c r="BK25" t="str">
        <f t="shared" si="47"/>
        <v>6/h</v>
      </c>
      <c r="BL25" t="str">
        <f t="shared" si="48"/>
        <v/>
      </c>
      <c r="BM25" t="str">
        <f t="shared" si="49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688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50"/>
        <v>0</v>
      </c>
      <c r="U26" s="18">
        <f t="shared" si="51"/>
        <v>0</v>
      </c>
      <c r="V26" s="18">
        <f t="shared" si="52"/>
        <v>0</v>
      </c>
      <c r="W26" s="18">
        <f t="shared" si="53"/>
        <v>0</v>
      </c>
      <c r="X26" s="18">
        <f t="shared" si="54"/>
        <v>0</v>
      </c>
      <c r="Y26" s="18">
        <f t="shared" si="55"/>
        <v>0</v>
      </c>
      <c r="Z26" s="18">
        <f t="shared" si="56"/>
        <v>0</v>
      </c>
      <c r="AA26" s="18">
        <f t="shared" si="57"/>
        <v>0</v>
      </c>
      <c r="AB26" s="18">
        <f t="shared" si="58"/>
        <v>14400</v>
      </c>
      <c r="AD26" s="31">
        <f t="shared" si="27"/>
        <v>0.7</v>
      </c>
      <c r="AE26" s="31">
        <f t="shared" si="28"/>
        <v>0</v>
      </c>
      <c r="AF26" s="31">
        <f t="shared" si="29"/>
        <v>0</v>
      </c>
      <c r="AG26" s="31">
        <f t="shared" si="30"/>
        <v>0</v>
      </c>
      <c r="AH26" s="31">
        <f t="shared" si="31"/>
        <v>0</v>
      </c>
      <c r="AI26" s="18">
        <f t="shared" si="32"/>
        <v>0</v>
      </c>
      <c r="AJ26" s="18">
        <f t="shared" si="33"/>
        <v>0</v>
      </c>
      <c r="AK26" s="18">
        <v>0</v>
      </c>
      <c r="AL26" s="18">
        <f t="shared" si="34"/>
        <v>0</v>
      </c>
      <c r="AM26" s="18">
        <f t="shared" si="35"/>
        <v>0</v>
      </c>
      <c r="AN26" s="18">
        <f t="shared" si="36"/>
        <v>0</v>
      </c>
      <c r="AO26" s="18">
        <f t="shared" si="37"/>
        <v>0</v>
      </c>
      <c r="AP26" s="18">
        <f t="shared" si="38"/>
        <v>0</v>
      </c>
      <c r="AQ26" s="18">
        <f t="shared" si="39"/>
        <v>0</v>
      </c>
      <c r="AR26" s="18">
        <f t="shared" si="40"/>
        <v>0</v>
      </c>
      <c r="AS26" s="18">
        <f t="shared" si="41"/>
        <v>0</v>
      </c>
      <c r="AT26" s="18">
        <f t="shared" si="42"/>
        <v>0</v>
      </c>
      <c r="AU26" s="18">
        <f>INDEX(游戏节奏!$V$4:$V$13,挂机派遣!B26)</f>
        <v>6</v>
      </c>
      <c r="AV26" s="18">
        <f>INDEX(游戏节奏!$V$4:$V$13,挂机派遣!B26)</f>
        <v>6</v>
      </c>
      <c r="AW26" s="18">
        <f>INDEX(游戏节奏!$W$4:$W$13,挂机派遣!B26)</f>
        <v>6</v>
      </c>
      <c r="AX26" s="14">
        <v>1</v>
      </c>
      <c r="AY26" s="14"/>
      <c r="AZ26" s="14"/>
      <c r="BC26" s="18" t="s">
        <v>772</v>
      </c>
      <c r="BD26" s="18" t="str">
        <f t="shared" si="43"/>
        <v>360/h</v>
      </c>
      <c r="BE26" s="18" t="s">
        <v>773</v>
      </c>
      <c r="BF26" s="18" t="str">
        <f t="shared" si="44"/>
        <v>360/h</v>
      </c>
      <c r="BG26" s="18" t="s">
        <v>774</v>
      </c>
      <c r="BH26" s="18" t="str">
        <f t="shared" si="45"/>
        <v>360/h</v>
      </c>
      <c r="BJ26" t="str">
        <f t="shared" si="46"/>
        <v>绿色基础材料</v>
      </c>
      <c r="BK26" t="str">
        <f t="shared" si="47"/>
        <v>7/h</v>
      </c>
      <c r="BL26" t="str">
        <f t="shared" si="48"/>
        <v/>
      </c>
      <c r="BM26" t="str">
        <f t="shared" si="49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689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50"/>
        <v>10.500000000000002</v>
      </c>
      <c r="U27" s="18">
        <f t="shared" si="51"/>
        <v>0</v>
      </c>
      <c r="V27" s="18">
        <f t="shared" si="52"/>
        <v>0</v>
      </c>
      <c r="W27" s="18">
        <f t="shared" si="53"/>
        <v>0</v>
      </c>
      <c r="X27" s="18">
        <f t="shared" si="54"/>
        <v>0</v>
      </c>
      <c r="Y27" s="18">
        <f t="shared" si="55"/>
        <v>0</v>
      </c>
      <c r="Z27" s="18">
        <f t="shared" si="56"/>
        <v>0</v>
      </c>
      <c r="AA27" s="18">
        <f t="shared" si="57"/>
        <v>0</v>
      </c>
      <c r="AB27" s="18">
        <f t="shared" si="58"/>
        <v>14400</v>
      </c>
      <c r="AD27" s="31">
        <f t="shared" si="27"/>
        <v>0.8</v>
      </c>
      <c r="AE27" s="31">
        <f t="shared" si="28"/>
        <v>0</v>
      </c>
      <c r="AF27" s="31">
        <f t="shared" si="29"/>
        <v>0</v>
      </c>
      <c r="AG27" s="31">
        <f t="shared" si="30"/>
        <v>0</v>
      </c>
      <c r="AH27" s="31">
        <f t="shared" si="31"/>
        <v>0</v>
      </c>
      <c r="AI27" s="18">
        <f t="shared" si="32"/>
        <v>0</v>
      </c>
      <c r="AJ27" s="18">
        <f t="shared" si="33"/>
        <v>0</v>
      </c>
      <c r="AK27" s="18">
        <v>0</v>
      </c>
      <c r="AL27" s="18">
        <f t="shared" si="34"/>
        <v>0</v>
      </c>
      <c r="AM27" s="18">
        <f t="shared" si="35"/>
        <v>0</v>
      </c>
      <c r="AN27" s="18">
        <f t="shared" si="36"/>
        <v>0</v>
      </c>
      <c r="AO27" s="18">
        <f t="shared" si="37"/>
        <v>0</v>
      </c>
      <c r="AP27" s="18">
        <f t="shared" si="38"/>
        <v>0</v>
      </c>
      <c r="AQ27" s="18">
        <f t="shared" si="39"/>
        <v>0</v>
      </c>
      <c r="AR27" s="18">
        <f t="shared" si="40"/>
        <v>0</v>
      </c>
      <c r="AS27" s="18">
        <f t="shared" si="41"/>
        <v>0</v>
      </c>
      <c r="AT27" s="18">
        <f t="shared" si="42"/>
        <v>0</v>
      </c>
      <c r="AU27" s="18">
        <f>INDEX(游戏节奏!$V$4:$V$13,挂机派遣!B27)</f>
        <v>6</v>
      </c>
      <c r="AV27" s="18">
        <f>INDEX(游戏节奏!$V$4:$V$13,挂机派遣!B27)</f>
        <v>6</v>
      </c>
      <c r="AW27" s="18">
        <f>INDEX(游戏节奏!$W$4:$W$13,挂机派遣!B27)</f>
        <v>6</v>
      </c>
      <c r="AX27" s="14">
        <v>1</v>
      </c>
      <c r="AY27" s="14"/>
      <c r="AZ27" s="14"/>
      <c r="BC27" s="18" t="s">
        <v>772</v>
      </c>
      <c r="BD27" s="18" t="str">
        <f t="shared" si="43"/>
        <v>360/h</v>
      </c>
      <c r="BE27" s="18" t="s">
        <v>773</v>
      </c>
      <c r="BF27" s="18" t="str">
        <f t="shared" si="44"/>
        <v>360/h</v>
      </c>
      <c r="BG27" s="18" t="s">
        <v>774</v>
      </c>
      <c r="BH27" s="18" t="str">
        <f t="shared" si="45"/>
        <v>360/h</v>
      </c>
      <c r="BJ27" t="str">
        <f t="shared" si="46"/>
        <v>绿色基础材料</v>
      </c>
      <c r="BK27" t="str">
        <f t="shared" si="47"/>
        <v>8/h</v>
      </c>
      <c r="BL27" t="str">
        <f t="shared" si="48"/>
        <v/>
      </c>
      <c r="BM27" t="str">
        <f t="shared" si="49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690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50"/>
        <v>11.800000000000002</v>
      </c>
      <c r="U28" s="18">
        <f t="shared" si="51"/>
        <v>0</v>
      </c>
      <c r="V28" s="18">
        <f t="shared" si="52"/>
        <v>0</v>
      </c>
      <c r="W28" s="18">
        <f t="shared" si="53"/>
        <v>0</v>
      </c>
      <c r="X28" s="18">
        <f t="shared" si="54"/>
        <v>0</v>
      </c>
      <c r="Y28" s="18">
        <f t="shared" si="55"/>
        <v>0</v>
      </c>
      <c r="Z28" s="18">
        <f t="shared" si="56"/>
        <v>0</v>
      </c>
      <c r="AA28" s="18">
        <f t="shared" si="57"/>
        <v>0</v>
      </c>
      <c r="AB28" s="18">
        <f t="shared" si="58"/>
        <v>14400</v>
      </c>
      <c r="AD28" s="31">
        <f t="shared" si="27"/>
        <v>0.9</v>
      </c>
      <c r="AE28" s="31">
        <f t="shared" si="28"/>
        <v>0</v>
      </c>
      <c r="AF28" s="31">
        <f t="shared" si="29"/>
        <v>0</v>
      </c>
      <c r="AG28" s="31">
        <f t="shared" si="30"/>
        <v>0</v>
      </c>
      <c r="AH28" s="31">
        <f t="shared" si="31"/>
        <v>0</v>
      </c>
      <c r="AI28" s="18">
        <f t="shared" si="32"/>
        <v>0</v>
      </c>
      <c r="AJ28" s="18">
        <f t="shared" si="33"/>
        <v>0</v>
      </c>
      <c r="AK28" s="18">
        <v>0</v>
      </c>
      <c r="AL28" s="18">
        <f t="shared" si="34"/>
        <v>0</v>
      </c>
      <c r="AM28" s="18">
        <f t="shared" si="35"/>
        <v>0</v>
      </c>
      <c r="AN28" s="18">
        <f t="shared" si="36"/>
        <v>0</v>
      </c>
      <c r="AO28" s="18">
        <f t="shared" si="37"/>
        <v>0</v>
      </c>
      <c r="AP28" s="18">
        <f t="shared" si="38"/>
        <v>0</v>
      </c>
      <c r="AQ28" s="18">
        <f t="shared" si="39"/>
        <v>0</v>
      </c>
      <c r="AR28" s="18">
        <f t="shared" si="40"/>
        <v>0</v>
      </c>
      <c r="AS28" s="18">
        <f t="shared" si="41"/>
        <v>0</v>
      </c>
      <c r="AT28" s="18">
        <f t="shared" si="42"/>
        <v>0</v>
      </c>
      <c r="AU28" s="18">
        <f>INDEX(游戏节奏!$V$4:$V$13,挂机派遣!B28)</f>
        <v>6</v>
      </c>
      <c r="AV28" s="18">
        <f>INDEX(游戏节奏!$V$4:$V$13,挂机派遣!B28)</f>
        <v>6</v>
      </c>
      <c r="AW28" s="18">
        <f>INDEX(游戏节奏!$W$4:$W$13,挂机派遣!B28)</f>
        <v>6</v>
      </c>
      <c r="AX28" s="14">
        <v>1</v>
      </c>
      <c r="AY28" s="14"/>
      <c r="AZ28" s="14"/>
      <c r="BC28" s="18" t="s">
        <v>772</v>
      </c>
      <c r="BD28" s="18" t="str">
        <f t="shared" si="43"/>
        <v>360/h</v>
      </c>
      <c r="BE28" s="18" t="s">
        <v>773</v>
      </c>
      <c r="BF28" s="18" t="str">
        <f t="shared" si="44"/>
        <v>360/h</v>
      </c>
      <c r="BG28" s="18" t="s">
        <v>774</v>
      </c>
      <c r="BH28" s="18" t="str">
        <f t="shared" si="45"/>
        <v>360/h</v>
      </c>
      <c r="BJ28" t="str">
        <f t="shared" si="46"/>
        <v>绿色基础材料</v>
      </c>
      <c r="BK28" t="str">
        <f t="shared" si="47"/>
        <v>9/h</v>
      </c>
      <c r="BL28" t="str">
        <f t="shared" si="48"/>
        <v/>
      </c>
      <c r="BM28" t="str">
        <f t="shared" si="49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668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50"/>
        <v>13.100000000000003</v>
      </c>
      <c r="U29" s="18">
        <f t="shared" si="51"/>
        <v>0</v>
      </c>
      <c r="V29" s="18">
        <f t="shared" si="52"/>
        <v>0</v>
      </c>
      <c r="W29" s="18">
        <f t="shared" si="53"/>
        <v>0</v>
      </c>
      <c r="X29" s="18">
        <f t="shared" si="54"/>
        <v>0</v>
      </c>
      <c r="Y29" s="18">
        <f t="shared" si="55"/>
        <v>0</v>
      </c>
      <c r="Z29" s="18">
        <f t="shared" si="56"/>
        <v>0</v>
      </c>
      <c r="AA29" s="18">
        <f t="shared" si="57"/>
        <v>0</v>
      </c>
      <c r="AB29" s="18">
        <f t="shared" si="58"/>
        <v>19200</v>
      </c>
      <c r="AD29" s="31">
        <f t="shared" si="27"/>
        <v>0.6</v>
      </c>
      <c r="AE29" s="31">
        <f t="shared" si="28"/>
        <v>0</v>
      </c>
      <c r="AF29" s="31">
        <f t="shared" si="29"/>
        <v>0</v>
      </c>
      <c r="AG29" s="31">
        <f t="shared" si="30"/>
        <v>0</v>
      </c>
      <c r="AH29" s="31">
        <f t="shared" si="31"/>
        <v>0</v>
      </c>
      <c r="AI29" s="18">
        <f t="shared" si="32"/>
        <v>0</v>
      </c>
      <c r="AJ29" s="18">
        <f t="shared" si="33"/>
        <v>0</v>
      </c>
      <c r="AK29" s="18">
        <v>0</v>
      </c>
      <c r="AL29" s="18">
        <f t="shared" si="34"/>
        <v>0</v>
      </c>
      <c r="AM29" s="18">
        <f t="shared" si="35"/>
        <v>0</v>
      </c>
      <c r="AN29" s="18">
        <f t="shared" si="36"/>
        <v>0</v>
      </c>
      <c r="AO29" s="18">
        <f t="shared" si="37"/>
        <v>0</v>
      </c>
      <c r="AP29" s="18">
        <f t="shared" si="38"/>
        <v>0</v>
      </c>
      <c r="AQ29" s="18">
        <f t="shared" si="39"/>
        <v>0</v>
      </c>
      <c r="AR29" s="18">
        <f t="shared" si="40"/>
        <v>0</v>
      </c>
      <c r="AS29" s="18">
        <f t="shared" si="41"/>
        <v>0</v>
      </c>
      <c r="AT29" s="18">
        <f t="shared" si="42"/>
        <v>0</v>
      </c>
      <c r="AU29" s="18">
        <f>INDEX(游戏节奏!$V$4:$V$13,挂机派遣!B29)</f>
        <v>7</v>
      </c>
      <c r="AV29" s="18">
        <f>INDEX(游戏节奏!$V$4:$V$13,挂机派遣!B29)</f>
        <v>7</v>
      </c>
      <c r="AW29" s="18">
        <f>INDEX(游戏节奏!$W$4:$W$13,挂机派遣!B29)</f>
        <v>8</v>
      </c>
      <c r="AX29" s="14">
        <v>1</v>
      </c>
      <c r="AY29" s="14"/>
      <c r="AZ29" s="14"/>
      <c r="BC29" s="18" t="s">
        <v>772</v>
      </c>
      <c r="BD29" s="18" t="str">
        <f t="shared" si="43"/>
        <v>480/h</v>
      </c>
      <c r="BE29" s="18" t="s">
        <v>773</v>
      </c>
      <c r="BF29" s="18" t="str">
        <f t="shared" si="44"/>
        <v>420/h</v>
      </c>
      <c r="BG29" s="18" t="s">
        <v>774</v>
      </c>
      <c r="BH29" s="18" t="str">
        <f t="shared" si="45"/>
        <v>420/h</v>
      </c>
      <c r="BJ29" t="str">
        <f t="shared" si="46"/>
        <v>绿色基础材料</v>
      </c>
      <c r="BK29" t="str">
        <f t="shared" si="47"/>
        <v>6/h</v>
      </c>
      <c r="BL29" t="str">
        <f t="shared" si="48"/>
        <v/>
      </c>
      <c r="BM29" t="str">
        <f t="shared" si="49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669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50"/>
        <v>14.400000000000004</v>
      </c>
      <c r="U30" s="18">
        <f t="shared" si="51"/>
        <v>0</v>
      </c>
      <c r="V30" s="18">
        <f t="shared" si="52"/>
        <v>0</v>
      </c>
      <c r="W30" s="18">
        <f t="shared" si="53"/>
        <v>0</v>
      </c>
      <c r="X30" s="18">
        <f t="shared" si="54"/>
        <v>0</v>
      </c>
      <c r="Y30" s="18">
        <f t="shared" si="55"/>
        <v>0</v>
      </c>
      <c r="Z30" s="18">
        <f t="shared" si="56"/>
        <v>0</v>
      </c>
      <c r="AA30" s="18">
        <f t="shared" si="57"/>
        <v>0</v>
      </c>
      <c r="AB30" s="18">
        <f t="shared" si="58"/>
        <v>19200</v>
      </c>
      <c r="AD30" s="31">
        <f t="shared" si="27"/>
        <v>0.7</v>
      </c>
      <c r="AE30" s="31">
        <f t="shared" si="28"/>
        <v>0</v>
      </c>
      <c r="AF30" s="31">
        <f t="shared" si="29"/>
        <v>0</v>
      </c>
      <c r="AG30" s="31">
        <f t="shared" si="30"/>
        <v>0</v>
      </c>
      <c r="AH30" s="31">
        <f t="shared" si="31"/>
        <v>0</v>
      </c>
      <c r="AI30" s="18">
        <f t="shared" si="32"/>
        <v>0</v>
      </c>
      <c r="AJ30" s="18">
        <f t="shared" si="33"/>
        <v>0</v>
      </c>
      <c r="AK30" s="18">
        <v>0</v>
      </c>
      <c r="AL30" s="18">
        <f t="shared" si="34"/>
        <v>0</v>
      </c>
      <c r="AM30" s="18">
        <f t="shared" si="35"/>
        <v>0</v>
      </c>
      <c r="AN30" s="18">
        <f t="shared" si="36"/>
        <v>0</v>
      </c>
      <c r="AO30" s="18">
        <f t="shared" si="37"/>
        <v>0</v>
      </c>
      <c r="AP30" s="18">
        <f t="shared" si="38"/>
        <v>0</v>
      </c>
      <c r="AQ30" s="18">
        <f t="shared" si="39"/>
        <v>0</v>
      </c>
      <c r="AR30" s="18">
        <f t="shared" si="40"/>
        <v>0</v>
      </c>
      <c r="AS30" s="18">
        <f t="shared" si="41"/>
        <v>0</v>
      </c>
      <c r="AT30" s="18">
        <f t="shared" si="42"/>
        <v>0</v>
      </c>
      <c r="AU30" s="18">
        <f>INDEX(游戏节奏!$V$4:$V$13,挂机派遣!B30)</f>
        <v>7</v>
      </c>
      <c r="AV30" s="18">
        <f>INDEX(游戏节奏!$V$4:$V$13,挂机派遣!B30)</f>
        <v>7</v>
      </c>
      <c r="AW30" s="18">
        <f>INDEX(游戏节奏!$W$4:$W$13,挂机派遣!B30)</f>
        <v>8</v>
      </c>
      <c r="AX30" s="14">
        <v>1</v>
      </c>
      <c r="AY30" s="14"/>
      <c r="AZ30" s="14"/>
      <c r="BC30" s="18" t="s">
        <v>772</v>
      </c>
      <c r="BD30" s="18" t="str">
        <f t="shared" si="43"/>
        <v>480/h</v>
      </c>
      <c r="BE30" s="18" t="s">
        <v>773</v>
      </c>
      <c r="BF30" s="18" t="str">
        <f t="shared" si="44"/>
        <v>420/h</v>
      </c>
      <c r="BG30" s="18" t="s">
        <v>774</v>
      </c>
      <c r="BH30" s="18" t="str">
        <f t="shared" si="45"/>
        <v>420/h</v>
      </c>
      <c r="BJ30" t="str">
        <f t="shared" si="46"/>
        <v>绿色基础材料</v>
      </c>
      <c r="BK30" t="str">
        <f t="shared" si="47"/>
        <v>7/h</v>
      </c>
      <c r="BL30" t="str">
        <f t="shared" si="48"/>
        <v/>
      </c>
      <c r="BM30" t="str">
        <f t="shared" si="49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670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50"/>
        <v>15.700000000000006</v>
      </c>
      <c r="U31" s="18">
        <f t="shared" si="51"/>
        <v>0</v>
      </c>
      <c r="V31" s="18">
        <f t="shared" si="52"/>
        <v>0</v>
      </c>
      <c r="W31" s="18">
        <f t="shared" si="53"/>
        <v>0</v>
      </c>
      <c r="X31" s="18">
        <f t="shared" si="54"/>
        <v>0</v>
      </c>
      <c r="Y31" s="18">
        <f t="shared" si="55"/>
        <v>0</v>
      </c>
      <c r="Z31" s="18">
        <f t="shared" si="56"/>
        <v>0</v>
      </c>
      <c r="AA31" s="18">
        <f t="shared" si="57"/>
        <v>0</v>
      </c>
      <c r="AB31" s="18">
        <f t="shared" si="58"/>
        <v>19200</v>
      </c>
      <c r="AD31" s="31">
        <f t="shared" si="27"/>
        <v>0.8</v>
      </c>
      <c r="AE31" s="31">
        <f t="shared" si="28"/>
        <v>0</v>
      </c>
      <c r="AF31" s="31">
        <f t="shared" si="29"/>
        <v>0</v>
      </c>
      <c r="AG31" s="31">
        <f t="shared" si="30"/>
        <v>0</v>
      </c>
      <c r="AH31" s="31">
        <f t="shared" si="31"/>
        <v>0</v>
      </c>
      <c r="AI31" s="18">
        <f t="shared" si="32"/>
        <v>0</v>
      </c>
      <c r="AJ31" s="18">
        <f t="shared" si="33"/>
        <v>0</v>
      </c>
      <c r="AK31" s="18">
        <v>0</v>
      </c>
      <c r="AL31" s="18">
        <f t="shared" si="34"/>
        <v>0</v>
      </c>
      <c r="AM31" s="18">
        <f t="shared" si="35"/>
        <v>0</v>
      </c>
      <c r="AN31" s="18">
        <f t="shared" si="36"/>
        <v>0</v>
      </c>
      <c r="AO31" s="18">
        <f t="shared" si="37"/>
        <v>0</v>
      </c>
      <c r="AP31" s="18">
        <f t="shared" si="38"/>
        <v>0</v>
      </c>
      <c r="AQ31" s="18">
        <f t="shared" si="39"/>
        <v>0</v>
      </c>
      <c r="AR31" s="18">
        <f t="shared" si="40"/>
        <v>0</v>
      </c>
      <c r="AS31" s="18">
        <f t="shared" si="41"/>
        <v>0</v>
      </c>
      <c r="AT31" s="18">
        <f t="shared" si="42"/>
        <v>0</v>
      </c>
      <c r="AU31" s="18">
        <f>INDEX(游戏节奏!$V$4:$V$13,挂机派遣!B31)</f>
        <v>7</v>
      </c>
      <c r="AV31" s="18">
        <f>INDEX(游戏节奏!$V$4:$V$13,挂机派遣!B31)</f>
        <v>7</v>
      </c>
      <c r="AW31" s="18">
        <f>INDEX(游戏节奏!$W$4:$W$13,挂机派遣!B31)</f>
        <v>8</v>
      </c>
      <c r="AX31" s="14">
        <v>1</v>
      </c>
      <c r="AY31" s="14"/>
      <c r="AZ31" s="14"/>
      <c r="BC31" s="18" t="s">
        <v>772</v>
      </c>
      <c r="BD31" s="18" t="str">
        <f t="shared" si="43"/>
        <v>480/h</v>
      </c>
      <c r="BE31" s="18" t="s">
        <v>773</v>
      </c>
      <c r="BF31" s="18" t="str">
        <f t="shared" si="44"/>
        <v>420/h</v>
      </c>
      <c r="BG31" s="18" t="s">
        <v>774</v>
      </c>
      <c r="BH31" s="18" t="str">
        <f t="shared" si="45"/>
        <v>420/h</v>
      </c>
      <c r="BJ31" t="str">
        <f t="shared" si="46"/>
        <v>绿色基础材料</v>
      </c>
      <c r="BK31" t="str">
        <f t="shared" si="47"/>
        <v>8/h</v>
      </c>
      <c r="BL31" t="str">
        <f t="shared" si="48"/>
        <v/>
      </c>
      <c r="BM31" t="str">
        <f t="shared" si="49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671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50"/>
        <v>17.000000000000007</v>
      </c>
      <c r="U32" s="18">
        <f t="shared" si="51"/>
        <v>0</v>
      </c>
      <c r="V32" s="18">
        <f t="shared" si="52"/>
        <v>0</v>
      </c>
      <c r="W32" s="18">
        <f t="shared" si="53"/>
        <v>0</v>
      </c>
      <c r="X32" s="18">
        <f t="shared" si="54"/>
        <v>0</v>
      </c>
      <c r="Y32" s="18">
        <f t="shared" si="55"/>
        <v>0</v>
      </c>
      <c r="Z32" s="18">
        <f t="shared" si="56"/>
        <v>0</v>
      </c>
      <c r="AA32" s="18">
        <f t="shared" si="57"/>
        <v>0</v>
      </c>
      <c r="AB32" s="18">
        <f t="shared" si="58"/>
        <v>19200</v>
      </c>
      <c r="AD32" s="31">
        <f t="shared" si="27"/>
        <v>0.9</v>
      </c>
      <c r="AE32" s="31">
        <f t="shared" si="28"/>
        <v>0</v>
      </c>
      <c r="AF32" s="31">
        <f t="shared" si="29"/>
        <v>0</v>
      </c>
      <c r="AG32" s="31">
        <f t="shared" si="30"/>
        <v>0</v>
      </c>
      <c r="AH32" s="31">
        <f t="shared" si="31"/>
        <v>0</v>
      </c>
      <c r="AI32" s="18">
        <f t="shared" si="32"/>
        <v>0</v>
      </c>
      <c r="AJ32" s="18">
        <f t="shared" si="33"/>
        <v>0</v>
      </c>
      <c r="AK32" s="18">
        <v>0</v>
      </c>
      <c r="AL32" s="18">
        <f t="shared" si="34"/>
        <v>0</v>
      </c>
      <c r="AM32" s="18">
        <f t="shared" si="35"/>
        <v>0</v>
      </c>
      <c r="AN32" s="18">
        <f t="shared" si="36"/>
        <v>0</v>
      </c>
      <c r="AO32" s="18">
        <f t="shared" si="37"/>
        <v>0</v>
      </c>
      <c r="AP32" s="18">
        <f t="shared" si="38"/>
        <v>0</v>
      </c>
      <c r="AQ32" s="18">
        <f t="shared" si="39"/>
        <v>0</v>
      </c>
      <c r="AR32" s="18">
        <f t="shared" si="40"/>
        <v>0</v>
      </c>
      <c r="AS32" s="18">
        <f t="shared" si="41"/>
        <v>0</v>
      </c>
      <c r="AT32" s="18">
        <f t="shared" si="42"/>
        <v>0</v>
      </c>
      <c r="AU32" s="18">
        <f>INDEX(游戏节奏!$V$4:$V$13,挂机派遣!B32)</f>
        <v>7</v>
      </c>
      <c r="AV32" s="18">
        <f>INDEX(游戏节奏!$V$4:$V$13,挂机派遣!B32)</f>
        <v>7</v>
      </c>
      <c r="AW32" s="18">
        <f>INDEX(游戏节奏!$W$4:$W$13,挂机派遣!B32)</f>
        <v>8</v>
      </c>
      <c r="AX32" s="14">
        <v>1</v>
      </c>
      <c r="AY32" s="14"/>
      <c r="AZ32" s="14"/>
      <c r="BC32" s="18" t="s">
        <v>772</v>
      </c>
      <c r="BD32" s="18" t="str">
        <f t="shared" si="43"/>
        <v>480/h</v>
      </c>
      <c r="BE32" s="18" t="s">
        <v>773</v>
      </c>
      <c r="BF32" s="18" t="str">
        <f t="shared" si="44"/>
        <v>420/h</v>
      </c>
      <c r="BG32" s="18" t="s">
        <v>774</v>
      </c>
      <c r="BH32" s="18" t="str">
        <f t="shared" si="45"/>
        <v>420/h</v>
      </c>
      <c r="BJ32" t="str">
        <f t="shared" si="46"/>
        <v>绿色基础材料</v>
      </c>
      <c r="BK32" t="str">
        <f t="shared" si="47"/>
        <v>9/h</v>
      </c>
      <c r="BL32" t="str">
        <f t="shared" si="48"/>
        <v/>
      </c>
      <c r="BM32" t="str">
        <f t="shared" si="49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672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50"/>
        <v>18.300000000000008</v>
      </c>
      <c r="U33" s="18">
        <f t="shared" si="51"/>
        <v>0</v>
      </c>
      <c r="V33" s="18">
        <f t="shared" si="52"/>
        <v>0</v>
      </c>
      <c r="W33" s="18">
        <f t="shared" si="53"/>
        <v>0</v>
      </c>
      <c r="X33" s="18">
        <f t="shared" si="54"/>
        <v>0</v>
      </c>
      <c r="Y33" s="18">
        <f t="shared" si="55"/>
        <v>0</v>
      </c>
      <c r="Z33" s="18">
        <f t="shared" si="56"/>
        <v>0</v>
      </c>
      <c r="AA33" s="18">
        <f t="shared" si="57"/>
        <v>0</v>
      </c>
      <c r="AB33" s="18">
        <f t="shared" si="58"/>
        <v>19200</v>
      </c>
      <c r="AD33" s="31">
        <f t="shared" si="27"/>
        <v>0.95</v>
      </c>
      <c r="AE33" s="31">
        <f t="shared" si="28"/>
        <v>0</v>
      </c>
      <c r="AF33" s="31">
        <f t="shared" si="29"/>
        <v>0</v>
      </c>
      <c r="AG33" s="31">
        <f t="shared" si="30"/>
        <v>0</v>
      </c>
      <c r="AH33" s="31">
        <f t="shared" si="31"/>
        <v>0</v>
      </c>
      <c r="AI33" s="18">
        <f t="shared" si="32"/>
        <v>0</v>
      </c>
      <c r="AJ33" s="18">
        <f t="shared" si="33"/>
        <v>0</v>
      </c>
      <c r="AK33" s="18">
        <v>0</v>
      </c>
      <c r="AL33" s="18">
        <f t="shared" si="34"/>
        <v>0</v>
      </c>
      <c r="AM33" s="18">
        <f t="shared" si="35"/>
        <v>0</v>
      </c>
      <c r="AN33" s="18">
        <f t="shared" si="36"/>
        <v>0</v>
      </c>
      <c r="AO33" s="18">
        <f t="shared" si="37"/>
        <v>0</v>
      </c>
      <c r="AP33" s="18">
        <f t="shared" si="38"/>
        <v>0</v>
      </c>
      <c r="AQ33" s="18">
        <f t="shared" si="39"/>
        <v>0</v>
      </c>
      <c r="AR33" s="18">
        <f t="shared" si="40"/>
        <v>0</v>
      </c>
      <c r="AS33" s="18">
        <f t="shared" si="41"/>
        <v>0</v>
      </c>
      <c r="AT33" s="18">
        <f t="shared" si="42"/>
        <v>0</v>
      </c>
      <c r="AU33" s="18">
        <f>INDEX(游戏节奏!$V$4:$V$13,挂机派遣!B33)</f>
        <v>7</v>
      </c>
      <c r="AV33" s="18">
        <f>INDEX(游戏节奏!$V$4:$V$13,挂机派遣!B33)</f>
        <v>7</v>
      </c>
      <c r="AW33" s="18">
        <f>INDEX(游戏节奏!$W$4:$W$13,挂机派遣!B33)</f>
        <v>8</v>
      </c>
      <c r="AX33" s="14">
        <v>1</v>
      </c>
      <c r="AY33" s="14"/>
      <c r="AZ33" s="14"/>
      <c r="BC33" s="18" t="s">
        <v>772</v>
      </c>
      <c r="BD33" s="18" t="str">
        <f t="shared" si="43"/>
        <v>480/h</v>
      </c>
      <c r="BE33" s="18" t="s">
        <v>773</v>
      </c>
      <c r="BF33" s="18" t="str">
        <f t="shared" si="44"/>
        <v>420/h</v>
      </c>
      <c r="BG33" s="18" t="s">
        <v>774</v>
      </c>
      <c r="BH33" s="18" t="str">
        <f t="shared" si="45"/>
        <v>420/h</v>
      </c>
      <c r="BJ33" t="str">
        <f t="shared" si="46"/>
        <v>绿色基础材料</v>
      </c>
      <c r="BK33" t="str">
        <f t="shared" si="47"/>
        <v>9.5/h</v>
      </c>
      <c r="BL33" t="str">
        <f t="shared" si="48"/>
        <v/>
      </c>
      <c r="BM33" t="str">
        <f t="shared" si="49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673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50"/>
        <v>19.600000000000009</v>
      </c>
      <c r="U34" s="18">
        <f t="shared" si="51"/>
        <v>0</v>
      </c>
      <c r="V34" s="18">
        <f t="shared" si="52"/>
        <v>0</v>
      </c>
      <c r="W34" s="18">
        <f t="shared" si="53"/>
        <v>0</v>
      </c>
      <c r="X34" s="18">
        <f t="shared" si="54"/>
        <v>0</v>
      </c>
      <c r="Y34" s="18">
        <f t="shared" si="55"/>
        <v>0</v>
      </c>
      <c r="Z34" s="18">
        <f t="shared" si="56"/>
        <v>0</v>
      </c>
      <c r="AA34" s="18">
        <f t="shared" si="57"/>
        <v>0</v>
      </c>
      <c r="AB34" s="18">
        <f t="shared" si="58"/>
        <v>19200</v>
      </c>
      <c r="AD34" s="31">
        <f t="shared" si="27"/>
        <v>1</v>
      </c>
      <c r="AE34" s="31">
        <f t="shared" si="28"/>
        <v>0</v>
      </c>
      <c r="AF34" s="31">
        <f t="shared" si="29"/>
        <v>0</v>
      </c>
      <c r="AG34" s="31">
        <f t="shared" si="30"/>
        <v>0</v>
      </c>
      <c r="AH34" s="31">
        <f t="shared" si="31"/>
        <v>0</v>
      </c>
      <c r="AI34" s="18">
        <f t="shared" si="32"/>
        <v>0</v>
      </c>
      <c r="AJ34" s="18">
        <f t="shared" si="33"/>
        <v>0</v>
      </c>
      <c r="AK34" s="18">
        <v>0</v>
      </c>
      <c r="AL34" s="18">
        <f t="shared" si="34"/>
        <v>0</v>
      </c>
      <c r="AM34" s="18">
        <f t="shared" si="35"/>
        <v>0</v>
      </c>
      <c r="AN34" s="18">
        <f t="shared" si="36"/>
        <v>0</v>
      </c>
      <c r="AO34" s="18">
        <f t="shared" si="37"/>
        <v>0</v>
      </c>
      <c r="AP34" s="18">
        <f t="shared" si="38"/>
        <v>0</v>
      </c>
      <c r="AQ34" s="18">
        <f t="shared" si="39"/>
        <v>0</v>
      </c>
      <c r="AR34" s="18">
        <f t="shared" si="40"/>
        <v>0</v>
      </c>
      <c r="AS34" s="18">
        <f t="shared" si="41"/>
        <v>0</v>
      </c>
      <c r="AT34" s="18">
        <f t="shared" si="42"/>
        <v>0</v>
      </c>
      <c r="AU34" s="18">
        <f>INDEX(游戏节奏!$V$4:$V$13,挂机派遣!B34)</f>
        <v>7</v>
      </c>
      <c r="AV34" s="18">
        <f>INDEX(游戏节奏!$V$4:$V$13,挂机派遣!B34)</f>
        <v>7</v>
      </c>
      <c r="AW34" s="18">
        <f>INDEX(游戏节奏!$W$4:$W$13,挂机派遣!B34)</f>
        <v>8</v>
      </c>
      <c r="AX34" s="14">
        <v>1</v>
      </c>
      <c r="AY34" s="14"/>
      <c r="AZ34" s="14"/>
      <c r="BC34" s="18" t="s">
        <v>772</v>
      </c>
      <c r="BD34" s="18" t="str">
        <f t="shared" si="43"/>
        <v>480/h</v>
      </c>
      <c r="BE34" s="18" t="s">
        <v>773</v>
      </c>
      <c r="BF34" s="18" t="str">
        <f t="shared" si="44"/>
        <v>420/h</v>
      </c>
      <c r="BG34" s="18" t="s">
        <v>774</v>
      </c>
      <c r="BH34" s="18" t="str">
        <f t="shared" si="45"/>
        <v>420/h</v>
      </c>
      <c r="BJ34" t="str">
        <f t="shared" si="46"/>
        <v>绿色基础材料</v>
      </c>
      <c r="BK34" t="str">
        <f t="shared" si="47"/>
        <v>10/h</v>
      </c>
      <c r="BL34" t="str">
        <f t="shared" si="48"/>
        <v/>
      </c>
      <c r="BM34" t="str">
        <f t="shared" si="49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679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50"/>
        <v>20.900000000000009</v>
      </c>
      <c r="U35" s="18">
        <f t="shared" si="51"/>
        <v>0</v>
      </c>
      <c r="V35" s="18">
        <f t="shared" si="52"/>
        <v>0</v>
      </c>
      <c r="W35" s="18">
        <f t="shared" si="53"/>
        <v>0</v>
      </c>
      <c r="X35" s="18">
        <f t="shared" si="54"/>
        <v>0</v>
      </c>
      <c r="Y35" s="18">
        <f t="shared" si="55"/>
        <v>0</v>
      </c>
      <c r="Z35" s="18">
        <f t="shared" si="56"/>
        <v>0</v>
      </c>
      <c r="AA35" s="18">
        <f t="shared" si="57"/>
        <v>0</v>
      </c>
      <c r="AB35" s="18">
        <f t="shared" si="58"/>
        <v>19200</v>
      </c>
      <c r="AD35" s="31">
        <f t="shared" si="27"/>
        <v>0</v>
      </c>
      <c r="AE35" s="31">
        <f t="shared" si="28"/>
        <v>0</v>
      </c>
      <c r="AF35" s="31">
        <f t="shared" si="29"/>
        <v>0</v>
      </c>
      <c r="AG35" s="31">
        <f t="shared" si="30"/>
        <v>0</v>
      </c>
      <c r="AH35" s="31">
        <f t="shared" si="31"/>
        <v>0.3</v>
      </c>
      <c r="AI35" s="18">
        <v>0</v>
      </c>
      <c r="AJ35" s="18">
        <v>0</v>
      </c>
      <c r="AK35" s="18">
        <v>0</v>
      </c>
      <c r="AL35" s="18">
        <f t="shared" si="34"/>
        <v>0</v>
      </c>
      <c r="AM35" s="18">
        <f t="shared" si="35"/>
        <v>0</v>
      </c>
      <c r="AN35" s="18">
        <f t="shared" si="36"/>
        <v>0</v>
      </c>
      <c r="AO35" s="18">
        <f t="shared" si="37"/>
        <v>0</v>
      </c>
      <c r="AP35" s="18">
        <f t="shared" si="38"/>
        <v>0</v>
      </c>
      <c r="AQ35" s="18">
        <f t="shared" si="39"/>
        <v>0</v>
      </c>
      <c r="AR35" s="18">
        <f t="shared" si="40"/>
        <v>0</v>
      </c>
      <c r="AS35" s="18">
        <f t="shared" si="41"/>
        <v>0</v>
      </c>
      <c r="AT35" s="18">
        <f t="shared" si="42"/>
        <v>0</v>
      </c>
      <c r="AU35" s="18">
        <f>INDEX(游戏节奏!$V$4:$V$13,挂机派遣!B35)</f>
        <v>7</v>
      </c>
      <c r="AV35" s="18">
        <f>INDEX(游戏节奏!$V$4:$V$13,挂机派遣!B35)</f>
        <v>7</v>
      </c>
      <c r="AW35" s="18">
        <f>INDEX(游戏节奏!$W$4:$W$13,挂机派遣!B35)</f>
        <v>8</v>
      </c>
      <c r="AX35" s="14">
        <v>5</v>
      </c>
      <c r="AY35" s="14"/>
      <c r="AZ35" s="14"/>
      <c r="BC35" s="18" t="s">
        <v>772</v>
      </c>
      <c r="BD35" s="18" t="str">
        <f t="shared" si="43"/>
        <v>480/h</v>
      </c>
      <c r="BE35" s="18" t="s">
        <v>773</v>
      </c>
      <c r="BF35" s="18" t="str">
        <f t="shared" si="44"/>
        <v>420/h</v>
      </c>
      <c r="BG35" s="18" t="s">
        <v>774</v>
      </c>
      <c r="BH35" s="18" t="str">
        <f t="shared" si="45"/>
        <v>420/h</v>
      </c>
      <c r="BJ35" t="str">
        <f t="shared" si="46"/>
        <v>初级蓝</v>
      </c>
      <c r="BK35" t="str">
        <f t="shared" si="47"/>
        <v>0.9/h</v>
      </c>
      <c r="BL35" t="str">
        <f t="shared" si="48"/>
        <v/>
      </c>
      <c r="BM35" t="str">
        <f t="shared" si="49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680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50"/>
        <v>22.20000000000001</v>
      </c>
      <c r="U36" s="18">
        <f t="shared" si="51"/>
        <v>0</v>
      </c>
      <c r="V36" s="18">
        <f t="shared" si="52"/>
        <v>0</v>
      </c>
      <c r="W36" s="18">
        <f t="shared" si="53"/>
        <v>0</v>
      </c>
      <c r="X36" s="18">
        <f t="shared" si="54"/>
        <v>0</v>
      </c>
      <c r="Y36" s="18">
        <f t="shared" si="55"/>
        <v>0</v>
      </c>
      <c r="Z36" s="18">
        <f t="shared" si="56"/>
        <v>0</v>
      </c>
      <c r="AA36" s="18">
        <f t="shared" si="57"/>
        <v>0</v>
      </c>
      <c r="AB36" s="18">
        <f t="shared" si="58"/>
        <v>19200</v>
      </c>
      <c r="AD36" s="31">
        <f t="shared" ref="AD36:AD67" si="59">F36*C$2</f>
        <v>0</v>
      </c>
      <c r="AE36" s="31">
        <f t="shared" ref="AE36:AE67" si="60">G36*D$2</f>
        <v>0</v>
      </c>
      <c r="AF36" s="31">
        <f t="shared" ref="AF36:AF67" si="61">H36*E$2</f>
        <v>0</v>
      </c>
      <c r="AG36" s="31">
        <f t="shared" ref="AG36:AG67" si="62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34"/>
        <v>0</v>
      </c>
      <c r="AM36" s="18">
        <f t="shared" si="35"/>
        <v>0</v>
      </c>
      <c r="AN36" s="18">
        <f t="shared" si="36"/>
        <v>0</v>
      </c>
      <c r="AO36" s="18">
        <f t="shared" si="37"/>
        <v>0</v>
      </c>
      <c r="AP36" s="18">
        <f t="shared" si="38"/>
        <v>0</v>
      </c>
      <c r="AQ36" s="18">
        <f t="shared" si="39"/>
        <v>0</v>
      </c>
      <c r="AR36" s="18">
        <f t="shared" si="40"/>
        <v>0</v>
      </c>
      <c r="AS36" s="18">
        <f t="shared" si="41"/>
        <v>0</v>
      </c>
      <c r="AT36" s="18">
        <f t="shared" si="42"/>
        <v>0</v>
      </c>
      <c r="AU36" s="18">
        <f>INDEX(游戏节奏!$V$4:$V$13,挂机派遣!B36)</f>
        <v>7</v>
      </c>
      <c r="AV36" s="18">
        <f>INDEX(游戏节奏!$V$4:$V$13,挂机派遣!B36)</f>
        <v>7</v>
      </c>
      <c r="AW36" s="18">
        <f>INDEX(游戏节奏!$W$4:$W$13,挂机派遣!B36)</f>
        <v>8</v>
      </c>
      <c r="AX36" s="14">
        <v>6</v>
      </c>
      <c r="AY36" s="14"/>
      <c r="AZ36" s="14"/>
      <c r="BC36" s="18" t="s">
        <v>772</v>
      </c>
      <c r="BD36" s="18" t="str">
        <f t="shared" si="43"/>
        <v>480/h</v>
      </c>
      <c r="BE36" s="18" t="s">
        <v>773</v>
      </c>
      <c r="BF36" s="18" t="str">
        <f t="shared" si="44"/>
        <v>420/h</v>
      </c>
      <c r="BG36" s="18" t="s">
        <v>774</v>
      </c>
      <c r="BH36" s="18" t="str">
        <f t="shared" si="45"/>
        <v>420/h</v>
      </c>
      <c r="BJ36" t="str">
        <f t="shared" si="46"/>
        <v>初级红</v>
      </c>
      <c r="BK36" t="str">
        <f t="shared" si="47"/>
        <v>0.9/h</v>
      </c>
      <c r="BL36" t="str">
        <f t="shared" si="48"/>
        <v/>
      </c>
      <c r="BM36" t="str">
        <f t="shared" si="49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681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50"/>
        <v>50.164000000000023</v>
      </c>
      <c r="U37" s="18">
        <f t="shared" si="51"/>
        <v>0</v>
      </c>
      <c r="V37" s="18">
        <f t="shared" si="52"/>
        <v>0</v>
      </c>
      <c r="W37" s="18">
        <f t="shared" si="53"/>
        <v>0</v>
      </c>
      <c r="X37" s="18">
        <f t="shared" si="54"/>
        <v>0</v>
      </c>
      <c r="Y37" s="18">
        <f t="shared" si="55"/>
        <v>0</v>
      </c>
      <c r="Z37" s="18">
        <f t="shared" si="56"/>
        <v>0</v>
      </c>
      <c r="AA37" s="18">
        <f t="shared" si="57"/>
        <v>0</v>
      </c>
      <c r="AB37" s="18">
        <f t="shared" si="58"/>
        <v>19200</v>
      </c>
      <c r="AD37" s="31">
        <f t="shared" si="59"/>
        <v>0</v>
      </c>
      <c r="AE37" s="31">
        <f t="shared" si="60"/>
        <v>0</v>
      </c>
      <c r="AF37" s="31">
        <f t="shared" si="61"/>
        <v>0</v>
      </c>
      <c r="AG37" s="31">
        <f t="shared" si="62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34"/>
        <v>0</v>
      </c>
      <c r="AM37" s="18">
        <f t="shared" si="35"/>
        <v>0</v>
      </c>
      <c r="AN37" s="18">
        <f t="shared" si="36"/>
        <v>0</v>
      </c>
      <c r="AO37" s="18">
        <f t="shared" si="37"/>
        <v>0</v>
      </c>
      <c r="AP37" s="18">
        <f t="shared" si="38"/>
        <v>0</v>
      </c>
      <c r="AQ37" s="18">
        <f t="shared" si="39"/>
        <v>0</v>
      </c>
      <c r="AR37" s="18">
        <f t="shared" si="40"/>
        <v>0</v>
      </c>
      <c r="AS37" s="18">
        <f t="shared" si="41"/>
        <v>0</v>
      </c>
      <c r="AT37" s="18">
        <f t="shared" si="42"/>
        <v>0</v>
      </c>
      <c r="AU37" s="18">
        <f>INDEX(游戏节奏!$V$4:$V$13,挂机派遣!B37)</f>
        <v>7</v>
      </c>
      <c r="AV37" s="18">
        <f>INDEX(游戏节奏!$V$4:$V$13,挂机派遣!B37)</f>
        <v>7</v>
      </c>
      <c r="AW37" s="18">
        <f>INDEX(游戏节奏!$W$4:$W$13,挂机派遣!B37)</f>
        <v>8</v>
      </c>
      <c r="AX37" s="14">
        <v>7</v>
      </c>
      <c r="AY37" s="14"/>
      <c r="AZ37" s="14"/>
      <c r="BC37" s="18" t="s">
        <v>772</v>
      </c>
      <c r="BD37" s="18" t="str">
        <f t="shared" si="43"/>
        <v>480/h</v>
      </c>
      <c r="BE37" s="18" t="s">
        <v>773</v>
      </c>
      <c r="BF37" s="18" t="str">
        <f t="shared" si="44"/>
        <v>420/h</v>
      </c>
      <c r="BG37" s="18" t="s">
        <v>774</v>
      </c>
      <c r="BH37" s="18" t="str">
        <f t="shared" si="45"/>
        <v>420/h</v>
      </c>
      <c r="BJ37" t="str">
        <f t="shared" si="46"/>
        <v>初级黄</v>
      </c>
      <c r="BK37" t="str">
        <f t="shared" si="47"/>
        <v>0.9/h</v>
      </c>
      <c r="BL37" t="str">
        <f t="shared" si="48"/>
        <v/>
      </c>
      <c r="BM37" t="str">
        <f t="shared" si="49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682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50"/>
        <v>55.928000000000026</v>
      </c>
      <c r="U38" s="18">
        <f t="shared" si="51"/>
        <v>0</v>
      </c>
      <c r="V38" s="18">
        <f t="shared" si="52"/>
        <v>0</v>
      </c>
      <c r="W38" s="18">
        <f t="shared" si="53"/>
        <v>0</v>
      </c>
      <c r="X38" s="18">
        <f t="shared" si="54"/>
        <v>0</v>
      </c>
      <c r="Y38" s="18">
        <f t="shared" si="55"/>
        <v>0</v>
      </c>
      <c r="Z38" s="18">
        <f t="shared" si="56"/>
        <v>0</v>
      </c>
      <c r="AA38" s="18">
        <f t="shared" si="57"/>
        <v>0</v>
      </c>
      <c r="AB38" s="18">
        <f t="shared" si="58"/>
        <v>19200</v>
      </c>
      <c r="AD38" s="31">
        <f t="shared" si="59"/>
        <v>0</v>
      </c>
      <c r="AE38" s="31">
        <f t="shared" si="60"/>
        <v>0</v>
      </c>
      <c r="AF38" s="31">
        <f t="shared" si="61"/>
        <v>0</v>
      </c>
      <c r="AG38" s="31">
        <f t="shared" si="62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34"/>
        <v>0</v>
      </c>
      <c r="AM38" s="18">
        <f t="shared" si="35"/>
        <v>0</v>
      </c>
      <c r="AN38" s="18">
        <f t="shared" si="36"/>
        <v>0</v>
      </c>
      <c r="AO38" s="18">
        <f t="shared" si="37"/>
        <v>0</v>
      </c>
      <c r="AP38" s="18">
        <f t="shared" si="38"/>
        <v>0</v>
      </c>
      <c r="AQ38" s="18">
        <f t="shared" si="39"/>
        <v>0</v>
      </c>
      <c r="AR38" s="18">
        <f t="shared" si="40"/>
        <v>0</v>
      </c>
      <c r="AS38" s="18">
        <f t="shared" si="41"/>
        <v>0</v>
      </c>
      <c r="AT38" s="18">
        <f t="shared" si="42"/>
        <v>0</v>
      </c>
      <c r="AU38" s="18">
        <f>INDEX(游戏节奏!$V$4:$V$13,挂机派遣!B38)</f>
        <v>7</v>
      </c>
      <c r="AV38" s="18">
        <f>INDEX(游戏节奏!$V$4:$V$13,挂机派遣!B38)</f>
        <v>7</v>
      </c>
      <c r="AW38" s="18">
        <f>INDEX(游戏节奏!$W$4:$W$13,挂机派遣!B38)</f>
        <v>8</v>
      </c>
      <c r="AX38" s="14">
        <v>5</v>
      </c>
      <c r="AY38" s="14"/>
      <c r="AZ38" s="14"/>
      <c r="BC38" s="18" t="s">
        <v>772</v>
      </c>
      <c r="BD38" s="18" t="str">
        <f t="shared" si="43"/>
        <v>480/h</v>
      </c>
      <c r="BE38" s="18" t="s">
        <v>773</v>
      </c>
      <c r="BF38" s="18" t="str">
        <f t="shared" si="44"/>
        <v>420/h</v>
      </c>
      <c r="BG38" s="18" t="s">
        <v>774</v>
      </c>
      <c r="BH38" s="18" t="str">
        <f t="shared" si="45"/>
        <v>420/h</v>
      </c>
      <c r="BJ38" t="str">
        <f t="shared" si="46"/>
        <v>初级蓝</v>
      </c>
      <c r="BK38" t="str">
        <f t="shared" si="47"/>
        <v>1.5/h</v>
      </c>
      <c r="BL38" t="str">
        <f t="shared" si="48"/>
        <v/>
      </c>
      <c r="BM38" t="str">
        <f t="shared" si="49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684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50"/>
        <v>61.692000000000021</v>
      </c>
      <c r="U39" s="18">
        <f t="shared" si="51"/>
        <v>0</v>
      </c>
      <c r="V39" s="18">
        <f t="shared" si="52"/>
        <v>0</v>
      </c>
      <c r="W39" s="18">
        <f t="shared" si="53"/>
        <v>0</v>
      </c>
      <c r="X39" s="18">
        <f t="shared" si="54"/>
        <v>0</v>
      </c>
      <c r="Y39" s="18">
        <f t="shared" si="55"/>
        <v>0</v>
      </c>
      <c r="Z39" s="18">
        <f t="shared" si="56"/>
        <v>0</v>
      </c>
      <c r="AA39" s="18">
        <f t="shared" si="57"/>
        <v>0</v>
      </c>
      <c r="AB39" s="18">
        <f t="shared" si="58"/>
        <v>19200</v>
      </c>
      <c r="AD39" s="31">
        <f t="shared" si="59"/>
        <v>0</v>
      </c>
      <c r="AE39" s="31">
        <f t="shared" si="60"/>
        <v>0</v>
      </c>
      <c r="AF39" s="31">
        <f t="shared" si="61"/>
        <v>0</v>
      </c>
      <c r="AG39" s="31">
        <f t="shared" si="62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34"/>
        <v>0</v>
      </c>
      <c r="AM39" s="18">
        <f t="shared" si="35"/>
        <v>0</v>
      </c>
      <c r="AN39" s="18">
        <f t="shared" si="36"/>
        <v>0</v>
      </c>
      <c r="AO39" s="18">
        <f t="shared" si="37"/>
        <v>0</v>
      </c>
      <c r="AP39" s="18">
        <f t="shared" si="38"/>
        <v>0</v>
      </c>
      <c r="AQ39" s="18">
        <f t="shared" si="39"/>
        <v>0</v>
      </c>
      <c r="AR39" s="18">
        <f t="shared" si="40"/>
        <v>0</v>
      </c>
      <c r="AS39" s="18">
        <f t="shared" si="41"/>
        <v>0</v>
      </c>
      <c r="AT39" s="18">
        <f t="shared" si="42"/>
        <v>0</v>
      </c>
      <c r="AU39" s="18">
        <f>INDEX(游戏节奏!$V$4:$V$13,挂机派遣!B39)</f>
        <v>7</v>
      </c>
      <c r="AV39" s="18">
        <f>INDEX(游戏节奏!$V$4:$V$13,挂机派遣!B39)</f>
        <v>7</v>
      </c>
      <c r="AW39" s="18">
        <f>INDEX(游戏节奏!$W$4:$W$13,挂机派遣!B39)</f>
        <v>8</v>
      </c>
      <c r="AX39" s="14">
        <v>6</v>
      </c>
      <c r="AY39" s="14"/>
      <c r="AZ39" s="14"/>
      <c r="BC39" s="18" t="s">
        <v>772</v>
      </c>
      <c r="BD39" s="18" t="str">
        <f t="shared" si="43"/>
        <v>480/h</v>
      </c>
      <c r="BE39" s="18" t="s">
        <v>773</v>
      </c>
      <c r="BF39" s="18" t="str">
        <f t="shared" si="44"/>
        <v>420/h</v>
      </c>
      <c r="BG39" s="18" t="s">
        <v>774</v>
      </c>
      <c r="BH39" s="18" t="str">
        <f t="shared" si="45"/>
        <v>420/h</v>
      </c>
      <c r="BJ39" t="str">
        <f t="shared" si="46"/>
        <v>初级红</v>
      </c>
      <c r="BK39" t="str">
        <f t="shared" si="47"/>
        <v>1.5/h</v>
      </c>
      <c r="BL39" t="str">
        <f t="shared" si="48"/>
        <v/>
      </c>
      <c r="BM39" t="str">
        <f t="shared" si="49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686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50"/>
        <v>67.456000000000031</v>
      </c>
      <c r="U40" s="18">
        <f t="shared" si="51"/>
        <v>0</v>
      </c>
      <c r="V40" s="18">
        <f t="shared" si="52"/>
        <v>0</v>
      </c>
      <c r="W40" s="18">
        <f t="shared" si="53"/>
        <v>0</v>
      </c>
      <c r="X40" s="18">
        <f t="shared" si="54"/>
        <v>0</v>
      </c>
      <c r="Y40" s="18">
        <f t="shared" si="55"/>
        <v>0</v>
      </c>
      <c r="Z40" s="18">
        <f t="shared" si="56"/>
        <v>0</v>
      </c>
      <c r="AA40" s="18">
        <f t="shared" si="57"/>
        <v>0</v>
      </c>
      <c r="AB40" s="18">
        <f t="shared" si="58"/>
        <v>19200</v>
      </c>
      <c r="AD40" s="31">
        <f t="shared" si="59"/>
        <v>0</v>
      </c>
      <c r="AE40" s="31">
        <f t="shared" si="60"/>
        <v>0</v>
      </c>
      <c r="AF40" s="31">
        <f t="shared" si="61"/>
        <v>0</v>
      </c>
      <c r="AG40" s="31">
        <f t="shared" si="62"/>
        <v>0</v>
      </c>
      <c r="AH40" s="31">
        <v>0</v>
      </c>
      <c r="AI40" s="18">
        <v>0</v>
      </c>
      <c r="AJ40" s="18">
        <f t="shared" ref="AJ40:AJ47" si="63">J40*G$2</f>
        <v>0.5</v>
      </c>
      <c r="AK40" s="18">
        <v>0</v>
      </c>
      <c r="AL40" s="18">
        <f t="shared" si="34"/>
        <v>0</v>
      </c>
      <c r="AM40" s="18">
        <f t="shared" si="35"/>
        <v>0</v>
      </c>
      <c r="AN40" s="18">
        <f t="shared" si="36"/>
        <v>0</v>
      </c>
      <c r="AO40" s="18">
        <f t="shared" si="37"/>
        <v>0</v>
      </c>
      <c r="AP40" s="18">
        <f t="shared" si="38"/>
        <v>0</v>
      </c>
      <c r="AQ40" s="18">
        <f t="shared" si="39"/>
        <v>0</v>
      </c>
      <c r="AR40" s="18">
        <f t="shared" si="40"/>
        <v>0</v>
      </c>
      <c r="AS40" s="18">
        <f t="shared" si="41"/>
        <v>0</v>
      </c>
      <c r="AT40" s="18">
        <f t="shared" si="42"/>
        <v>0</v>
      </c>
      <c r="AU40" s="18">
        <f>INDEX(游戏节奏!$V$4:$V$13,挂机派遣!B40)</f>
        <v>7</v>
      </c>
      <c r="AV40" s="18">
        <f>INDEX(游戏节奏!$V$4:$V$13,挂机派遣!B40)</f>
        <v>7</v>
      </c>
      <c r="AW40" s="18">
        <f>INDEX(游戏节奏!$W$4:$W$13,挂机派遣!B40)</f>
        <v>8</v>
      </c>
      <c r="AX40" s="14">
        <v>7</v>
      </c>
      <c r="AY40" s="14"/>
      <c r="AZ40" s="14"/>
      <c r="BC40" s="18" t="s">
        <v>772</v>
      </c>
      <c r="BD40" s="18" t="str">
        <f t="shared" si="43"/>
        <v>480/h</v>
      </c>
      <c r="BE40" s="18" t="s">
        <v>773</v>
      </c>
      <c r="BF40" s="18" t="str">
        <f t="shared" si="44"/>
        <v>420/h</v>
      </c>
      <c r="BG40" s="18" t="s">
        <v>774</v>
      </c>
      <c r="BH40" s="18" t="str">
        <f t="shared" si="45"/>
        <v>420/h</v>
      </c>
      <c r="BJ40" t="str">
        <f t="shared" si="46"/>
        <v>初级黄</v>
      </c>
      <c r="BK40" t="str">
        <f t="shared" si="47"/>
        <v>1.5/h</v>
      </c>
      <c r="BL40" t="str">
        <f t="shared" si="48"/>
        <v/>
      </c>
      <c r="BM40" t="str">
        <f t="shared" si="49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668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50"/>
        <v>73.220000000000027</v>
      </c>
      <c r="U41" s="18">
        <f t="shared" si="51"/>
        <v>0</v>
      </c>
      <c r="V41" s="18">
        <f t="shared" si="52"/>
        <v>0</v>
      </c>
      <c r="W41" s="18">
        <f t="shared" si="53"/>
        <v>0</v>
      </c>
      <c r="X41" s="18">
        <f t="shared" si="54"/>
        <v>0</v>
      </c>
      <c r="Y41" s="18">
        <f t="shared" si="55"/>
        <v>0</v>
      </c>
      <c r="Z41" s="18">
        <f t="shared" si="56"/>
        <v>0</v>
      </c>
      <c r="AA41" s="18">
        <f t="shared" si="57"/>
        <v>0</v>
      </c>
      <c r="AB41" s="18">
        <f t="shared" si="58"/>
        <v>21600</v>
      </c>
      <c r="AD41" s="31">
        <f t="shared" si="59"/>
        <v>1</v>
      </c>
      <c r="AE41" s="31">
        <f t="shared" si="60"/>
        <v>0.1</v>
      </c>
      <c r="AF41" s="31">
        <f t="shared" si="61"/>
        <v>0</v>
      </c>
      <c r="AG41" s="31">
        <f t="shared" si="62"/>
        <v>0</v>
      </c>
      <c r="AH41" s="31">
        <f t="shared" ref="AH41:AH48" si="64">J41*G$2</f>
        <v>0</v>
      </c>
      <c r="AI41" s="18">
        <f t="shared" ref="AI41:AI47" si="65">J41*G$2</f>
        <v>0</v>
      </c>
      <c r="AJ41" s="18">
        <f t="shared" si="63"/>
        <v>0</v>
      </c>
      <c r="AK41" s="18">
        <v>0</v>
      </c>
      <c r="AL41" s="18">
        <f t="shared" si="34"/>
        <v>0</v>
      </c>
      <c r="AM41" s="18">
        <f t="shared" si="35"/>
        <v>0</v>
      </c>
      <c r="AN41" s="18">
        <f t="shared" si="36"/>
        <v>0</v>
      </c>
      <c r="AO41" s="18">
        <f t="shared" si="37"/>
        <v>0</v>
      </c>
      <c r="AP41" s="18">
        <f t="shared" si="38"/>
        <v>0</v>
      </c>
      <c r="AQ41" s="18">
        <f t="shared" si="39"/>
        <v>0</v>
      </c>
      <c r="AR41" s="18">
        <f t="shared" si="40"/>
        <v>0</v>
      </c>
      <c r="AS41" s="18">
        <f t="shared" si="41"/>
        <v>0</v>
      </c>
      <c r="AT41" s="18">
        <f t="shared" si="42"/>
        <v>0</v>
      </c>
      <c r="AU41" s="18">
        <f>INDEX(游戏节奏!$V$4:$V$13,挂机派遣!B41)</f>
        <v>9</v>
      </c>
      <c r="AV41" s="18">
        <f>INDEX(游戏节奏!$V$4:$V$13,挂机派遣!B41)</f>
        <v>9</v>
      </c>
      <c r="AW41" s="18">
        <f>INDEX(游戏节奏!$W$4:$W$13,挂机派遣!B41)</f>
        <v>9</v>
      </c>
      <c r="AX41" s="14">
        <v>1</v>
      </c>
      <c r="AY41" s="14">
        <v>2</v>
      </c>
      <c r="AZ41" s="14"/>
      <c r="BC41" s="18" t="s">
        <v>772</v>
      </c>
      <c r="BD41" s="18" t="str">
        <f t="shared" si="43"/>
        <v>540/h</v>
      </c>
      <c r="BE41" s="18" t="s">
        <v>773</v>
      </c>
      <c r="BF41" s="18" t="str">
        <f t="shared" si="44"/>
        <v>540/h</v>
      </c>
      <c r="BG41" s="18" t="s">
        <v>774</v>
      </c>
      <c r="BH41" s="18" t="str">
        <f t="shared" si="45"/>
        <v>540/h</v>
      </c>
      <c r="BJ41" t="str">
        <f t="shared" si="46"/>
        <v>绿色基础材料</v>
      </c>
      <c r="BK41" t="str">
        <f t="shared" si="47"/>
        <v>10/h</v>
      </c>
      <c r="BL41" t="str">
        <f t="shared" si="48"/>
        <v>蓝色基础材料</v>
      </c>
      <c r="BM41" t="str">
        <f t="shared" si="49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669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50"/>
        <v>78.984000000000037</v>
      </c>
      <c r="U42" s="18">
        <f t="shared" si="51"/>
        <v>0</v>
      </c>
      <c r="V42" s="18">
        <f t="shared" si="52"/>
        <v>0</v>
      </c>
      <c r="W42" s="18">
        <f t="shared" si="53"/>
        <v>0</v>
      </c>
      <c r="X42" s="18">
        <f t="shared" si="54"/>
        <v>0</v>
      </c>
      <c r="Y42" s="18">
        <f t="shared" si="55"/>
        <v>0</v>
      </c>
      <c r="Z42" s="18">
        <f t="shared" si="56"/>
        <v>0</v>
      </c>
      <c r="AA42" s="18">
        <f t="shared" si="57"/>
        <v>0</v>
      </c>
      <c r="AB42" s="18">
        <f t="shared" si="58"/>
        <v>21600</v>
      </c>
      <c r="AD42" s="31">
        <f t="shared" si="59"/>
        <v>1</v>
      </c>
      <c r="AE42" s="31">
        <f t="shared" si="60"/>
        <v>0.125</v>
      </c>
      <c r="AF42" s="31">
        <f t="shared" si="61"/>
        <v>0</v>
      </c>
      <c r="AG42" s="31">
        <f t="shared" si="62"/>
        <v>0</v>
      </c>
      <c r="AH42" s="31">
        <f t="shared" si="64"/>
        <v>0</v>
      </c>
      <c r="AI42" s="18">
        <f t="shared" si="65"/>
        <v>0</v>
      </c>
      <c r="AJ42" s="18">
        <f t="shared" si="63"/>
        <v>0</v>
      </c>
      <c r="AK42" s="18">
        <v>0</v>
      </c>
      <c r="AL42" s="18">
        <f t="shared" si="34"/>
        <v>0</v>
      </c>
      <c r="AM42" s="18">
        <f t="shared" si="35"/>
        <v>0</v>
      </c>
      <c r="AN42" s="18">
        <f t="shared" si="36"/>
        <v>0</v>
      </c>
      <c r="AO42" s="18">
        <f t="shared" si="37"/>
        <v>0</v>
      </c>
      <c r="AP42" s="18">
        <f t="shared" si="38"/>
        <v>0</v>
      </c>
      <c r="AQ42" s="18">
        <f t="shared" si="39"/>
        <v>0</v>
      </c>
      <c r="AR42" s="18">
        <f t="shared" si="40"/>
        <v>0</v>
      </c>
      <c r="AS42" s="18">
        <f t="shared" si="41"/>
        <v>0</v>
      </c>
      <c r="AT42" s="18">
        <f t="shared" si="42"/>
        <v>0</v>
      </c>
      <c r="AU42" s="18">
        <f>INDEX(游戏节奏!$V$4:$V$13,挂机派遣!B42)</f>
        <v>9</v>
      </c>
      <c r="AV42" s="18">
        <f>INDEX(游戏节奏!$V$4:$V$13,挂机派遣!B42)</f>
        <v>9</v>
      </c>
      <c r="AW42" s="18">
        <f>INDEX(游戏节奏!$W$4:$W$13,挂机派遣!B42)</f>
        <v>9</v>
      </c>
      <c r="AX42" s="14">
        <v>1</v>
      </c>
      <c r="AY42" s="14">
        <v>2</v>
      </c>
      <c r="AZ42" s="14"/>
      <c r="BC42" s="18" t="s">
        <v>772</v>
      </c>
      <c r="BD42" s="18" t="str">
        <f t="shared" si="43"/>
        <v>540/h</v>
      </c>
      <c r="BE42" s="18" t="s">
        <v>773</v>
      </c>
      <c r="BF42" s="18" t="str">
        <f t="shared" si="44"/>
        <v>540/h</v>
      </c>
      <c r="BG42" s="18" t="s">
        <v>774</v>
      </c>
      <c r="BH42" s="18" t="str">
        <f t="shared" si="45"/>
        <v>540/h</v>
      </c>
      <c r="BJ42" t="str">
        <f t="shared" si="46"/>
        <v>绿色基础材料</v>
      </c>
      <c r="BK42" t="str">
        <f t="shared" si="47"/>
        <v>10/h</v>
      </c>
      <c r="BL42" t="str">
        <f t="shared" si="48"/>
        <v>蓝色基础材料</v>
      </c>
      <c r="BM42" t="str">
        <f t="shared" si="49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665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50"/>
        <v>84.748000000000033</v>
      </c>
      <c r="U43" s="18">
        <f t="shared" si="51"/>
        <v>0</v>
      </c>
      <c r="V43" s="18">
        <f t="shared" si="52"/>
        <v>0</v>
      </c>
      <c r="W43" s="18">
        <f t="shared" si="53"/>
        <v>0</v>
      </c>
      <c r="X43" s="18">
        <f t="shared" si="54"/>
        <v>0</v>
      </c>
      <c r="Y43" s="18">
        <f t="shared" si="55"/>
        <v>0</v>
      </c>
      <c r="Z43" s="18">
        <f t="shared" si="56"/>
        <v>0</v>
      </c>
      <c r="AA43" s="18">
        <f t="shared" si="57"/>
        <v>0</v>
      </c>
      <c r="AB43" s="18">
        <f t="shared" si="58"/>
        <v>21600</v>
      </c>
      <c r="AD43" s="31">
        <f t="shared" si="59"/>
        <v>1</v>
      </c>
      <c r="AE43" s="31">
        <f t="shared" si="60"/>
        <v>0.15</v>
      </c>
      <c r="AF43" s="31">
        <f t="shared" si="61"/>
        <v>0</v>
      </c>
      <c r="AG43" s="31">
        <f t="shared" si="62"/>
        <v>0</v>
      </c>
      <c r="AH43" s="31">
        <f t="shared" si="64"/>
        <v>0</v>
      </c>
      <c r="AI43" s="18">
        <f t="shared" si="65"/>
        <v>0</v>
      </c>
      <c r="AJ43" s="18">
        <f t="shared" si="63"/>
        <v>0</v>
      </c>
      <c r="AK43" s="18">
        <v>0</v>
      </c>
      <c r="AL43" s="18">
        <f t="shared" si="34"/>
        <v>0</v>
      </c>
      <c r="AM43" s="18">
        <f t="shared" si="35"/>
        <v>0</v>
      </c>
      <c r="AN43" s="18">
        <f t="shared" si="36"/>
        <v>0</v>
      </c>
      <c r="AO43" s="18">
        <f t="shared" si="37"/>
        <v>0</v>
      </c>
      <c r="AP43" s="18">
        <f t="shared" si="38"/>
        <v>0</v>
      </c>
      <c r="AQ43" s="18">
        <f t="shared" si="39"/>
        <v>0</v>
      </c>
      <c r="AR43" s="18">
        <f t="shared" si="40"/>
        <v>0</v>
      </c>
      <c r="AS43" s="18">
        <f t="shared" si="41"/>
        <v>0</v>
      </c>
      <c r="AT43" s="18">
        <f t="shared" si="42"/>
        <v>0</v>
      </c>
      <c r="AU43" s="18">
        <f>INDEX(游戏节奏!$V$4:$V$13,挂机派遣!B43)</f>
        <v>9</v>
      </c>
      <c r="AV43" s="18">
        <f>INDEX(游戏节奏!$V$4:$V$13,挂机派遣!B43)</f>
        <v>9</v>
      </c>
      <c r="AW43" s="18">
        <f>INDEX(游戏节奏!$W$4:$W$13,挂机派遣!B43)</f>
        <v>9</v>
      </c>
      <c r="AX43" s="14">
        <v>1</v>
      </c>
      <c r="AY43" s="14">
        <v>2</v>
      </c>
      <c r="AZ43" s="14"/>
      <c r="BC43" s="18" t="s">
        <v>772</v>
      </c>
      <c r="BD43" s="18" t="str">
        <f t="shared" si="43"/>
        <v>540/h</v>
      </c>
      <c r="BE43" s="18" t="s">
        <v>773</v>
      </c>
      <c r="BF43" s="18" t="str">
        <f t="shared" si="44"/>
        <v>540/h</v>
      </c>
      <c r="BG43" s="18" t="s">
        <v>774</v>
      </c>
      <c r="BH43" s="18" t="str">
        <f t="shared" si="45"/>
        <v>540/h</v>
      </c>
      <c r="BJ43" t="str">
        <f t="shared" si="46"/>
        <v>绿色基础材料</v>
      </c>
      <c r="BK43" t="str">
        <f t="shared" si="47"/>
        <v>10/h</v>
      </c>
      <c r="BL43" t="str">
        <f t="shared" si="48"/>
        <v>蓝色基础材料</v>
      </c>
      <c r="BM43" t="str">
        <f t="shared" si="49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671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50"/>
        <v>90.512000000000043</v>
      </c>
      <c r="U44" s="18">
        <f t="shared" si="51"/>
        <v>0</v>
      </c>
      <c r="V44" s="18">
        <f t="shared" si="52"/>
        <v>0</v>
      </c>
      <c r="W44" s="18">
        <f t="shared" si="53"/>
        <v>0</v>
      </c>
      <c r="X44" s="18">
        <f t="shared" si="54"/>
        <v>0</v>
      </c>
      <c r="Y44" s="18">
        <f t="shared" si="55"/>
        <v>0</v>
      </c>
      <c r="Z44" s="18">
        <f t="shared" si="56"/>
        <v>0</v>
      </c>
      <c r="AA44" s="18">
        <f t="shared" si="57"/>
        <v>0</v>
      </c>
      <c r="AB44" s="18">
        <f t="shared" si="58"/>
        <v>21600</v>
      </c>
      <c r="AD44" s="31">
        <f t="shared" si="59"/>
        <v>1</v>
      </c>
      <c r="AE44" s="31">
        <f t="shared" si="60"/>
        <v>0.17499999999999999</v>
      </c>
      <c r="AF44" s="31">
        <f t="shared" si="61"/>
        <v>0</v>
      </c>
      <c r="AG44" s="31">
        <f t="shared" si="62"/>
        <v>0</v>
      </c>
      <c r="AH44" s="31">
        <f t="shared" si="64"/>
        <v>0</v>
      </c>
      <c r="AI44" s="18">
        <f t="shared" si="65"/>
        <v>0</v>
      </c>
      <c r="AJ44" s="18">
        <f t="shared" si="63"/>
        <v>0</v>
      </c>
      <c r="AK44" s="18">
        <v>0</v>
      </c>
      <c r="AL44" s="18">
        <f t="shared" si="34"/>
        <v>0</v>
      </c>
      <c r="AM44" s="18">
        <f t="shared" si="35"/>
        <v>0</v>
      </c>
      <c r="AN44" s="18">
        <f t="shared" si="36"/>
        <v>0</v>
      </c>
      <c r="AO44" s="18">
        <f t="shared" si="37"/>
        <v>0</v>
      </c>
      <c r="AP44" s="18">
        <f t="shared" si="38"/>
        <v>0</v>
      </c>
      <c r="AQ44" s="18">
        <f t="shared" si="39"/>
        <v>0</v>
      </c>
      <c r="AR44" s="18">
        <f t="shared" si="40"/>
        <v>0</v>
      </c>
      <c r="AS44" s="18">
        <f t="shared" si="41"/>
        <v>0</v>
      </c>
      <c r="AT44" s="18">
        <f t="shared" si="42"/>
        <v>0</v>
      </c>
      <c r="AU44" s="18">
        <f>INDEX(游戏节奏!$V$4:$V$13,挂机派遣!B44)</f>
        <v>9</v>
      </c>
      <c r="AV44" s="18">
        <f>INDEX(游戏节奏!$V$4:$V$13,挂机派遣!B44)</f>
        <v>9</v>
      </c>
      <c r="AW44" s="18">
        <f>INDEX(游戏节奏!$W$4:$W$13,挂机派遣!B44)</f>
        <v>9</v>
      </c>
      <c r="AX44" s="14">
        <v>1</v>
      </c>
      <c r="AY44" s="14">
        <v>2</v>
      </c>
      <c r="AZ44" s="14"/>
      <c r="BC44" s="18" t="s">
        <v>772</v>
      </c>
      <c r="BD44" s="18" t="str">
        <f t="shared" si="43"/>
        <v>540/h</v>
      </c>
      <c r="BE44" s="18" t="s">
        <v>773</v>
      </c>
      <c r="BF44" s="18" t="str">
        <f t="shared" si="44"/>
        <v>540/h</v>
      </c>
      <c r="BG44" s="18" t="s">
        <v>774</v>
      </c>
      <c r="BH44" s="18" t="str">
        <f t="shared" si="45"/>
        <v>540/h</v>
      </c>
      <c r="BJ44" t="str">
        <f t="shared" si="46"/>
        <v>绿色基础材料</v>
      </c>
      <c r="BK44" t="str">
        <f t="shared" si="47"/>
        <v>10/h</v>
      </c>
      <c r="BL44" t="str">
        <f t="shared" si="48"/>
        <v>蓝色基础材料</v>
      </c>
      <c r="BM44" t="str">
        <f t="shared" si="49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674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50"/>
        <v>96.276000000000039</v>
      </c>
      <c r="U45" s="18">
        <f t="shared" si="51"/>
        <v>0</v>
      </c>
      <c r="V45" s="18">
        <f t="shared" si="52"/>
        <v>0</v>
      </c>
      <c r="W45" s="18">
        <f t="shared" si="53"/>
        <v>0</v>
      </c>
      <c r="X45" s="18">
        <f t="shared" si="54"/>
        <v>0</v>
      </c>
      <c r="Y45" s="18">
        <f t="shared" si="55"/>
        <v>0</v>
      </c>
      <c r="Z45" s="18">
        <f t="shared" si="56"/>
        <v>0</v>
      </c>
      <c r="AA45" s="18">
        <f t="shared" si="57"/>
        <v>0</v>
      </c>
      <c r="AB45" s="18">
        <f t="shared" si="58"/>
        <v>21600</v>
      </c>
      <c r="AD45" s="31">
        <f t="shared" si="59"/>
        <v>1</v>
      </c>
      <c r="AE45" s="31">
        <f t="shared" si="60"/>
        <v>0.2</v>
      </c>
      <c r="AF45" s="31">
        <f t="shared" si="61"/>
        <v>0</v>
      </c>
      <c r="AG45" s="31">
        <f t="shared" si="62"/>
        <v>0</v>
      </c>
      <c r="AH45" s="31">
        <f t="shared" si="64"/>
        <v>0</v>
      </c>
      <c r="AI45" s="18">
        <f t="shared" si="65"/>
        <v>0</v>
      </c>
      <c r="AJ45" s="18">
        <f t="shared" si="63"/>
        <v>0</v>
      </c>
      <c r="AK45" s="18">
        <v>0</v>
      </c>
      <c r="AL45" s="18">
        <f t="shared" si="34"/>
        <v>0</v>
      </c>
      <c r="AM45" s="18">
        <f t="shared" si="35"/>
        <v>0</v>
      </c>
      <c r="AN45" s="18">
        <f t="shared" si="36"/>
        <v>0</v>
      </c>
      <c r="AO45" s="18">
        <f t="shared" si="37"/>
        <v>0</v>
      </c>
      <c r="AP45" s="18">
        <f t="shared" si="38"/>
        <v>0</v>
      </c>
      <c r="AQ45" s="18">
        <f t="shared" si="39"/>
        <v>0</v>
      </c>
      <c r="AR45" s="18">
        <f t="shared" si="40"/>
        <v>0</v>
      </c>
      <c r="AS45" s="18">
        <f t="shared" si="41"/>
        <v>0</v>
      </c>
      <c r="AT45" s="18">
        <f t="shared" si="42"/>
        <v>0</v>
      </c>
      <c r="AU45" s="18">
        <f>INDEX(游戏节奏!$V$4:$V$13,挂机派遣!B45)</f>
        <v>9</v>
      </c>
      <c r="AV45" s="18">
        <f>INDEX(游戏节奏!$V$4:$V$13,挂机派遣!B45)</f>
        <v>9</v>
      </c>
      <c r="AW45" s="18">
        <f>INDEX(游戏节奏!$W$4:$W$13,挂机派遣!B45)</f>
        <v>9</v>
      </c>
      <c r="AX45" s="14">
        <v>1</v>
      </c>
      <c r="AY45" s="14">
        <v>2</v>
      </c>
      <c r="AZ45" s="14"/>
      <c r="BC45" s="18" t="s">
        <v>772</v>
      </c>
      <c r="BD45" s="18" t="str">
        <f t="shared" si="43"/>
        <v>540/h</v>
      </c>
      <c r="BE45" s="18" t="s">
        <v>773</v>
      </c>
      <c r="BF45" s="18" t="str">
        <f t="shared" si="44"/>
        <v>540/h</v>
      </c>
      <c r="BG45" s="18" t="s">
        <v>774</v>
      </c>
      <c r="BH45" s="18" t="str">
        <f t="shared" si="45"/>
        <v>540/h</v>
      </c>
      <c r="BJ45" t="str">
        <f t="shared" si="46"/>
        <v>绿色基础材料</v>
      </c>
      <c r="BK45" t="str">
        <f t="shared" si="47"/>
        <v>10/h</v>
      </c>
      <c r="BL45" t="str">
        <f t="shared" si="48"/>
        <v>蓝色基础材料</v>
      </c>
      <c r="BM45" t="str">
        <f t="shared" si="49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675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50"/>
        <v>102.04000000000005</v>
      </c>
      <c r="U46" s="18">
        <f t="shared" si="51"/>
        <v>25.510000000000012</v>
      </c>
      <c r="V46" s="18">
        <f t="shared" si="52"/>
        <v>0</v>
      </c>
      <c r="W46" s="18">
        <f t="shared" si="53"/>
        <v>0</v>
      </c>
      <c r="X46" s="18">
        <f t="shared" si="54"/>
        <v>30.612000000000013</v>
      </c>
      <c r="Y46" s="18">
        <f t="shared" si="55"/>
        <v>0</v>
      </c>
      <c r="Z46" s="18">
        <f t="shared" si="56"/>
        <v>0</v>
      </c>
      <c r="AA46" s="18">
        <f t="shared" si="57"/>
        <v>0</v>
      </c>
      <c r="AB46" s="18">
        <f t="shared" si="58"/>
        <v>43200</v>
      </c>
      <c r="AD46" s="31">
        <f t="shared" si="59"/>
        <v>1</v>
      </c>
      <c r="AE46" s="31">
        <f t="shared" si="60"/>
        <v>0.22500000000000001</v>
      </c>
      <c r="AF46" s="31">
        <f t="shared" si="61"/>
        <v>0</v>
      </c>
      <c r="AG46" s="31">
        <f t="shared" si="62"/>
        <v>0</v>
      </c>
      <c r="AH46" s="31">
        <f t="shared" si="64"/>
        <v>0</v>
      </c>
      <c r="AI46" s="18">
        <f t="shared" si="65"/>
        <v>0</v>
      </c>
      <c r="AJ46" s="18">
        <f t="shared" si="63"/>
        <v>0</v>
      </c>
      <c r="AK46" s="18">
        <v>0</v>
      </c>
      <c r="AL46" s="18">
        <f t="shared" si="34"/>
        <v>0</v>
      </c>
      <c r="AM46" s="18">
        <f t="shared" si="35"/>
        <v>0</v>
      </c>
      <c r="AN46" s="18">
        <f t="shared" si="36"/>
        <v>0</v>
      </c>
      <c r="AO46" s="18">
        <f t="shared" si="37"/>
        <v>0</v>
      </c>
      <c r="AP46" s="18">
        <f t="shared" si="38"/>
        <v>0</v>
      </c>
      <c r="AQ46" s="18">
        <f t="shared" si="39"/>
        <v>0</v>
      </c>
      <c r="AR46" s="18">
        <f t="shared" si="40"/>
        <v>0</v>
      </c>
      <c r="AS46" s="18">
        <f t="shared" si="41"/>
        <v>0</v>
      </c>
      <c r="AT46" s="18">
        <f t="shared" si="42"/>
        <v>0</v>
      </c>
      <c r="AU46" s="18">
        <f>INDEX(游戏节奏!$V$4:$V$13,挂机派遣!B46)</f>
        <v>9</v>
      </c>
      <c r="AV46" s="18">
        <f>INDEX(游戏节奏!$V$4:$V$13,挂机派遣!B46)</f>
        <v>9</v>
      </c>
      <c r="AW46" s="18">
        <f>INDEX(游戏节奏!$W$4:$W$13,挂机派遣!B46)</f>
        <v>9</v>
      </c>
      <c r="AX46" s="14">
        <v>1</v>
      </c>
      <c r="AY46" s="14">
        <v>2</v>
      </c>
      <c r="AZ46" s="14"/>
      <c r="BC46" s="18" t="s">
        <v>772</v>
      </c>
      <c r="BD46" s="18" t="str">
        <f t="shared" si="43"/>
        <v>540/h</v>
      </c>
      <c r="BE46" s="18" t="s">
        <v>773</v>
      </c>
      <c r="BF46" s="18" t="str">
        <f t="shared" si="44"/>
        <v>540/h</v>
      </c>
      <c r="BG46" s="18" t="s">
        <v>774</v>
      </c>
      <c r="BH46" s="18" t="str">
        <f t="shared" si="45"/>
        <v>540/h</v>
      </c>
      <c r="BJ46" t="str">
        <f t="shared" si="46"/>
        <v>绿色基础材料</v>
      </c>
      <c r="BK46" t="str">
        <f t="shared" si="47"/>
        <v>10/h</v>
      </c>
      <c r="BL46" t="str">
        <f t="shared" si="48"/>
        <v>蓝色基础材料</v>
      </c>
      <c r="BM46" t="str">
        <f t="shared" si="49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676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50"/>
        <v>105.32000000000004</v>
      </c>
      <c r="U47" s="18">
        <f t="shared" si="51"/>
        <v>26.330000000000009</v>
      </c>
      <c r="V47" s="18">
        <f t="shared" si="52"/>
        <v>0</v>
      </c>
      <c r="W47" s="18">
        <f t="shared" si="53"/>
        <v>0</v>
      </c>
      <c r="X47" s="18">
        <f t="shared" si="54"/>
        <v>31.596000000000011</v>
      </c>
      <c r="Y47" s="18">
        <f t="shared" si="55"/>
        <v>0</v>
      </c>
      <c r="Z47" s="18">
        <f t="shared" si="56"/>
        <v>0</v>
      </c>
      <c r="AA47" s="18">
        <f t="shared" si="57"/>
        <v>0</v>
      </c>
      <c r="AB47" s="18">
        <f t="shared" si="58"/>
        <v>43200</v>
      </c>
      <c r="AD47" s="31">
        <f t="shared" si="59"/>
        <v>1</v>
      </c>
      <c r="AE47" s="31">
        <f t="shared" si="60"/>
        <v>0.25</v>
      </c>
      <c r="AF47" s="31">
        <f t="shared" si="61"/>
        <v>0</v>
      </c>
      <c r="AG47" s="31">
        <f t="shared" si="62"/>
        <v>0</v>
      </c>
      <c r="AH47" s="31">
        <f t="shared" si="64"/>
        <v>0</v>
      </c>
      <c r="AI47" s="18">
        <f t="shared" si="65"/>
        <v>0</v>
      </c>
      <c r="AJ47" s="18">
        <f t="shared" si="63"/>
        <v>0</v>
      </c>
      <c r="AK47" s="18">
        <v>0</v>
      </c>
      <c r="AL47" s="18">
        <f t="shared" si="34"/>
        <v>0</v>
      </c>
      <c r="AM47" s="18">
        <f t="shared" si="35"/>
        <v>0</v>
      </c>
      <c r="AN47" s="18">
        <f t="shared" si="36"/>
        <v>0</v>
      </c>
      <c r="AO47" s="18">
        <f t="shared" si="37"/>
        <v>0</v>
      </c>
      <c r="AP47" s="18">
        <f t="shared" si="38"/>
        <v>0</v>
      </c>
      <c r="AQ47" s="18">
        <f t="shared" si="39"/>
        <v>0</v>
      </c>
      <c r="AR47" s="18">
        <f t="shared" si="40"/>
        <v>0</v>
      </c>
      <c r="AS47" s="18">
        <f t="shared" si="41"/>
        <v>0</v>
      </c>
      <c r="AT47" s="18">
        <f t="shared" si="42"/>
        <v>0</v>
      </c>
      <c r="AU47" s="18">
        <f>INDEX(游戏节奏!$V$4:$V$13,挂机派遣!B47)</f>
        <v>9</v>
      </c>
      <c r="AV47" s="18">
        <f>INDEX(游戏节奏!$V$4:$V$13,挂机派遣!B47)</f>
        <v>9</v>
      </c>
      <c r="AW47" s="18">
        <f>INDEX(游戏节奏!$W$4:$W$13,挂机派遣!B47)</f>
        <v>9</v>
      </c>
      <c r="AX47" s="14">
        <v>1</v>
      </c>
      <c r="AY47" s="14">
        <v>2</v>
      </c>
      <c r="AZ47" s="14"/>
      <c r="BC47" s="18" t="s">
        <v>772</v>
      </c>
      <c r="BD47" s="18" t="str">
        <f t="shared" si="43"/>
        <v>540/h</v>
      </c>
      <c r="BE47" s="18" t="s">
        <v>773</v>
      </c>
      <c r="BF47" s="18" t="str">
        <f t="shared" si="44"/>
        <v>540/h</v>
      </c>
      <c r="BG47" s="18" t="s">
        <v>774</v>
      </c>
      <c r="BH47" s="18" t="str">
        <f t="shared" si="45"/>
        <v>540/h</v>
      </c>
      <c r="BJ47" t="str">
        <f t="shared" si="46"/>
        <v>绿色基础材料</v>
      </c>
      <c r="BK47" t="str">
        <f t="shared" si="47"/>
        <v>10/h</v>
      </c>
      <c r="BL47" t="str">
        <f t="shared" si="48"/>
        <v>蓝色基础材料</v>
      </c>
      <c r="BM47" t="str">
        <f t="shared" si="49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691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50"/>
        <v>108.60000000000002</v>
      </c>
      <c r="U48" s="18">
        <f t="shared" si="51"/>
        <v>27.150000000000006</v>
      </c>
      <c r="V48" s="18">
        <f t="shared" si="52"/>
        <v>0</v>
      </c>
      <c r="W48" s="18">
        <f t="shared" si="53"/>
        <v>0</v>
      </c>
      <c r="X48" s="18">
        <f t="shared" si="54"/>
        <v>32.580000000000013</v>
      </c>
      <c r="Y48" s="18">
        <f t="shared" si="55"/>
        <v>0</v>
      </c>
      <c r="Z48" s="18">
        <f t="shared" si="56"/>
        <v>0</v>
      </c>
      <c r="AA48" s="18">
        <f t="shared" si="57"/>
        <v>0</v>
      </c>
      <c r="AB48" s="18">
        <f t="shared" si="58"/>
        <v>43200</v>
      </c>
      <c r="AD48" s="31">
        <f t="shared" si="59"/>
        <v>0</v>
      </c>
      <c r="AE48" s="31">
        <f t="shared" si="60"/>
        <v>0</v>
      </c>
      <c r="AF48" s="31">
        <f t="shared" si="61"/>
        <v>0</v>
      </c>
      <c r="AG48" s="31">
        <f t="shared" si="62"/>
        <v>0</v>
      </c>
      <c r="AH48" s="31">
        <f t="shared" si="64"/>
        <v>0.7</v>
      </c>
      <c r="AI48" s="18">
        <v>0</v>
      </c>
      <c r="AJ48" s="18">
        <v>0</v>
      </c>
      <c r="AK48" s="18">
        <v>0</v>
      </c>
      <c r="AL48" s="18">
        <f t="shared" si="34"/>
        <v>0</v>
      </c>
      <c r="AM48" s="18">
        <f t="shared" si="35"/>
        <v>0</v>
      </c>
      <c r="AN48" s="18">
        <f t="shared" si="36"/>
        <v>0</v>
      </c>
      <c r="AO48" s="18">
        <f t="shared" si="37"/>
        <v>0</v>
      </c>
      <c r="AP48" s="18">
        <f t="shared" si="38"/>
        <v>0</v>
      </c>
      <c r="AQ48" s="18">
        <f t="shared" si="39"/>
        <v>0</v>
      </c>
      <c r="AR48" s="18">
        <f t="shared" si="40"/>
        <v>0</v>
      </c>
      <c r="AS48" s="18">
        <f t="shared" si="41"/>
        <v>0</v>
      </c>
      <c r="AT48" s="18">
        <f t="shared" si="42"/>
        <v>0</v>
      </c>
      <c r="AU48" s="18">
        <f>INDEX(游戏节奏!$V$4:$V$13,挂机派遣!B48)</f>
        <v>9</v>
      </c>
      <c r="AV48" s="18">
        <f>INDEX(游戏节奏!$V$4:$V$13,挂机派遣!B48)</f>
        <v>9</v>
      </c>
      <c r="AW48" s="18">
        <f>INDEX(游戏节奏!$W$4:$W$13,挂机派遣!B48)</f>
        <v>9</v>
      </c>
      <c r="AX48" s="14">
        <v>5</v>
      </c>
      <c r="AY48" s="14"/>
      <c r="AZ48" s="14"/>
      <c r="BC48" s="18" t="s">
        <v>772</v>
      </c>
      <c r="BD48" s="18" t="str">
        <f t="shared" si="43"/>
        <v>540/h</v>
      </c>
      <c r="BE48" s="18" t="s">
        <v>773</v>
      </c>
      <c r="BF48" s="18" t="str">
        <f t="shared" si="44"/>
        <v>540/h</v>
      </c>
      <c r="BG48" s="18" t="s">
        <v>774</v>
      </c>
      <c r="BH48" s="18" t="str">
        <f t="shared" si="45"/>
        <v>540/h</v>
      </c>
      <c r="BJ48" t="str">
        <f t="shared" si="46"/>
        <v>初级蓝</v>
      </c>
      <c r="BK48" t="str">
        <f t="shared" si="47"/>
        <v>2.1/h</v>
      </c>
      <c r="BL48" t="str">
        <f t="shared" si="48"/>
        <v/>
      </c>
      <c r="BM48" t="str">
        <f t="shared" si="49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688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50"/>
        <v>111.88000000000002</v>
      </c>
      <c r="U49" s="18">
        <f t="shared" si="51"/>
        <v>27.970000000000006</v>
      </c>
      <c r="V49" s="18">
        <f t="shared" si="52"/>
        <v>0</v>
      </c>
      <c r="W49" s="18">
        <f t="shared" si="53"/>
        <v>0</v>
      </c>
      <c r="X49" s="18">
        <f t="shared" si="54"/>
        <v>33.564000000000007</v>
      </c>
      <c r="Y49" s="18">
        <f t="shared" si="55"/>
        <v>0</v>
      </c>
      <c r="Z49" s="18">
        <f t="shared" si="56"/>
        <v>0</v>
      </c>
      <c r="AA49" s="18">
        <f t="shared" si="57"/>
        <v>0</v>
      </c>
      <c r="AB49" s="18">
        <f t="shared" si="58"/>
        <v>43200</v>
      </c>
      <c r="AD49" s="31">
        <f t="shared" si="59"/>
        <v>0</v>
      </c>
      <c r="AE49" s="31">
        <f t="shared" si="60"/>
        <v>0</v>
      </c>
      <c r="AF49" s="31">
        <f t="shared" si="61"/>
        <v>0</v>
      </c>
      <c r="AG49" s="31">
        <f t="shared" si="62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34"/>
        <v>0</v>
      </c>
      <c r="AM49" s="18">
        <f t="shared" si="35"/>
        <v>0</v>
      </c>
      <c r="AN49" s="18">
        <f t="shared" si="36"/>
        <v>0</v>
      </c>
      <c r="AO49" s="18">
        <f t="shared" si="37"/>
        <v>0</v>
      </c>
      <c r="AP49" s="18">
        <f t="shared" si="38"/>
        <v>0</v>
      </c>
      <c r="AQ49" s="18">
        <f t="shared" ref="AQ49:AQ80" si="66">L49*I$2</f>
        <v>0</v>
      </c>
      <c r="AR49" s="18">
        <f t="shared" ref="AR49:AR80" si="67">L49*I$2</f>
        <v>0</v>
      </c>
      <c r="AS49" s="18">
        <f t="shared" ref="AS49:AS80" si="68">L49*I$2</f>
        <v>0</v>
      </c>
      <c r="AT49" s="18">
        <f t="shared" ref="AT49:AT80" si="69">M49*J$2</f>
        <v>0</v>
      </c>
      <c r="AU49" s="18">
        <f>INDEX(游戏节奏!$V$4:$V$13,挂机派遣!B49)</f>
        <v>9</v>
      </c>
      <c r="AV49" s="18">
        <f>INDEX(游戏节奏!$V$4:$V$13,挂机派遣!B49)</f>
        <v>9</v>
      </c>
      <c r="AW49" s="18">
        <f>INDEX(游戏节奏!$W$4:$W$13,挂机派遣!B49)</f>
        <v>9</v>
      </c>
      <c r="AX49" s="14">
        <v>6</v>
      </c>
      <c r="AY49" s="14"/>
      <c r="AZ49" s="14"/>
      <c r="BC49" s="18" t="s">
        <v>772</v>
      </c>
      <c r="BD49" s="18" t="str">
        <f t="shared" ref="BD49:BD80" si="70">AW49*60&amp;"/h"</f>
        <v>540/h</v>
      </c>
      <c r="BE49" s="18" t="s">
        <v>773</v>
      </c>
      <c r="BF49" s="18" t="str">
        <f t="shared" ref="BF49:BF80" si="71">AU49*60&amp;"/h"</f>
        <v>540/h</v>
      </c>
      <c r="BG49" s="18" t="s">
        <v>774</v>
      </c>
      <c r="BH49" s="18" t="str">
        <f t="shared" ref="BH49:BH80" si="72">AV49*60&amp;"/h"</f>
        <v>540/h</v>
      </c>
      <c r="BJ49" t="str">
        <f t="shared" ref="BJ49:BJ80" si="73">INDEX($AD$15:$AW$15,$AX49)</f>
        <v>初级红</v>
      </c>
      <c r="BK49" t="str">
        <f t="shared" ref="BK49:BK80" si="74">INDEX($AD49:$AW49,AX49)*60/INDEX(AD$13:AW$13,AX49)&amp;"/h"</f>
        <v>2.1/h</v>
      </c>
      <c r="BL49" t="str">
        <f t="shared" ref="BL49:BL80" si="75">IF(ISBLANK($AY49),"",INDEX($AD$15:$AW$15,$AY49))</f>
        <v/>
      </c>
      <c r="BM49" t="str">
        <f t="shared" ref="BM49:BM80" si="76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677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50"/>
        <v>115.16000000000003</v>
      </c>
      <c r="U50" s="18">
        <f t="shared" si="51"/>
        <v>28.790000000000006</v>
      </c>
      <c r="V50" s="18">
        <f t="shared" si="52"/>
        <v>0</v>
      </c>
      <c r="W50" s="18">
        <f t="shared" si="53"/>
        <v>0</v>
      </c>
      <c r="X50" s="18">
        <f t="shared" si="54"/>
        <v>34.548000000000002</v>
      </c>
      <c r="Y50" s="18">
        <f t="shared" si="55"/>
        <v>0</v>
      </c>
      <c r="Z50" s="18">
        <f t="shared" si="56"/>
        <v>0</v>
      </c>
      <c r="AA50" s="18">
        <f t="shared" si="57"/>
        <v>0</v>
      </c>
      <c r="AB50" s="18">
        <f t="shared" si="58"/>
        <v>43200</v>
      </c>
      <c r="AD50" s="31">
        <f t="shared" si="59"/>
        <v>0</v>
      </c>
      <c r="AE50" s="31">
        <f t="shared" si="60"/>
        <v>0</v>
      </c>
      <c r="AF50" s="31">
        <f t="shared" si="61"/>
        <v>0</v>
      </c>
      <c r="AG50" s="31">
        <f t="shared" si="62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34"/>
        <v>0</v>
      </c>
      <c r="AM50" s="18">
        <f t="shared" si="35"/>
        <v>0</v>
      </c>
      <c r="AN50" s="18">
        <f t="shared" si="36"/>
        <v>0</v>
      </c>
      <c r="AO50" s="18">
        <f t="shared" si="37"/>
        <v>0</v>
      </c>
      <c r="AP50" s="18">
        <f t="shared" si="38"/>
        <v>0</v>
      </c>
      <c r="AQ50" s="18">
        <f t="shared" si="66"/>
        <v>0</v>
      </c>
      <c r="AR50" s="18">
        <f t="shared" si="67"/>
        <v>0</v>
      </c>
      <c r="AS50" s="18">
        <f t="shared" si="68"/>
        <v>0</v>
      </c>
      <c r="AT50" s="18">
        <f t="shared" si="69"/>
        <v>0</v>
      </c>
      <c r="AU50" s="18">
        <f>INDEX(游戏节奏!$V$4:$V$13,挂机派遣!B50)</f>
        <v>9</v>
      </c>
      <c r="AV50" s="18">
        <f>INDEX(游戏节奏!$V$4:$V$13,挂机派遣!B50)</f>
        <v>9</v>
      </c>
      <c r="AW50" s="18">
        <f>INDEX(游戏节奏!$W$4:$W$13,挂机派遣!B50)</f>
        <v>9</v>
      </c>
      <c r="AX50" s="14">
        <v>7</v>
      </c>
      <c r="AY50" s="14"/>
      <c r="AZ50" s="14"/>
      <c r="BC50" s="18" t="s">
        <v>772</v>
      </c>
      <c r="BD50" s="18" t="str">
        <f t="shared" si="70"/>
        <v>540/h</v>
      </c>
      <c r="BE50" s="18" t="s">
        <v>773</v>
      </c>
      <c r="BF50" s="18" t="str">
        <f t="shared" si="71"/>
        <v>540/h</v>
      </c>
      <c r="BG50" s="18" t="s">
        <v>774</v>
      </c>
      <c r="BH50" s="18" t="str">
        <f t="shared" si="72"/>
        <v>540/h</v>
      </c>
      <c r="BJ50" t="str">
        <f t="shared" si="73"/>
        <v>初级黄</v>
      </c>
      <c r="BK50" t="str">
        <f t="shared" si="74"/>
        <v>2.1/h</v>
      </c>
      <c r="BL50" t="str">
        <f t="shared" si="75"/>
        <v/>
      </c>
      <c r="BM50" t="str">
        <f t="shared" si="76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678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50"/>
        <v>118.44000000000001</v>
      </c>
      <c r="U51" s="18">
        <f t="shared" si="51"/>
        <v>29.610000000000003</v>
      </c>
      <c r="V51" s="18">
        <f t="shared" si="52"/>
        <v>0</v>
      </c>
      <c r="W51" s="18">
        <f t="shared" si="53"/>
        <v>0</v>
      </c>
      <c r="X51" s="18">
        <f t="shared" si="54"/>
        <v>35.532000000000004</v>
      </c>
      <c r="Y51" s="18">
        <f t="shared" si="55"/>
        <v>0</v>
      </c>
      <c r="Z51" s="18">
        <f t="shared" si="56"/>
        <v>0</v>
      </c>
      <c r="AA51" s="18">
        <f t="shared" si="57"/>
        <v>0</v>
      </c>
      <c r="AB51" s="18">
        <f t="shared" si="58"/>
        <v>43200</v>
      </c>
      <c r="AD51" s="31">
        <f t="shared" si="59"/>
        <v>0</v>
      </c>
      <c r="AE51" s="31">
        <f t="shared" si="60"/>
        <v>0</v>
      </c>
      <c r="AF51" s="31">
        <f t="shared" si="61"/>
        <v>0</v>
      </c>
      <c r="AG51" s="31">
        <f t="shared" si="62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34"/>
        <v>0</v>
      </c>
      <c r="AM51" s="18">
        <f t="shared" si="35"/>
        <v>0</v>
      </c>
      <c r="AN51" s="18">
        <f t="shared" si="36"/>
        <v>0</v>
      </c>
      <c r="AO51" s="18">
        <f t="shared" si="37"/>
        <v>0</v>
      </c>
      <c r="AP51" s="18">
        <f t="shared" si="38"/>
        <v>0</v>
      </c>
      <c r="AQ51" s="18">
        <f t="shared" si="66"/>
        <v>0</v>
      </c>
      <c r="AR51" s="18">
        <f t="shared" si="67"/>
        <v>0</v>
      </c>
      <c r="AS51" s="18">
        <f t="shared" si="68"/>
        <v>0</v>
      </c>
      <c r="AT51" s="18">
        <f t="shared" si="69"/>
        <v>0</v>
      </c>
      <c r="AU51" s="18">
        <f>INDEX(游戏节奏!$V$4:$V$13,挂机派遣!B51)</f>
        <v>9</v>
      </c>
      <c r="AV51" s="18">
        <f>INDEX(游戏节奏!$V$4:$V$13,挂机派遣!B51)</f>
        <v>9</v>
      </c>
      <c r="AW51" s="18">
        <f>INDEX(游戏节奏!$W$4:$W$13,挂机派遣!B51)</f>
        <v>9</v>
      </c>
      <c r="AX51" s="14">
        <v>5</v>
      </c>
      <c r="AY51" s="14"/>
      <c r="AZ51" s="14"/>
      <c r="BC51" s="18" t="s">
        <v>772</v>
      </c>
      <c r="BD51" s="18" t="str">
        <f t="shared" si="70"/>
        <v>540/h</v>
      </c>
      <c r="BE51" s="18" t="s">
        <v>773</v>
      </c>
      <c r="BF51" s="18" t="str">
        <f t="shared" si="71"/>
        <v>540/h</v>
      </c>
      <c r="BG51" s="18" t="s">
        <v>774</v>
      </c>
      <c r="BH51" s="18" t="str">
        <f t="shared" si="72"/>
        <v>540/h</v>
      </c>
      <c r="BJ51" t="str">
        <f t="shared" si="73"/>
        <v>初级蓝</v>
      </c>
      <c r="BK51" t="str">
        <f t="shared" si="74"/>
        <v>2.55/h</v>
      </c>
      <c r="BL51" t="str">
        <f t="shared" si="75"/>
        <v/>
      </c>
      <c r="BM51" t="str">
        <f t="shared" si="76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692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50"/>
        <v>121.72</v>
      </c>
      <c r="U52" s="18">
        <f t="shared" si="51"/>
        <v>30.43</v>
      </c>
      <c r="V52" s="18">
        <f t="shared" si="52"/>
        <v>0</v>
      </c>
      <c r="W52" s="18">
        <f t="shared" si="53"/>
        <v>0</v>
      </c>
      <c r="X52" s="18">
        <f t="shared" si="54"/>
        <v>36.516000000000005</v>
      </c>
      <c r="Y52" s="18">
        <f t="shared" si="55"/>
        <v>0</v>
      </c>
      <c r="Z52" s="18">
        <f t="shared" si="56"/>
        <v>0</v>
      </c>
      <c r="AA52" s="18">
        <f t="shared" si="57"/>
        <v>0</v>
      </c>
      <c r="AB52" s="18">
        <f t="shared" si="58"/>
        <v>43200</v>
      </c>
      <c r="AD52" s="31">
        <f t="shared" si="59"/>
        <v>0</v>
      </c>
      <c r="AE52" s="31">
        <f t="shared" si="60"/>
        <v>0</v>
      </c>
      <c r="AF52" s="31">
        <f t="shared" si="61"/>
        <v>0</v>
      </c>
      <c r="AG52" s="31">
        <f t="shared" si="62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34"/>
        <v>0</v>
      </c>
      <c r="AM52" s="18">
        <f t="shared" si="35"/>
        <v>0</v>
      </c>
      <c r="AN52" s="18">
        <f t="shared" si="36"/>
        <v>0</v>
      </c>
      <c r="AO52" s="18">
        <f t="shared" si="37"/>
        <v>0</v>
      </c>
      <c r="AP52" s="18">
        <f t="shared" si="38"/>
        <v>0</v>
      </c>
      <c r="AQ52" s="18">
        <f t="shared" si="66"/>
        <v>0</v>
      </c>
      <c r="AR52" s="18">
        <f t="shared" si="67"/>
        <v>0</v>
      </c>
      <c r="AS52" s="18">
        <f t="shared" si="68"/>
        <v>0</v>
      </c>
      <c r="AT52" s="18">
        <f t="shared" si="69"/>
        <v>0</v>
      </c>
      <c r="AU52" s="18">
        <f>INDEX(游戏节奏!$V$4:$V$13,挂机派遣!B52)</f>
        <v>9</v>
      </c>
      <c r="AV52" s="18">
        <f>INDEX(游戏节奏!$V$4:$V$13,挂机派遣!B52)</f>
        <v>9</v>
      </c>
      <c r="AW52" s="18">
        <f>INDEX(游戏节奏!$W$4:$W$13,挂机派遣!B52)</f>
        <v>9</v>
      </c>
      <c r="AX52" s="14">
        <v>6</v>
      </c>
      <c r="AY52" s="14"/>
      <c r="AZ52" s="14"/>
      <c r="BC52" s="18" t="s">
        <v>772</v>
      </c>
      <c r="BD52" s="18" t="str">
        <f t="shared" si="70"/>
        <v>540/h</v>
      </c>
      <c r="BE52" s="18" t="s">
        <v>773</v>
      </c>
      <c r="BF52" s="18" t="str">
        <f t="shared" si="71"/>
        <v>540/h</v>
      </c>
      <c r="BG52" s="18" t="s">
        <v>774</v>
      </c>
      <c r="BH52" s="18" t="str">
        <f t="shared" si="72"/>
        <v>540/h</v>
      </c>
      <c r="BJ52" t="str">
        <f t="shared" si="73"/>
        <v>初级红</v>
      </c>
      <c r="BK52" t="str">
        <f t="shared" si="74"/>
        <v>2.55/h</v>
      </c>
      <c r="BL52" t="str">
        <f t="shared" si="75"/>
        <v/>
      </c>
      <c r="BM52" t="str">
        <f t="shared" si="76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683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50"/>
        <v>125</v>
      </c>
      <c r="U53" s="18">
        <f t="shared" si="51"/>
        <v>31.25</v>
      </c>
      <c r="V53" s="18">
        <f t="shared" si="52"/>
        <v>0</v>
      </c>
      <c r="W53" s="18">
        <f t="shared" si="53"/>
        <v>0</v>
      </c>
      <c r="X53" s="18">
        <f t="shared" si="54"/>
        <v>37.5</v>
      </c>
      <c r="Y53" s="18">
        <f t="shared" si="55"/>
        <v>0</v>
      </c>
      <c r="Z53" s="18">
        <f t="shared" si="56"/>
        <v>0</v>
      </c>
      <c r="AA53" s="18">
        <f t="shared" si="57"/>
        <v>0</v>
      </c>
      <c r="AB53" s="18">
        <f t="shared" si="58"/>
        <v>43200</v>
      </c>
      <c r="AD53" s="31">
        <f t="shared" si="59"/>
        <v>0</v>
      </c>
      <c r="AE53" s="31">
        <f t="shared" si="60"/>
        <v>0</v>
      </c>
      <c r="AF53" s="31">
        <f t="shared" si="61"/>
        <v>0</v>
      </c>
      <c r="AG53" s="31">
        <f t="shared" si="62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34"/>
        <v>0</v>
      </c>
      <c r="AM53" s="18">
        <f t="shared" si="35"/>
        <v>0</v>
      </c>
      <c r="AN53" s="18">
        <f t="shared" si="36"/>
        <v>0</v>
      </c>
      <c r="AO53" s="18">
        <f t="shared" si="37"/>
        <v>0</v>
      </c>
      <c r="AP53" s="18">
        <f t="shared" si="38"/>
        <v>0</v>
      </c>
      <c r="AQ53" s="18">
        <f t="shared" si="66"/>
        <v>0</v>
      </c>
      <c r="AR53" s="18">
        <f t="shared" si="67"/>
        <v>0</v>
      </c>
      <c r="AS53" s="18">
        <f t="shared" si="68"/>
        <v>0</v>
      </c>
      <c r="AT53" s="18">
        <f t="shared" si="69"/>
        <v>0</v>
      </c>
      <c r="AU53" s="18">
        <f>INDEX(游戏节奏!$V$4:$V$13,挂机派遣!B53)</f>
        <v>9</v>
      </c>
      <c r="AV53" s="18">
        <f>INDEX(游戏节奏!$V$4:$V$13,挂机派遣!B53)</f>
        <v>9</v>
      </c>
      <c r="AW53" s="18">
        <f>INDEX(游戏节奏!$W$4:$W$13,挂机派遣!B53)</f>
        <v>9</v>
      </c>
      <c r="AX53" s="14">
        <v>7</v>
      </c>
      <c r="AY53" s="14"/>
      <c r="AZ53" s="14"/>
      <c r="BC53" s="18" t="s">
        <v>772</v>
      </c>
      <c r="BD53" s="18" t="str">
        <f t="shared" si="70"/>
        <v>540/h</v>
      </c>
      <c r="BE53" s="18" t="s">
        <v>773</v>
      </c>
      <c r="BF53" s="18" t="str">
        <f t="shared" si="71"/>
        <v>540/h</v>
      </c>
      <c r="BG53" s="18" t="s">
        <v>774</v>
      </c>
      <c r="BH53" s="18" t="str">
        <f t="shared" si="72"/>
        <v>540/h</v>
      </c>
      <c r="BJ53" t="str">
        <f t="shared" si="73"/>
        <v>初级黄</v>
      </c>
      <c r="BK53" t="str">
        <f t="shared" si="74"/>
        <v>2.55/h</v>
      </c>
      <c r="BL53" t="str">
        <f t="shared" si="75"/>
        <v/>
      </c>
      <c r="BM53" t="str">
        <f t="shared" si="76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685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50"/>
        <v>128.28</v>
      </c>
      <c r="U54" s="18">
        <f t="shared" si="51"/>
        <v>32.07</v>
      </c>
      <c r="V54" s="18">
        <f t="shared" si="52"/>
        <v>0</v>
      </c>
      <c r="W54" s="18">
        <f t="shared" si="53"/>
        <v>0</v>
      </c>
      <c r="X54" s="18">
        <f t="shared" si="54"/>
        <v>38.483999999999995</v>
      </c>
      <c r="Y54" s="18">
        <f t="shared" si="55"/>
        <v>0</v>
      </c>
      <c r="Z54" s="18">
        <f t="shared" si="56"/>
        <v>0</v>
      </c>
      <c r="AA54" s="18">
        <f t="shared" si="57"/>
        <v>0</v>
      </c>
      <c r="AB54" s="18">
        <f t="shared" si="58"/>
        <v>43200</v>
      </c>
      <c r="AD54" s="31">
        <f t="shared" si="59"/>
        <v>0</v>
      </c>
      <c r="AE54" s="31">
        <f t="shared" si="60"/>
        <v>0</v>
      </c>
      <c r="AF54" s="31">
        <f t="shared" si="61"/>
        <v>0</v>
      </c>
      <c r="AG54" s="31">
        <f t="shared" si="62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34"/>
        <v>0</v>
      </c>
      <c r="AM54" s="18">
        <f t="shared" si="35"/>
        <v>0</v>
      </c>
      <c r="AN54" s="18">
        <f t="shared" si="36"/>
        <v>0</v>
      </c>
      <c r="AO54" s="18">
        <f t="shared" si="37"/>
        <v>0</v>
      </c>
      <c r="AP54" s="18">
        <f t="shared" si="38"/>
        <v>0</v>
      </c>
      <c r="AQ54" s="18">
        <f t="shared" si="66"/>
        <v>0</v>
      </c>
      <c r="AR54" s="18">
        <f t="shared" si="67"/>
        <v>0</v>
      </c>
      <c r="AS54" s="18">
        <f t="shared" si="68"/>
        <v>0</v>
      </c>
      <c r="AT54" s="18">
        <f t="shared" si="69"/>
        <v>0</v>
      </c>
      <c r="AU54" s="18">
        <f>INDEX(游戏节奏!$V$4:$V$13,挂机派遣!B54)</f>
        <v>9</v>
      </c>
      <c r="AV54" s="18">
        <f>INDEX(游戏节奏!$V$4:$V$13,挂机派遣!B54)</f>
        <v>9</v>
      </c>
      <c r="AW54" s="18">
        <f>INDEX(游戏节奏!$W$4:$W$13,挂机派遣!B54)</f>
        <v>9</v>
      </c>
      <c r="AX54" s="14">
        <v>8</v>
      </c>
      <c r="AY54" s="14"/>
      <c r="AZ54" s="14"/>
      <c r="BC54" s="18" t="s">
        <v>772</v>
      </c>
      <c r="BD54" s="18" t="str">
        <f t="shared" si="70"/>
        <v>540/h</v>
      </c>
      <c r="BE54" s="18" t="s">
        <v>773</v>
      </c>
      <c r="BF54" s="18" t="str">
        <f t="shared" si="71"/>
        <v>540/h</v>
      </c>
      <c r="BG54" s="18" t="s">
        <v>774</v>
      </c>
      <c r="BH54" s="18" t="str">
        <f t="shared" si="72"/>
        <v>540/h</v>
      </c>
      <c r="BJ54" t="str">
        <f t="shared" si="73"/>
        <v>初级三才宝箱</v>
      </c>
      <c r="BK54" t="str">
        <f t="shared" si="74"/>
        <v>3/h</v>
      </c>
      <c r="BL54" t="str">
        <f t="shared" si="75"/>
        <v/>
      </c>
      <c r="BM54" t="str">
        <f t="shared" si="76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693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50"/>
        <v>131.56</v>
      </c>
      <c r="U55" s="18">
        <f t="shared" si="51"/>
        <v>32.89</v>
      </c>
      <c r="V55" s="18">
        <f t="shared" si="52"/>
        <v>0</v>
      </c>
      <c r="W55" s="18">
        <f t="shared" si="53"/>
        <v>0</v>
      </c>
      <c r="X55" s="18">
        <f t="shared" si="54"/>
        <v>39.467999999999996</v>
      </c>
      <c r="Y55" s="18">
        <f t="shared" si="55"/>
        <v>0</v>
      </c>
      <c r="Z55" s="18">
        <f t="shared" si="56"/>
        <v>0</v>
      </c>
      <c r="AA55" s="18">
        <f t="shared" si="57"/>
        <v>0</v>
      </c>
      <c r="AB55" s="18">
        <f t="shared" si="58"/>
        <v>43200</v>
      </c>
      <c r="AD55" s="31">
        <f t="shared" si="59"/>
        <v>0</v>
      </c>
      <c r="AE55" s="31">
        <f t="shared" si="60"/>
        <v>0</v>
      </c>
      <c r="AF55" s="31">
        <f t="shared" si="61"/>
        <v>0</v>
      </c>
      <c r="AG55" s="31">
        <f t="shared" si="62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34"/>
        <v>0</v>
      </c>
      <c r="AM55" s="18">
        <f t="shared" si="35"/>
        <v>0</v>
      </c>
      <c r="AN55" s="18">
        <f t="shared" si="36"/>
        <v>0</v>
      </c>
      <c r="AO55" s="18">
        <f t="shared" si="37"/>
        <v>0</v>
      </c>
      <c r="AP55" s="18">
        <f t="shared" si="38"/>
        <v>0</v>
      </c>
      <c r="AQ55" s="18">
        <f t="shared" si="66"/>
        <v>0</v>
      </c>
      <c r="AR55" s="18">
        <f t="shared" si="67"/>
        <v>0</v>
      </c>
      <c r="AS55" s="18">
        <f t="shared" si="68"/>
        <v>0</v>
      </c>
      <c r="AT55" s="18">
        <f t="shared" si="69"/>
        <v>0</v>
      </c>
      <c r="AU55" s="18">
        <f>INDEX(游戏节奏!$V$4:$V$13,挂机派遣!B55)</f>
        <v>9</v>
      </c>
      <c r="AV55" s="18">
        <f>INDEX(游戏节奏!$V$4:$V$13,挂机派遣!B55)</f>
        <v>9</v>
      </c>
      <c r="AW55" s="18">
        <f>INDEX(游戏节奏!$W$4:$W$13,挂机派遣!B55)</f>
        <v>9</v>
      </c>
      <c r="AX55" s="14">
        <v>8</v>
      </c>
      <c r="AY55" s="14"/>
      <c r="AZ55" s="14"/>
      <c r="BC55" s="18" t="s">
        <v>772</v>
      </c>
      <c r="BD55" s="18" t="str">
        <f t="shared" si="70"/>
        <v>540/h</v>
      </c>
      <c r="BE55" s="18" t="s">
        <v>773</v>
      </c>
      <c r="BF55" s="18" t="str">
        <f t="shared" si="71"/>
        <v>540/h</v>
      </c>
      <c r="BG55" s="18" t="s">
        <v>774</v>
      </c>
      <c r="BH55" s="18" t="str">
        <f t="shared" si="72"/>
        <v>540/h</v>
      </c>
      <c r="BJ55" t="str">
        <f t="shared" si="73"/>
        <v>初级三才宝箱</v>
      </c>
      <c r="BK55" t="str">
        <f t="shared" si="74"/>
        <v>3/h</v>
      </c>
      <c r="BL55" t="str">
        <f t="shared" si="75"/>
        <v/>
      </c>
      <c r="BM55" t="str">
        <f t="shared" si="76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668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50"/>
        <v>134.83999999999997</v>
      </c>
      <c r="U56" s="18">
        <f t="shared" si="51"/>
        <v>33.709999999999994</v>
      </c>
      <c r="V56" s="18">
        <f t="shared" si="52"/>
        <v>0</v>
      </c>
      <c r="W56" s="18">
        <f t="shared" si="53"/>
        <v>0</v>
      </c>
      <c r="X56" s="18">
        <f t="shared" si="54"/>
        <v>40.451999999999998</v>
      </c>
      <c r="Y56" s="18">
        <f t="shared" si="55"/>
        <v>0</v>
      </c>
      <c r="Z56" s="18">
        <f t="shared" si="56"/>
        <v>0</v>
      </c>
      <c r="AA56" s="18">
        <f t="shared" si="57"/>
        <v>0</v>
      </c>
      <c r="AB56" s="18">
        <f t="shared" si="58"/>
        <v>48000</v>
      </c>
      <c r="AD56" s="31">
        <f t="shared" si="59"/>
        <v>0.5</v>
      </c>
      <c r="AE56" s="31">
        <f t="shared" si="60"/>
        <v>0.35</v>
      </c>
      <c r="AF56" s="31">
        <f t="shared" si="61"/>
        <v>0</v>
      </c>
      <c r="AG56" s="31">
        <f t="shared" si="62"/>
        <v>0</v>
      </c>
      <c r="AH56" s="31">
        <f t="shared" ref="AH56:AH63" si="77">J56*G$2</f>
        <v>0</v>
      </c>
      <c r="AI56" s="18">
        <f t="shared" ref="AI56:AI62" si="78">J56*G$2</f>
        <v>0</v>
      </c>
      <c r="AJ56" s="18">
        <f t="shared" ref="AJ56:AJ62" si="79">J56*G$2</f>
        <v>0</v>
      </c>
      <c r="AK56" s="18">
        <v>0</v>
      </c>
      <c r="AL56" s="18">
        <f t="shared" si="34"/>
        <v>0</v>
      </c>
      <c r="AM56" s="18">
        <f t="shared" si="35"/>
        <v>0</v>
      </c>
      <c r="AN56" s="18">
        <f t="shared" si="36"/>
        <v>0</v>
      </c>
      <c r="AO56" s="18">
        <f t="shared" si="37"/>
        <v>0</v>
      </c>
      <c r="AP56" s="18">
        <f t="shared" si="38"/>
        <v>0</v>
      </c>
      <c r="AQ56" s="18">
        <f t="shared" si="66"/>
        <v>0</v>
      </c>
      <c r="AR56" s="18">
        <f t="shared" si="67"/>
        <v>0</v>
      </c>
      <c r="AS56" s="18">
        <f t="shared" si="68"/>
        <v>0</v>
      </c>
      <c r="AT56" s="18">
        <f t="shared" si="69"/>
        <v>0</v>
      </c>
      <c r="AU56" s="18">
        <f>INDEX(游戏节奏!$V$4:$V$13,挂机派遣!B56)</f>
        <v>11</v>
      </c>
      <c r="AV56" s="18">
        <f>INDEX(游戏节奏!$V$4:$V$13,挂机派遣!B56)</f>
        <v>11</v>
      </c>
      <c r="AW56" s="18">
        <f>INDEX(游戏节奏!$W$4:$W$13,挂机派遣!B56)</f>
        <v>10</v>
      </c>
      <c r="AX56" s="14">
        <v>1</v>
      </c>
      <c r="AY56" s="14">
        <v>2</v>
      </c>
      <c r="AZ56" s="14"/>
      <c r="BC56" s="18" t="s">
        <v>772</v>
      </c>
      <c r="BD56" s="18" t="str">
        <f t="shared" si="70"/>
        <v>600/h</v>
      </c>
      <c r="BE56" s="18" t="s">
        <v>773</v>
      </c>
      <c r="BF56" s="18" t="str">
        <f t="shared" si="71"/>
        <v>660/h</v>
      </c>
      <c r="BG56" s="18" t="s">
        <v>774</v>
      </c>
      <c r="BH56" s="18" t="str">
        <f t="shared" si="72"/>
        <v>660/h</v>
      </c>
      <c r="BJ56" t="str">
        <f t="shared" si="73"/>
        <v>绿色基础材料</v>
      </c>
      <c r="BK56" t="str">
        <f t="shared" si="74"/>
        <v>5/h</v>
      </c>
      <c r="BL56" t="str">
        <f t="shared" si="75"/>
        <v>蓝色基础材料</v>
      </c>
      <c r="BM56" t="str">
        <f t="shared" si="76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669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50"/>
        <v>139.44</v>
      </c>
      <c r="U57" s="18">
        <f t="shared" si="51"/>
        <v>139.44</v>
      </c>
      <c r="V57" s="18">
        <f t="shared" si="52"/>
        <v>0</v>
      </c>
      <c r="W57" s="18">
        <f t="shared" si="53"/>
        <v>0</v>
      </c>
      <c r="X57" s="18">
        <f t="shared" si="54"/>
        <v>41.831999999999994</v>
      </c>
      <c r="Y57" s="18">
        <f t="shared" si="55"/>
        <v>10.457999999999998</v>
      </c>
      <c r="Z57" s="18">
        <f t="shared" si="56"/>
        <v>0</v>
      </c>
      <c r="AA57" s="18">
        <f t="shared" si="57"/>
        <v>0</v>
      </c>
      <c r="AB57" s="18">
        <f t="shared" si="58"/>
        <v>72000</v>
      </c>
      <c r="AD57" s="31">
        <f t="shared" si="59"/>
        <v>0.5</v>
      </c>
      <c r="AE57" s="31">
        <f t="shared" si="60"/>
        <v>0.375</v>
      </c>
      <c r="AF57" s="31">
        <f t="shared" si="61"/>
        <v>0</v>
      </c>
      <c r="AG57" s="31">
        <f t="shared" si="62"/>
        <v>0</v>
      </c>
      <c r="AH57" s="31">
        <f t="shared" si="77"/>
        <v>0</v>
      </c>
      <c r="AI57" s="18">
        <f t="shared" si="78"/>
        <v>0</v>
      </c>
      <c r="AJ57" s="18">
        <f t="shared" si="79"/>
        <v>0</v>
      </c>
      <c r="AK57" s="18">
        <v>0</v>
      </c>
      <c r="AL57" s="18">
        <f t="shared" si="34"/>
        <v>0</v>
      </c>
      <c r="AM57" s="18">
        <f t="shared" si="35"/>
        <v>0</v>
      </c>
      <c r="AN57" s="18">
        <f t="shared" si="36"/>
        <v>0</v>
      </c>
      <c r="AO57" s="18">
        <f t="shared" si="37"/>
        <v>0</v>
      </c>
      <c r="AP57" s="18">
        <f t="shared" si="38"/>
        <v>0</v>
      </c>
      <c r="AQ57" s="18">
        <f t="shared" si="66"/>
        <v>0</v>
      </c>
      <c r="AR57" s="18">
        <f t="shared" si="67"/>
        <v>0</v>
      </c>
      <c r="AS57" s="18">
        <f t="shared" si="68"/>
        <v>0</v>
      </c>
      <c r="AT57" s="18">
        <f t="shared" si="69"/>
        <v>0</v>
      </c>
      <c r="AU57" s="18">
        <f>INDEX(游戏节奏!$V$4:$V$13,挂机派遣!B57)</f>
        <v>11</v>
      </c>
      <c r="AV57" s="18">
        <f>INDEX(游戏节奏!$V$4:$V$13,挂机派遣!B57)</f>
        <v>11</v>
      </c>
      <c r="AW57" s="18">
        <f>INDEX(游戏节奏!$W$4:$W$13,挂机派遣!B57)</f>
        <v>10</v>
      </c>
      <c r="AX57" s="14">
        <v>1</v>
      </c>
      <c r="AY57" s="14">
        <v>2</v>
      </c>
      <c r="AZ57" s="14"/>
      <c r="BC57" s="18" t="s">
        <v>772</v>
      </c>
      <c r="BD57" s="18" t="str">
        <f t="shared" si="70"/>
        <v>600/h</v>
      </c>
      <c r="BE57" s="18" t="s">
        <v>773</v>
      </c>
      <c r="BF57" s="18" t="str">
        <f t="shared" si="71"/>
        <v>660/h</v>
      </c>
      <c r="BG57" s="18" t="s">
        <v>774</v>
      </c>
      <c r="BH57" s="18" t="str">
        <f t="shared" si="72"/>
        <v>660/h</v>
      </c>
      <c r="BJ57" t="str">
        <f t="shared" si="73"/>
        <v>绿色基础材料</v>
      </c>
      <c r="BK57" t="str">
        <f t="shared" si="74"/>
        <v>5/h</v>
      </c>
      <c r="BL57" t="str">
        <f t="shared" si="75"/>
        <v>蓝色基础材料</v>
      </c>
      <c r="BM57" t="str">
        <f t="shared" si="76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665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50"/>
        <v>144.04</v>
      </c>
      <c r="U58" s="18">
        <f t="shared" si="51"/>
        <v>144.04</v>
      </c>
      <c r="V58" s="18">
        <f t="shared" si="52"/>
        <v>0</v>
      </c>
      <c r="W58" s="18">
        <f t="shared" si="53"/>
        <v>0</v>
      </c>
      <c r="X58" s="18">
        <f t="shared" si="54"/>
        <v>43.211999999999996</v>
      </c>
      <c r="Y58" s="18">
        <f t="shared" si="55"/>
        <v>10.802999999999999</v>
      </c>
      <c r="Z58" s="18">
        <f t="shared" si="56"/>
        <v>0</v>
      </c>
      <c r="AA58" s="18">
        <f t="shared" si="57"/>
        <v>0</v>
      </c>
      <c r="AB58" s="18">
        <f t="shared" si="58"/>
        <v>72000</v>
      </c>
      <c r="AD58" s="31">
        <f t="shared" si="59"/>
        <v>0.5</v>
      </c>
      <c r="AE58" s="31">
        <f t="shared" si="60"/>
        <v>0.4</v>
      </c>
      <c r="AF58" s="31">
        <f t="shared" si="61"/>
        <v>0</v>
      </c>
      <c r="AG58" s="31">
        <f t="shared" si="62"/>
        <v>0</v>
      </c>
      <c r="AH58" s="31">
        <f t="shared" si="77"/>
        <v>0</v>
      </c>
      <c r="AI58" s="18">
        <f t="shared" si="78"/>
        <v>0</v>
      </c>
      <c r="AJ58" s="18">
        <f t="shared" si="79"/>
        <v>0</v>
      </c>
      <c r="AK58" s="18">
        <v>0</v>
      </c>
      <c r="AL58" s="18">
        <f t="shared" si="34"/>
        <v>0</v>
      </c>
      <c r="AM58" s="18">
        <f t="shared" si="35"/>
        <v>0</v>
      </c>
      <c r="AN58" s="18">
        <f t="shared" si="36"/>
        <v>0</v>
      </c>
      <c r="AO58" s="18">
        <f t="shared" si="37"/>
        <v>0</v>
      </c>
      <c r="AP58" s="18">
        <f t="shared" si="38"/>
        <v>0</v>
      </c>
      <c r="AQ58" s="18">
        <f t="shared" si="66"/>
        <v>0</v>
      </c>
      <c r="AR58" s="18">
        <f t="shared" si="67"/>
        <v>0</v>
      </c>
      <c r="AS58" s="18">
        <f t="shared" si="68"/>
        <v>0</v>
      </c>
      <c r="AT58" s="18">
        <f t="shared" si="69"/>
        <v>0</v>
      </c>
      <c r="AU58" s="18">
        <f>INDEX(游戏节奏!$V$4:$V$13,挂机派遣!B58)</f>
        <v>11</v>
      </c>
      <c r="AV58" s="18">
        <f>INDEX(游戏节奏!$V$4:$V$13,挂机派遣!B58)</f>
        <v>11</v>
      </c>
      <c r="AW58" s="18">
        <f>INDEX(游戏节奏!$W$4:$W$13,挂机派遣!B58)</f>
        <v>10</v>
      </c>
      <c r="AX58" s="14">
        <v>1</v>
      </c>
      <c r="AY58" s="14">
        <v>2</v>
      </c>
      <c r="AZ58" s="14"/>
      <c r="BC58" s="18" t="s">
        <v>772</v>
      </c>
      <c r="BD58" s="18" t="str">
        <f t="shared" si="70"/>
        <v>600/h</v>
      </c>
      <c r="BE58" s="18" t="s">
        <v>773</v>
      </c>
      <c r="BF58" s="18" t="str">
        <f t="shared" si="71"/>
        <v>660/h</v>
      </c>
      <c r="BG58" s="18" t="s">
        <v>774</v>
      </c>
      <c r="BH58" s="18" t="str">
        <f t="shared" si="72"/>
        <v>660/h</v>
      </c>
      <c r="BJ58" t="str">
        <f t="shared" si="73"/>
        <v>绿色基础材料</v>
      </c>
      <c r="BK58" t="str">
        <f t="shared" si="74"/>
        <v>5/h</v>
      </c>
      <c r="BL58" t="str">
        <f t="shared" si="75"/>
        <v>蓝色基础材料</v>
      </c>
      <c r="BM58" t="str">
        <f t="shared" si="76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671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50"/>
        <v>148.63999999999999</v>
      </c>
      <c r="U59" s="18">
        <f t="shared" si="51"/>
        <v>148.63999999999999</v>
      </c>
      <c r="V59" s="18">
        <f t="shared" si="52"/>
        <v>0</v>
      </c>
      <c r="W59" s="18">
        <f t="shared" si="53"/>
        <v>0</v>
      </c>
      <c r="X59" s="18">
        <f t="shared" si="54"/>
        <v>44.591999999999999</v>
      </c>
      <c r="Y59" s="18">
        <f t="shared" si="55"/>
        <v>11.148</v>
      </c>
      <c r="Z59" s="18">
        <f t="shared" si="56"/>
        <v>0</v>
      </c>
      <c r="AA59" s="18">
        <f t="shared" si="57"/>
        <v>0</v>
      </c>
      <c r="AB59" s="18">
        <f t="shared" si="58"/>
        <v>72000</v>
      </c>
      <c r="AD59" s="31">
        <f t="shared" si="59"/>
        <v>0.5</v>
      </c>
      <c r="AE59" s="31">
        <f t="shared" si="60"/>
        <v>0.42499999999999999</v>
      </c>
      <c r="AF59" s="31">
        <f t="shared" si="61"/>
        <v>0</v>
      </c>
      <c r="AG59" s="31">
        <f t="shared" si="62"/>
        <v>0</v>
      </c>
      <c r="AH59" s="31">
        <f t="shared" si="77"/>
        <v>0</v>
      </c>
      <c r="AI59" s="18">
        <f t="shared" si="78"/>
        <v>0</v>
      </c>
      <c r="AJ59" s="18">
        <f t="shared" si="79"/>
        <v>0</v>
      </c>
      <c r="AK59" s="18">
        <v>0</v>
      </c>
      <c r="AL59" s="18">
        <f t="shared" si="34"/>
        <v>0</v>
      </c>
      <c r="AM59" s="18">
        <f t="shared" si="35"/>
        <v>0</v>
      </c>
      <c r="AN59" s="18">
        <f t="shared" si="36"/>
        <v>0</v>
      </c>
      <c r="AO59" s="18">
        <f t="shared" si="37"/>
        <v>0</v>
      </c>
      <c r="AP59" s="18">
        <f t="shared" si="38"/>
        <v>0</v>
      </c>
      <c r="AQ59" s="18">
        <f t="shared" si="66"/>
        <v>0</v>
      </c>
      <c r="AR59" s="18">
        <f t="shared" si="67"/>
        <v>0</v>
      </c>
      <c r="AS59" s="18">
        <f t="shared" si="68"/>
        <v>0</v>
      </c>
      <c r="AT59" s="18">
        <f t="shared" si="69"/>
        <v>0</v>
      </c>
      <c r="AU59" s="18">
        <f>INDEX(游戏节奏!$V$4:$V$13,挂机派遣!B59)</f>
        <v>11</v>
      </c>
      <c r="AV59" s="18">
        <f>INDEX(游戏节奏!$V$4:$V$13,挂机派遣!B59)</f>
        <v>11</v>
      </c>
      <c r="AW59" s="18">
        <f>INDEX(游戏节奏!$W$4:$W$13,挂机派遣!B59)</f>
        <v>10</v>
      </c>
      <c r="AX59" s="14">
        <v>1</v>
      </c>
      <c r="AY59" s="14">
        <v>2</v>
      </c>
      <c r="AZ59" s="14"/>
      <c r="BC59" s="18" t="s">
        <v>772</v>
      </c>
      <c r="BD59" s="18" t="str">
        <f t="shared" si="70"/>
        <v>600/h</v>
      </c>
      <c r="BE59" s="18" t="s">
        <v>773</v>
      </c>
      <c r="BF59" s="18" t="str">
        <f t="shared" si="71"/>
        <v>660/h</v>
      </c>
      <c r="BG59" s="18" t="s">
        <v>774</v>
      </c>
      <c r="BH59" s="18" t="str">
        <f t="shared" si="72"/>
        <v>660/h</v>
      </c>
      <c r="BJ59" t="str">
        <f t="shared" si="73"/>
        <v>绿色基础材料</v>
      </c>
      <c r="BK59" t="str">
        <f t="shared" si="74"/>
        <v>5/h</v>
      </c>
      <c r="BL59" t="str">
        <f t="shared" si="75"/>
        <v>蓝色基础材料</v>
      </c>
      <c r="BM59" t="str">
        <f t="shared" si="76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674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50"/>
        <v>153.24</v>
      </c>
      <c r="U60" s="18">
        <f t="shared" si="51"/>
        <v>153.24</v>
      </c>
      <c r="V60" s="18">
        <f t="shared" si="52"/>
        <v>0</v>
      </c>
      <c r="W60" s="18">
        <f t="shared" si="53"/>
        <v>0</v>
      </c>
      <c r="X60" s="18">
        <f t="shared" si="54"/>
        <v>45.972000000000001</v>
      </c>
      <c r="Y60" s="18">
        <f t="shared" si="55"/>
        <v>11.493</v>
      </c>
      <c r="Z60" s="18">
        <f t="shared" si="56"/>
        <v>0</v>
      </c>
      <c r="AA60" s="18">
        <f t="shared" si="57"/>
        <v>0</v>
      </c>
      <c r="AB60" s="18">
        <f t="shared" si="58"/>
        <v>72000</v>
      </c>
      <c r="AD60" s="31">
        <f t="shared" si="59"/>
        <v>0.5</v>
      </c>
      <c r="AE60" s="31">
        <f t="shared" si="60"/>
        <v>0.45</v>
      </c>
      <c r="AF60" s="31">
        <f t="shared" si="61"/>
        <v>0</v>
      </c>
      <c r="AG60" s="31">
        <f t="shared" si="62"/>
        <v>0</v>
      </c>
      <c r="AH60" s="31">
        <f t="shared" si="77"/>
        <v>0</v>
      </c>
      <c r="AI60" s="18">
        <f t="shared" si="78"/>
        <v>0</v>
      </c>
      <c r="AJ60" s="18">
        <f t="shared" si="79"/>
        <v>0</v>
      </c>
      <c r="AK60" s="18">
        <v>0</v>
      </c>
      <c r="AL60" s="18">
        <f t="shared" si="34"/>
        <v>0</v>
      </c>
      <c r="AM60" s="18">
        <f t="shared" si="35"/>
        <v>0</v>
      </c>
      <c r="AN60" s="18">
        <f t="shared" si="36"/>
        <v>0</v>
      </c>
      <c r="AO60" s="18">
        <f t="shared" si="37"/>
        <v>0</v>
      </c>
      <c r="AP60" s="18">
        <f t="shared" si="38"/>
        <v>0</v>
      </c>
      <c r="AQ60" s="18">
        <f t="shared" si="66"/>
        <v>0</v>
      </c>
      <c r="AR60" s="18">
        <f t="shared" si="67"/>
        <v>0</v>
      </c>
      <c r="AS60" s="18">
        <f t="shared" si="68"/>
        <v>0</v>
      </c>
      <c r="AT60" s="18">
        <f t="shared" si="69"/>
        <v>0</v>
      </c>
      <c r="AU60" s="18">
        <f>INDEX(游戏节奏!$V$4:$V$13,挂机派遣!B60)</f>
        <v>11</v>
      </c>
      <c r="AV60" s="18">
        <f>INDEX(游戏节奏!$V$4:$V$13,挂机派遣!B60)</f>
        <v>11</v>
      </c>
      <c r="AW60" s="18">
        <f>INDEX(游戏节奏!$W$4:$W$13,挂机派遣!B60)</f>
        <v>10</v>
      </c>
      <c r="AX60" s="14">
        <v>1</v>
      </c>
      <c r="AY60" s="14">
        <v>2</v>
      </c>
      <c r="AZ60" s="14"/>
      <c r="BC60" s="18" t="s">
        <v>772</v>
      </c>
      <c r="BD60" s="18" t="str">
        <f t="shared" si="70"/>
        <v>600/h</v>
      </c>
      <c r="BE60" s="18" t="s">
        <v>773</v>
      </c>
      <c r="BF60" s="18" t="str">
        <f t="shared" si="71"/>
        <v>660/h</v>
      </c>
      <c r="BG60" s="18" t="s">
        <v>774</v>
      </c>
      <c r="BH60" s="18" t="str">
        <f t="shared" si="72"/>
        <v>660/h</v>
      </c>
      <c r="BJ60" t="str">
        <f t="shared" si="73"/>
        <v>绿色基础材料</v>
      </c>
      <c r="BK60" t="str">
        <f t="shared" si="74"/>
        <v>5/h</v>
      </c>
      <c r="BL60" t="str">
        <f t="shared" si="75"/>
        <v>蓝色基础材料</v>
      </c>
      <c r="BM60" t="str">
        <f t="shared" si="76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675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50"/>
        <v>157.84</v>
      </c>
      <c r="U61" s="18">
        <f t="shared" si="51"/>
        <v>157.84</v>
      </c>
      <c r="V61" s="18">
        <f t="shared" si="52"/>
        <v>0</v>
      </c>
      <c r="W61" s="18">
        <f t="shared" si="53"/>
        <v>0</v>
      </c>
      <c r="X61" s="18">
        <f t="shared" si="54"/>
        <v>47.352000000000004</v>
      </c>
      <c r="Y61" s="18">
        <f t="shared" si="55"/>
        <v>11.838000000000001</v>
      </c>
      <c r="Z61" s="18">
        <f t="shared" si="56"/>
        <v>0</v>
      </c>
      <c r="AA61" s="18">
        <f t="shared" si="57"/>
        <v>0</v>
      </c>
      <c r="AB61" s="18">
        <f t="shared" si="58"/>
        <v>72000</v>
      </c>
      <c r="AD61" s="31">
        <f t="shared" si="59"/>
        <v>0.5</v>
      </c>
      <c r="AE61" s="31">
        <f t="shared" si="60"/>
        <v>0.47499999999999998</v>
      </c>
      <c r="AF61" s="31">
        <f t="shared" si="61"/>
        <v>0</v>
      </c>
      <c r="AG61" s="31">
        <f t="shared" si="62"/>
        <v>0</v>
      </c>
      <c r="AH61" s="31">
        <f t="shared" si="77"/>
        <v>0</v>
      </c>
      <c r="AI61" s="18">
        <f t="shared" si="78"/>
        <v>0</v>
      </c>
      <c r="AJ61" s="18">
        <f t="shared" si="79"/>
        <v>0</v>
      </c>
      <c r="AK61" s="18">
        <v>0</v>
      </c>
      <c r="AL61" s="18">
        <f t="shared" si="34"/>
        <v>0</v>
      </c>
      <c r="AM61" s="18">
        <f t="shared" si="35"/>
        <v>0</v>
      </c>
      <c r="AN61" s="18">
        <f t="shared" si="36"/>
        <v>0</v>
      </c>
      <c r="AO61" s="18">
        <f t="shared" si="37"/>
        <v>0</v>
      </c>
      <c r="AP61" s="18">
        <f t="shared" si="38"/>
        <v>0</v>
      </c>
      <c r="AQ61" s="18">
        <f t="shared" si="66"/>
        <v>0</v>
      </c>
      <c r="AR61" s="18">
        <f t="shared" si="67"/>
        <v>0</v>
      </c>
      <c r="AS61" s="18">
        <f t="shared" si="68"/>
        <v>0</v>
      </c>
      <c r="AT61" s="18">
        <f t="shared" si="69"/>
        <v>0</v>
      </c>
      <c r="AU61" s="18">
        <f>INDEX(游戏节奏!$V$4:$V$13,挂机派遣!B61)</f>
        <v>11</v>
      </c>
      <c r="AV61" s="18">
        <f>INDEX(游戏节奏!$V$4:$V$13,挂机派遣!B61)</f>
        <v>11</v>
      </c>
      <c r="AW61" s="18">
        <f>INDEX(游戏节奏!$W$4:$W$13,挂机派遣!B61)</f>
        <v>10</v>
      </c>
      <c r="AX61" s="14">
        <v>1</v>
      </c>
      <c r="AY61" s="14">
        <v>2</v>
      </c>
      <c r="AZ61" s="14"/>
      <c r="BC61" s="18" t="s">
        <v>772</v>
      </c>
      <c r="BD61" s="18" t="str">
        <f t="shared" si="70"/>
        <v>600/h</v>
      </c>
      <c r="BE61" s="18" t="s">
        <v>773</v>
      </c>
      <c r="BF61" s="18" t="str">
        <f t="shared" si="71"/>
        <v>660/h</v>
      </c>
      <c r="BG61" s="18" t="s">
        <v>774</v>
      </c>
      <c r="BH61" s="18" t="str">
        <f t="shared" si="72"/>
        <v>660/h</v>
      </c>
      <c r="BJ61" t="str">
        <f t="shared" si="73"/>
        <v>绿色基础材料</v>
      </c>
      <c r="BK61" t="str">
        <f t="shared" si="74"/>
        <v>5/h</v>
      </c>
      <c r="BL61" t="str">
        <f t="shared" si="75"/>
        <v>蓝色基础材料</v>
      </c>
      <c r="BM61" t="str">
        <f t="shared" si="76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676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50"/>
        <v>162.44</v>
      </c>
      <c r="U62" s="18">
        <f t="shared" si="51"/>
        <v>162.44</v>
      </c>
      <c r="V62" s="18">
        <f t="shared" si="52"/>
        <v>0</v>
      </c>
      <c r="W62" s="18">
        <f t="shared" si="53"/>
        <v>0</v>
      </c>
      <c r="X62" s="18">
        <f t="shared" si="54"/>
        <v>48.731999999999999</v>
      </c>
      <c r="Y62" s="18">
        <f t="shared" si="55"/>
        <v>12.183</v>
      </c>
      <c r="Z62" s="18">
        <f t="shared" si="56"/>
        <v>0</v>
      </c>
      <c r="AA62" s="18">
        <f t="shared" si="57"/>
        <v>0</v>
      </c>
      <c r="AB62" s="18">
        <f t="shared" si="58"/>
        <v>72000</v>
      </c>
      <c r="AD62" s="31">
        <f t="shared" si="59"/>
        <v>0.5</v>
      </c>
      <c r="AE62" s="31">
        <f t="shared" si="60"/>
        <v>0.5</v>
      </c>
      <c r="AF62" s="31">
        <f t="shared" si="61"/>
        <v>0</v>
      </c>
      <c r="AG62" s="31">
        <f t="shared" si="62"/>
        <v>0</v>
      </c>
      <c r="AH62" s="31">
        <f t="shared" si="77"/>
        <v>0</v>
      </c>
      <c r="AI62" s="18">
        <f t="shared" si="78"/>
        <v>0</v>
      </c>
      <c r="AJ62" s="18">
        <f t="shared" si="79"/>
        <v>0</v>
      </c>
      <c r="AK62" s="18">
        <v>0</v>
      </c>
      <c r="AL62" s="18">
        <f t="shared" si="34"/>
        <v>0</v>
      </c>
      <c r="AM62" s="18">
        <f t="shared" si="35"/>
        <v>0</v>
      </c>
      <c r="AN62" s="18">
        <f t="shared" si="36"/>
        <v>0</v>
      </c>
      <c r="AO62" s="18">
        <f t="shared" si="37"/>
        <v>0</v>
      </c>
      <c r="AP62" s="18">
        <f t="shared" si="38"/>
        <v>0</v>
      </c>
      <c r="AQ62" s="18">
        <f t="shared" si="66"/>
        <v>0</v>
      </c>
      <c r="AR62" s="18">
        <f t="shared" si="67"/>
        <v>0</v>
      </c>
      <c r="AS62" s="18">
        <f t="shared" si="68"/>
        <v>0</v>
      </c>
      <c r="AT62" s="18">
        <f t="shared" si="69"/>
        <v>0</v>
      </c>
      <c r="AU62" s="18">
        <f>INDEX(游戏节奏!$V$4:$V$13,挂机派遣!B62)</f>
        <v>11</v>
      </c>
      <c r="AV62" s="18">
        <f>INDEX(游戏节奏!$V$4:$V$13,挂机派遣!B62)</f>
        <v>11</v>
      </c>
      <c r="AW62" s="18">
        <f>INDEX(游戏节奏!$W$4:$W$13,挂机派遣!B62)</f>
        <v>10</v>
      </c>
      <c r="AX62" s="14">
        <v>1</v>
      </c>
      <c r="AY62" s="14">
        <v>2</v>
      </c>
      <c r="AZ62" s="14"/>
      <c r="BC62" s="18" t="s">
        <v>772</v>
      </c>
      <c r="BD62" s="18" t="str">
        <f t="shared" si="70"/>
        <v>600/h</v>
      </c>
      <c r="BE62" s="18" t="s">
        <v>773</v>
      </c>
      <c r="BF62" s="18" t="str">
        <f t="shared" si="71"/>
        <v>660/h</v>
      </c>
      <c r="BG62" s="18" t="s">
        <v>774</v>
      </c>
      <c r="BH62" s="18" t="str">
        <f t="shared" si="72"/>
        <v>660/h</v>
      </c>
      <c r="BJ62" t="str">
        <f t="shared" si="73"/>
        <v>绿色基础材料</v>
      </c>
      <c r="BK62" t="str">
        <f t="shared" si="74"/>
        <v>5/h</v>
      </c>
      <c r="BL62" t="str">
        <f t="shared" si="75"/>
        <v>蓝色基础材料</v>
      </c>
      <c r="BM62" t="str">
        <f t="shared" si="76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691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50"/>
        <v>167.04000000000002</v>
      </c>
      <c r="U63" s="18">
        <f t="shared" si="51"/>
        <v>167.04000000000002</v>
      </c>
      <c r="V63" s="18">
        <f t="shared" si="52"/>
        <v>0</v>
      </c>
      <c r="W63" s="18">
        <f t="shared" si="53"/>
        <v>0</v>
      </c>
      <c r="X63" s="18">
        <f t="shared" si="54"/>
        <v>50.112000000000002</v>
      </c>
      <c r="Y63" s="18">
        <f t="shared" si="55"/>
        <v>12.528</v>
      </c>
      <c r="Z63" s="18">
        <f t="shared" si="56"/>
        <v>0</v>
      </c>
      <c r="AA63" s="18">
        <f t="shared" si="57"/>
        <v>0</v>
      </c>
      <c r="AB63" s="18">
        <f t="shared" si="58"/>
        <v>72000</v>
      </c>
      <c r="AD63" s="31">
        <f t="shared" si="59"/>
        <v>0</v>
      </c>
      <c r="AE63" s="31">
        <f t="shared" si="60"/>
        <v>0</v>
      </c>
      <c r="AF63" s="31">
        <f t="shared" si="61"/>
        <v>0</v>
      </c>
      <c r="AG63" s="31">
        <f t="shared" si="62"/>
        <v>0</v>
      </c>
      <c r="AH63" s="31">
        <f t="shared" si="77"/>
        <v>1</v>
      </c>
      <c r="AI63" s="18">
        <v>0</v>
      </c>
      <c r="AJ63" s="18">
        <v>0</v>
      </c>
      <c r="AK63" s="18">
        <v>0</v>
      </c>
      <c r="AL63" s="18">
        <f t="shared" si="34"/>
        <v>0.125</v>
      </c>
      <c r="AM63" s="18">
        <v>0</v>
      </c>
      <c r="AN63" s="18">
        <v>0</v>
      </c>
      <c r="AO63" s="18">
        <v>0</v>
      </c>
      <c r="AP63" s="18">
        <f t="shared" ref="AP63:AP93" si="80">L63*I$2</f>
        <v>0</v>
      </c>
      <c r="AQ63" s="18">
        <f t="shared" si="66"/>
        <v>0</v>
      </c>
      <c r="AR63" s="18">
        <f t="shared" si="67"/>
        <v>0</v>
      </c>
      <c r="AS63" s="18">
        <f t="shared" si="68"/>
        <v>0</v>
      </c>
      <c r="AT63" s="18">
        <f t="shared" si="69"/>
        <v>0</v>
      </c>
      <c r="AU63" s="18">
        <f>INDEX(游戏节奏!$V$4:$V$13,挂机派遣!B63)</f>
        <v>11</v>
      </c>
      <c r="AV63" s="18">
        <f>INDEX(游戏节奏!$V$4:$V$13,挂机派遣!B63)</f>
        <v>11</v>
      </c>
      <c r="AW63" s="18">
        <f>INDEX(游戏节奏!$W$4:$W$13,挂机派遣!B63)</f>
        <v>10</v>
      </c>
      <c r="AX63" s="14">
        <v>5</v>
      </c>
      <c r="AY63" s="14">
        <v>9</v>
      </c>
      <c r="AZ63" s="14"/>
      <c r="BC63" s="18" t="s">
        <v>772</v>
      </c>
      <c r="BD63" s="18" t="str">
        <f t="shared" si="70"/>
        <v>600/h</v>
      </c>
      <c r="BE63" s="18" t="s">
        <v>773</v>
      </c>
      <c r="BF63" s="18" t="str">
        <f t="shared" si="71"/>
        <v>660/h</v>
      </c>
      <c r="BG63" s="18" t="s">
        <v>774</v>
      </c>
      <c r="BH63" s="18" t="str">
        <f t="shared" si="72"/>
        <v>660/h</v>
      </c>
      <c r="BJ63" t="str">
        <f t="shared" si="73"/>
        <v>初级蓝</v>
      </c>
      <c r="BK63" t="str">
        <f t="shared" si="74"/>
        <v>3/h</v>
      </c>
      <c r="BL63" t="str">
        <f t="shared" si="75"/>
        <v>中级蓝</v>
      </c>
      <c r="BM63" t="str">
        <f t="shared" si="76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688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50"/>
        <v>171.64000000000001</v>
      </c>
      <c r="U64" s="18">
        <f t="shared" si="51"/>
        <v>171.64000000000001</v>
      </c>
      <c r="V64" s="18">
        <f t="shared" si="52"/>
        <v>0</v>
      </c>
      <c r="W64" s="18">
        <f t="shared" si="53"/>
        <v>0</v>
      </c>
      <c r="X64" s="18">
        <f t="shared" si="54"/>
        <v>51.492000000000004</v>
      </c>
      <c r="Y64" s="18">
        <f t="shared" si="55"/>
        <v>12.873000000000001</v>
      </c>
      <c r="Z64" s="18">
        <f t="shared" si="56"/>
        <v>0</v>
      </c>
      <c r="AA64" s="18">
        <f t="shared" si="57"/>
        <v>0</v>
      </c>
      <c r="AB64" s="18">
        <f t="shared" si="58"/>
        <v>72000</v>
      </c>
      <c r="AD64" s="31">
        <f t="shared" si="59"/>
        <v>0</v>
      </c>
      <c r="AE64" s="31">
        <f t="shared" si="60"/>
        <v>0</v>
      </c>
      <c r="AF64" s="31">
        <f t="shared" si="61"/>
        <v>0</v>
      </c>
      <c r="AG64" s="31">
        <f t="shared" si="62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80"/>
        <v>0</v>
      </c>
      <c r="AQ64" s="18">
        <f t="shared" si="66"/>
        <v>0</v>
      </c>
      <c r="AR64" s="18">
        <f t="shared" si="67"/>
        <v>0</v>
      </c>
      <c r="AS64" s="18">
        <f t="shared" si="68"/>
        <v>0</v>
      </c>
      <c r="AT64" s="18">
        <f t="shared" si="69"/>
        <v>0</v>
      </c>
      <c r="AU64" s="18">
        <f>INDEX(游戏节奏!$V$4:$V$13,挂机派遣!B64)</f>
        <v>11</v>
      </c>
      <c r="AV64" s="18">
        <f>INDEX(游戏节奏!$V$4:$V$13,挂机派遣!B64)</f>
        <v>11</v>
      </c>
      <c r="AW64" s="18">
        <f>INDEX(游戏节奏!$W$4:$W$13,挂机派遣!B64)</f>
        <v>10</v>
      </c>
      <c r="AX64" s="14">
        <v>6</v>
      </c>
      <c r="AY64" s="14">
        <v>10</v>
      </c>
      <c r="AZ64" s="14"/>
      <c r="BC64" s="18" t="s">
        <v>772</v>
      </c>
      <c r="BD64" s="18" t="str">
        <f t="shared" si="70"/>
        <v>600/h</v>
      </c>
      <c r="BE64" s="18" t="s">
        <v>773</v>
      </c>
      <c r="BF64" s="18" t="str">
        <f t="shared" si="71"/>
        <v>660/h</v>
      </c>
      <c r="BG64" s="18" t="s">
        <v>774</v>
      </c>
      <c r="BH64" s="18" t="str">
        <f t="shared" si="72"/>
        <v>660/h</v>
      </c>
      <c r="BJ64" t="str">
        <f t="shared" si="73"/>
        <v>初级红</v>
      </c>
      <c r="BK64" t="str">
        <f t="shared" si="74"/>
        <v>3/h</v>
      </c>
      <c r="BL64" t="str">
        <f t="shared" si="75"/>
        <v>中级红</v>
      </c>
      <c r="BM64" t="str">
        <f t="shared" si="76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677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50"/>
        <v>176.24</v>
      </c>
      <c r="U65" s="18">
        <f t="shared" si="51"/>
        <v>176.24</v>
      </c>
      <c r="V65" s="18">
        <f t="shared" si="52"/>
        <v>0</v>
      </c>
      <c r="W65" s="18">
        <f t="shared" si="53"/>
        <v>0</v>
      </c>
      <c r="X65" s="18">
        <f t="shared" si="54"/>
        <v>52.872000000000007</v>
      </c>
      <c r="Y65" s="18">
        <f t="shared" si="55"/>
        <v>13.218000000000002</v>
      </c>
      <c r="Z65" s="18">
        <f t="shared" si="56"/>
        <v>0</v>
      </c>
      <c r="AA65" s="18">
        <f t="shared" si="57"/>
        <v>0</v>
      </c>
      <c r="AB65" s="18">
        <f t="shared" si="58"/>
        <v>72000</v>
      </c>
      <c r="AD65" s="31">
        <f t="shared" si="59"/>
        <v>0</v>
      </c>
      <c r="AE65" s="31">
        <f t="shared" si="60"/>
        <v>0</v>
      </c>
      <c r="AF65" s="31">
        <f t="shared" si="61"/>
        <v>0</v>
      </c>
      <c r="AG65" s="31">
        <f t="shared" si="62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80"/>
        <v>0</v>
      </c>
      <c r="AQ65" s="18">
        <f t="shared" si="66"/>
        <v>0</v>
      </c>
      <c r="AR65" s="18">
        <f t="shared" si="67"/>
        <v>0</v>
      </c>
      <c r="AS65" s="18">
        <f t="shared" si="68"/>
        <v>0</v>
      </c>
      <c r="AT65" s="18">
        <f t="shared" si="69"/>
        <v>0</v>
      </c>
      <c r="AU65" s="18">
        <f>INDEX(游戏节奏!$V$4:$V$13,挂机派遣!B65)</f>
        <v>11</v>
      </c>
      <c r="AV65" s="18">
        <f>INDEX(游戏节奏!$V$4:$V$13,挂机派遣!B65)</f>
        <v>11</v>
      </c>
      <c r="AW65" s="18">
        <f>INDEX(游戏节奏!$W$4:$W$13,挂机派遣!B65)</f>
        <v>10</v>
      </c>
      <c r="AX65" s="14">
        <v>7</v>
      </c>
      <c r="AY65" s="14">
        <v>11</v>
      </c>
      <c r="AZ65" s="14"/>
      <c r="BC65" s="18" t="s">
        <v>772</v>
      </c>
      <c r="BD65" s="18" t="str">
        <f t="shared" si="70"/>
        <v>600/h</v>
      </c>
      <c r="BE65" s="18" t="s">
        <v>773</v>
      </c>
      <c r="BF65" s="18" t="str">
        <f t="shared" si="71"/>
        <v>660/h</v>
      </c>
      <c r="BG65" s="18" t="s">
        <v>774</v>
      </c>
      <c r="BH65" s="18" t="str">
        <f t="shared" si="72"/>
        <v>660/h</v>
      </c>
      <c r="BJ65" t="str">
        <f t="shared" si="73"/>
        <v>初级黄</v>
      </c>
      <c r="BK65" t="str">
        <f t="shared" si="74"/>
        <v>3/h</v>
      </c>
      <c r="BL65" t="str">
        <f t="shared" si="75"/>
        <v>中级黄</v>
      </c>
      <c r="BM65" t="str">
        <f t="shared" si="76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678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50"/>
        <v>180.84000000000003</v>
      </c>
      <c r="U66" s="18">
        <f t="shared" si="51"/>
        <v>180.84000000000003</v>
      </c>
      <c r="V66" s="18">
        <f t="shared" si="52"/>
        <v>0</v>
      </c>
      <c r="W66" s="18">
        <f t="shared" si="53"/>
        <v>0</v>
      </c>
      <c r="X66" s="18">
        <f t="shared" si="54"/>
        <v>54.25200000000001</v>
      </c>
      <c r="Y66" s="18">
        <f t="shared" si="55"/>
        <v>13.563000000000002</v>
      </c>
      <c r="Z66" s="18">
        <f t="shared" si="56"/>
        <v>0</v>
      </c>
      <c r="AA66" s="18">
        <f t="shared" si="57"/>
        <v>0</v>
      </c>
      <c r="AB66" s="18">
        <f t="shared" si="58"/>
        <v>72000</v>
      </c>
      <c r="AD66" s="31">
        <f t="shared" si="59"/>
        <v>0</v>
      </c>
      <c r="AE66" s="31">
        <f t="shared" si="60"/>
        <v>0</v>
      </c>
      <c r="AF66" s="31">
        <f t="shared" si="61"/>
        <v>0</v>
      </c>
      <c r="AG66" s="31">
        <f t="shared" si="62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80"/>
        <v>0</v>
      </c>
      <c r="AQ66" s="18">
        <f t="shared" si="66"/>
        <v>0</v>
      </c>
      <c r="AR66" s="18">
        <f t="shared" si="67"/>
        <v>0</v>
      </c>
      <c r="AS66" s="18">
        <f t="shared" si="68"/>
        <v>0</v>
      </c>
      <c r="AT66" s="18">
        <f t="shared" si="69"/>
        <v>0</v>
      </c>
      <c r="AU66" s="18">
        <f>INDEX(游戏节奏!$V$4:$V$13,挂机派遣!B66)</f>
        <v>11</v>
      </c>
      <c r="AV66" s="18">
        <f>INDEX(游戏节奏!$V$4:$V$13,挂机派遣!B66)</f>
        <v>11</v>
      </c>
      <c r="AW66" s="18">
        <f>INDEX(游戏节奏!$W$4:$W$13,挂机派遣!B66)</f>
        <v>10</v>
      </c>
      <c r="AX66" s="14">
        <v>5</v>
      </c>
      <c r="AY66" s="14">
        <v>9</v>
      </c>
      <c r="AZ66" s="14"/>
      <c r="BC66" s="18" t="s">
        <v>772</v>
      </c>
      <c r="BD66" s="18" t="str">
        <f t="shared" si="70"/>
        <v>600/h</v>
      </c>
      <c r="BE66" s="18" t="s">
        <v>773</v>
      </c>
      <c r="BF66" s="18" t="str">
        <f t="shared" si="71"/>
        <v>660/h</v>
      </c>
      <c r="BG66" s="18" t="s">
        <v>774</v>
      </c>
      <c r="BH66" s="18" t="str">
        <f t="shared" si="72"/>
        <v>660/h</v>
      </c>
      <c r="BJ66" t="str">
        <f t="shared" si="73"/>
        <v>初级蓝</v>
      </c>
      <c r="BK66" t="str">
        <f t="shared" si="74"/>
        <v>3/h</v>
      </c>
      <c r="BL66" t="str">
        <f t="shared" si="75"/>
        <v>中级蓝</v>
      </c>
      <c r="BM66" t="str">
        <f t="shared" si="76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692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50"/>
        <v>0</v>
      </c>
      <c r="U67" s="18">
        <f t="shared" si="51"/>
        <v>184.84000000000003</v>
      </c>
      <c r="V67" s="18">
        <f t="shared" si="52"/>
        <v>55.452000000000005</v>
      </c>
      <c r="W67" s="18">
        <f t="shared" si="53"/>
        <v>0</v>
      </c>
      <c r="X67" s="18">
        <f t="shared" si="54"/>
        <v>55.452000000000005</v>
      </c>
      <c r="Y67" s="18">
        <f t="shared" si="55"/>
        <v>55.452000000000005</v>
      </c>
      <c r="Z67" s="18">
        <f t="shared" si="56"/>
        <v>0</v>
      </c>
      <c r="AA67" s="18">
        <f t="shared" si="57"/>
        <v>0</v>
      </c>
      <c r="AB67" s="18">
        <f t="shared" si="58"/>
        <v>96000</v>
      </c>
      <c r="AD67" s="31">
        <f t="shared" si="59"/>
        <v>0</v>
      </c>
      <c r="AE67" s="31">
        <f t="shared" si="60"/>
        <v>0</v>
      </c>
      <c r="AF67" s="31">
        <f t="shared" si="61"/>
        <v>0</v>
      </c>
      <c r="AG67" s="31">
        <f t="shared" si="62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80"/>
        <v>0</v>
      </c>
      <c r="AQ67" s="18">
        <f t="shared" si="66"/>
        <v>0</v>
      </c>
      <c r="AR67" s="18">
        <f t="shared" si="67"/>
        <v>0</v>
      </c>
      <c r="AS67" s="18">
        <f t="shared" si="68"/>
        <v>0</v>
      </c>
      <c r="AT67" s="18">
        <f t="shared" si="69"/>
        <v>0</v>
      </c>
      <c r="AU67" s="18">
        <f>INDEX(游戏节奏!$V$4:$V$13,挂机派遣!B67)</f>
        <v>11</v>
      </c>
      <c r="AV67" s="18">
        <f>INDEX(游戏节奏!$V$4:$V$13,挂机派遣!B67)</f>
        <v>11</v>
      </c>
      <c r="AW67" s="18">
        <f>INDEX(游戏节奏!$W$4:$W$13,挂机派遣!B67)</f>
        <v>10</v>
      </c>
      <c r="AX67" s="14">
        <v>6</v>
      </c>
      <c r="AY67" s="14">
        <v>10</v>
      </c>
      <c r="AZ67" s="14"/>
      <c r="BC67" s="18" t="s">
        <v>772</v>
      </c>
      <c r="BD67" s="18" t="str">
        <f t="shared" si="70"/>
        <v>600/h</v>
      </c>
      <c r="BE67" s="18" t="s">
        <v>773</v>
      </c>
      <c r="BF67" s="18" t="str">
        <f t="shared" si="71"/>
        <v>660/h</v>
      </c>
      <c r="BG67" s="18" t="s">
        <v>774</v>
      </c>
      <c r="BH67" s="18" t="str">
        <f t="shared" si="72"/>
        <v>660/h</v>
      </c>
      <c r="BJ67" t="str">
        <f t="shared" si="73"/>
        <v>初级红</v>
      </c>
      <c r="BK67" t="str">
        <f t="shared" si="74"/>
        <v>3/h</v>
      </c>
      <c r="BL67" t="str">
        <f t="shared" si="75"/>
        <v>中级红</v>
      </c>
      <c r="BM67" t="str">
        <f t="shared" si="76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683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50"/>
        <v>0</v>
      </c>
      <c r="U68" s="18">
        <f t="shared" si="51"/>
        <v>188.84000000000003</v>
      </c>
      <c r="V68" s="18">
        <f t="shared" si="52"/>
        <v>56.652000000000008</v>
      </c>
      <c r="W68" s="18">
        <f t="shared" si="53"/>
        <v>0</v>
      </c>
      <c r="X68" s="18">
        <f t="shared" si="54"/>
        <v>56.652000000000008</v>
      </c>
      <c r="Y68" s="18">
        <f t="shared" si="55"/>
        <v>56.652000000000008</v>
      </c>
      <c r="Z68" s="18">
        <f t="shared" si="56"/>
        <v>0</v>
      </c>
      <c r="AA68" s="18">
        <f t="shared" si="57"/>
        <v>0</v>
      </c>
      <c r="AB68" s="18">
        <f t="shared" si="58"/>
        <v>96000</v>
      </c>
      <c r="AD68" s="31">
        <f t="shared" ref="AD68:AD99" si="81">F68*C$2</f>
        <v>0</v>
      </c>
      <c r="AE68" s="31">
        <f t="shared" ref="AE68:AE99" si="82">G68*D$2</f>
        <v>0</v>
      </c>
      <c r="AF68" s="31">
        <f t="shared" ref="AF68:AF99" si="83">H68*E$2</f>
        <v>0</v>
      </c>
      <c r="AG68" s="31">
        <f t="shared" ref="AG68:AG99" si="84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80"/>
        <v>0</v>
      </c>
      <c r="AQ68" s="18">
        <f t="shared" si="66"/>
        <v>0</v>
      </c>
      <c r="AR68" s="18">
        <f t="shared" si="67"/>
        <v>0</v>
      </c>
      <c r="AS68" s="18">
        <f t="shared" si="68"/>
        <v>0</v>
      </c>
      <c r="AT68" s="18">
        <f t="shared" si="69"/>
        <v>0</v>
      </c>
      <c r="AU68" s="18">
        <f>INDEX(游戏节奏!$V$4:$V$13,挂机派遣!B68)</f>
        <v>11</v>
      </c>
      <c r="AV68" s="18">
        <f>INDEX(游戏节奏!$V$4:$V$13,挂机派遣!B68)</f>
        <v>11</v>
      </c>
      <c r="AW68" s="18">
        <f>INDEX(游戏节奏!$W$4:$W$13,挂机派遣!B68)</f>
        <v>10</v>
      </c>
      <c r="AX68" s="14">
        <v>7</v>
      </c>
      <c r="AY68" s="14">
        <v>11</v>
      </c>
      <c r="AZ68" s="14"/>
      <c r="BC68" s="18" t="s">
        <v>772</v>
      </c>
      <c r="BD68" s="18" t="str">
        <f t="shared" si="70"/>
        <v>600/h</v>
      </c>
      <c r="BE68" s="18" t="s">
        <v>773</v>
      </c>
      <c r="BF68" s="18" t="str">
        <f t="shared" si="71"/>
        <v>660/h</v>
      </c>
      <c r="BG68" s="18" t="s">
        <v>774</v>
      </c>
      <c r="BH68" s="18" t="str">
        <f t="shared" si="72"/>
        <v>660/h</v>
      </c>
      <c r="BJ68" t="str">
        <f t="shared" si="73"/>
        <v>初级黄</v>
      </c>
      <c r="BK68" t="str">
        <f t="shared" si="74"/>
        <v>3/h</v>
      </c>
      <c r="BL68" t="str">
        <f t="shared" si="75"/>
        <v>中级黄</v>
      </c>
      <c r="BM68" t="str">
        <f t="shared" si="76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685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50"/>
        <v>0</v>
      </c>
      <c r="U69" s="18">
        <f t="shared" si="51"/>
        <v>192.84000000000003</v>
      </c>
      <c r="V69" s="18">
        <f t="shared" si="52"/>
        <v>57.852000000000011</v>
      </c>
      <c r="W69" s="18">
        <f t="shared" si="53"/>
        <v>0</v>
      </c>
      <c r="X69" s="18">
        <f t="shared" si="54"/>
        <v>57.852000000000011</v>
      </c>
      <c r="Y69" s="18">
        <f t="shared" si="55"/>
        <v>57.852000000000011</v>
      </c>
      <c r="Z69" s="18">
        <f t="shared" si="56"/>
        <v>0</v>
      </c>
      <c r="AA69" s="18">
        <f t="shared" si="57"/>
        <v>0</v>
      </c>
      <c r="AB69" s="18">
        <f t="shared" si="58"/>
        <v>96000</v>
      </c>
      <c r="AD69" s="31">
        <f t="shared" si="81"/>
        <v>0</v>
      </c>
      <c r="AE69" s="31">
        <f t="shared" si="82"/>
        <v>0</v>
      </c>
      <c r="AF69" s="31">
        <f t="shared" si="83"/>
        <v>0</v>
      </c>
      <c r="AG69" s="31">
        <f t="shared" si="84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85">K69*H$2</f>
        <v>0.25</v>
      </c>
      <c r="AP69" s="18">
        <f t="shared" si="80"/>
        <v>0</v>
      </c>
      <c r="AQ69" s="18">
        <f t="shared" si="66"/>
        <v>0</v>
      </c>
      <c r="AR69" s="18">
        <f t="shared" si="67"/>
        <v>0</v>
      </c>
      <c r="AS69" s="18">
        <f t="shared" si="68"/>
        <v>0</v>
      </c>
      <c r="AT69" s="18">
        <f t="shared" si="69"/>
        <v>0</v>
      </c>
      <c r="AU69" s="18">
        <f>INDEX(游戏节奏!$V$4:$V$13,挂机派遣!B69)</f>
        <v>11</v>
      </c>
      <c r="AV69" s="18">
        <f>INDEX(游戏节奏!$V$4:$V$13,挂机派遣!B69)</f>
        <v>11</v>
      </c>
      <c r="AW69" s="18">
        <f>INDEX(游戏节奏!$W$4:$W$13,挂机派遣!B69)</f>
        <v>10</v>
      </c>
      <c r="AX69" s="14">
        <v>8</v>
      </c>
      <c r="AY69" s="14">
        <v>12</v>
      </c>
      <c r="AZ69" s="14"/>
      <c r="BC69" s="18" t="s">
        <v>772</v>
      </c>
      <c r="BD69" s="18" t="str">
        <f t="shared" si="70"/>
        <v>600/h</v>
      </c>
      <c r="BE69" s="18" t="s">
        <v>773</v>
      </c>
      <c r="BF69" s="18" t="str">
        <f t="shared" si="71"/>
        <v>660/h</v>
      </c>
      <c r="BG69" s="18" t="s">
        <v>774</v>
      </c>
      <c r="BH69" s="18" t="str">
        <f t="shared" si="72"/>
        <v>660/h</v>
      </c>
      <c r="BJ69" t="str">
        <f t="shared" si="73"/>
        <v>初级三才宝箱</v>
      </c>
      <c r="BK69" t="str">
        <f t="shared" si="74"/>
        <v>3/h</v>
      </c>
      <c r="BL69" t="str">
        <f t="shared" si="75"/>
        <v>中级三才宝箱</v>
      </c>
      <c r="BM69" t="str">
        <f t="shared" si="76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693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50"/>
        <v>0</v>
      </c>
      <c r="U70" s="18">
        <f t="shared" si="51"/>
        <v>196.84000000000003</v>
      </c>
      <c r="V70" s="18">
        <f t="shared" si="52"/>
        <v>59.052000000000014</v>
      </c>
      <c r="W70" s="18">
        <f t="shared" si="53"/>
        <v>0</v>
      </c>
      <c r="X70" s="18">
        <f t="shared" si="54"/>
        <v>59.052000000000014</v>
      </c>
      <c r="Y70" s="18">
        <f t="shared" si="55"/>
        <v>59.052000000000014</v>
      </c>
      <c r="Z70" s="18">
        <f t="shared" si="56"/>
        <v>0</v>
      </c>
      <c r="AA70" s="18">
        <f t="shared" si="57"/>
        <v>0</v>
      </c>
      <c r="AB70" s="18">
        <f t="shared" si="58"/>
        <v>96000</v>
      </c>
      <c r="AD70" s="31">
        <f t="shared" si="81"/>
        <v>0</v>
      </c>
      <c r="AE70" s="31">
        <f t="shared" si="82"/>
        <v>0</v>
      </c>
      <c r="AF70" s="31">
        <f t="shared" si="83"/>
        <v>0</v>
      </c>
      <c r="AG70" s="31">
        <f t="shared" si="84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85"/>
        <v>0.25</v>
      </c>
      <c r="AP70" s="18">
        <f t="shared" si="80"/>
        <v>0</v>
      </c>
      <c r="AQ70" s="18">
        <f t="shared" si="66"/>
        <v>0</v>
      </c>
      <c r="AR70" s="18">
        <f t="shared" si="67"/>
        <v>0</v>
      </c>
      <c r="AS70" s="18">
        <f t="shared" si="68"/>
        <v>0</v>
      </c>
      <c r="AT70" s="18">
        <f t="shared" si="69"/>
        <v>0</v>
      </c>
      <c r="AU70" s="18">
        <f>INDEX(游戏节奏!$V$4:$V$13,挂机派遣!B70)</f>
        <v>11</v>
      </c>
      <c r="AV70" s="18">
        <f>INDEX(游戏节奏!$V$4:$V$13,挂机派遣!B70)</f>
        <v>11</v>
      </c>
      <c r="AW70" s="18">
        <f>INDEX(游戏节奏!$W$4:$W$13,挂机派遣!B70)</f>
        <v>10</v>
      </c>
      <c r="AX70" s="14">
        <v>8</v>
      </c>
      <c r="AY70" s="14">
        <v>12</v>
      </c>
      <c r="AZ70" s="14"/>
      <c r="BC70" s="18" t="s">
        <v>772</v>
      </c>
      <c r="BD70" s="18" t="str">
        <f t="shared" si="70"/>
        <v>600/h</v>
      </c>
      <c r="BE70" s="18" t="s">
        <v>773</v>
      </c>
      <c r="BF70" s="18" t="str">
        <f t="shared" si="71"/>
        <v>660/h</v>
      </c>
      <c r="BG70" s="18" t="s">
        <v>774</v>
      </c>
      <c r="BH70" s="18" t="str">
        <f t="shared" si="72"/>
        <v>660/h</v>
      </c>
      <c r="BJ70" t="str">
        <f t="shared" si="73"/>
        <v>初级三才宝箱</v>
      </c>
      <c r="BK70" t="str">
        <f t="shared" si="74"/>
        <v>3/h</v>
      </c>
      <c r="BL70" t="str">
        <f t="shared" si="75"/>
        <v>中级三才宝箱</v>
      </c>
      <c r="BM70" t="str">
        <f t="shared" si="76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668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50"/>
        <v>0</v>
      </c>
      <c r="U71" s="18">
        <f t="shared" si="51"/>
        <v>200.84000000000003</v>
      </c>
      <c r="V71" s="18">
        <f t="shared" si="52"/>
        <v>60.25200000000001</v>
      </c>
      <c r="W71" s="18">
        <f t="shared" si="53"/>
        <v>0</v>
      </c>
      <c r="X71" s="18">
        <f t="shared" si="54"/>
        <v>60.25200000000001</v>
      </c>
      <c r="Y71" s="18">
        <f t="shared" si="55"/>
        <v>60.25200000000001</v>
      </c>
      <c r="Z71" s="18">
        <f t="shared" si="56"/>
        <v>0</v>
      </c>
      <c r="AA71" s="18">
        <f t="shared" si="57"/>
        <v>0</v>
      </c>
      <c r="AB71" s="18">
        <f t="shared" si="58"/>
        <v>115200</v>
      </c>
      <c r="AD71" s="31">
        <f t="shared" si="81"/>
        <v>0</v>
      </c>
      <c r="AE71" s="31">
        <f t="shared" si="82"/>
        <v>0.5</v>
      </c>
      <c r="AF71" s="31">
        <f t="shared" si="83"/>
        <v>0.06</v>
      </c>
      <c r="AG71" s="31">
        <f t="shared" si="84"/>
        <v>0</v>
      </c>
      <c r="AH71" s="31">
        <f t="shared" ref="AH71:AH78" si="86">J71*G$2</f>
        <v>0</v>
      </c>
      <c r="AI71" s="18">
        <f t="shared" ref="AI71:AI77" si="87">J71*G$2</f>
        <v>0</v>
      </c>
      <c r="AJ71" s="18">
        <f t="shared" ref="AJ71:AJ77" si="88">J71*G$2</f>
        <v>0</v>
      </c>
      <c r="AK71" s="18">
        <v>0</v>
      </c>
      <c r="AL71" s="18">
        <f t="shared" ref="AL71:AL78" si="89">K71*H$2</f>
        <v>0</v>
      </c>
      <c r="AM71" s="18">
        <f t="shared" ref="AM71:AM77" si="90">K71*H$2</f>
        <v>0</v>
      </c>
      <c r="AN71" s="18">
        <f t="shared" ref="AN71:AN77" si="91">K71*H$2</f>
        <v>0</v>
      </c>
      <c r="AO71" s="18">
        <f t="shared" si="85"/>
        <v>0</v>
      </c>
      <c r="AP71" s="18">
        <f t="shared" si="80"/>
        <v>0</v>
      </c>
      <c r="AQ71" s="18">
        <f t="shared" si="66"/>
        <v>0</v>
      </c>
      <c r="AR71" s="18">
        <f t="shared" si="67"/>
        <v>0</v>
      </c>
      <c r="AS71" s="18">
        <f t="shared" si="68"/>
        <v>0</v>
      </c>
      <c r="AT71" s="18">
        <f t="shared" si="69"/>
        <v>0</v>
      </c>
      <c r="AU71" s="18">
        <f>INDEX(游戏节奏!$V$4:$V$13,挂机派遣!B71)</f>
        <v>13</v>
      </c>
      <c r="AV71" s="18">
        <f>INDEX(游戏节奏!$V$4:$V$13,挂机派遣!B71)</f>
        <v>13</v>
      </c>
      <c r="AW71" s="18">
        <f>INDEX(游戏节奏!$W$4:$W$13,挂机派遣!B71)</f>
        <v>12</v>
      </c>
      <c r="AX71" s="14">
        <v>2</v>
      </c>
      <c r="AY71" s="14">
        <v>3</v>
      </c>
      <c r="AZ71" s="14"/>
      <c r="BC71" s="18" t="s">
        <v>772</v>
      </c>
      <c r="BD71" s="18" t="str">
        <f t="shared" si="70"/>
        <v>720/h</v>
      </c>
      <c r="BE71" s="18" t="s">
        <v>773</v>
      </c>
      <c r="BF71" s="18" t="str">
        <f t="shared" si="71"/>
        <v>780/h</v>
      </c>
      <c r="BG71" s="18" t="s">
        <v>774</v>
      </c>
      <c r="BH71" s="18" t="str">
        <f t="shared" si="72"/>
        <v>780/h</v>
      </c>
      <c r="BJ71" t="str">
        <f t="shared" si="73"/>
        <v>蓝色基础材料</v>
      </c>
      <c r="BK71" t="str">
        <f t="shared" si="74"/>
        <v>5/h</v>
      </c>
      <c r="BL71" t="str">
        <f t="shared" si="75"/>
        <v>紫色基础材料</v>
      </c>
      <c r="BM71" t="str">
        <f t="shared" si="76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669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50"/>
        <v>0</v>
      </c>
      <c r="U72" s="18">
        <f t="shared" si="51"/>
        <v>204.84000000000003</v>
      </c>
      <c r="V72" s="18">
        <f t="shared" si="52"/>
        <v>61.452000000000012</v>
      </c>
      <c r="W72" s="18">
        <f t="shared" si="53"/>
        <v>0</v>
      </c>
      <c r="X72" s="18">
        <f t="shared" si="54"/>
        <v>61.452000000000012</v>
      </c>
      <c r="Y72" s="18">
        <f t="shared" si="55"/>
        <v>61.452000000000012</v>
      </c>
      <c r="Z72" s="18">
        <f t="shared" si="56"/>
        <v>0</v>
      </c>
      <c r="AA72" s="18">
        <f t="shared" si="57"/>
        <v>0</v>
      </c>
      <c r="AB72" s="18">
        <f t="shared" si="58"/>
        <v>115200</v>
      </c>
      <c r="AD72" s="31">
        <f t="shared" si="81"/>
        <v>0</v>
      </c>
      <c r="AE72" s="31">
        <f t="shared" si="82"/>
        <v>0.5</v>
      </c>
      <c r="AF72" s="31">
        <f t="shared" si="83"/>
        <v>7.4999999999999997E-2</v>
      </c>
      <c r="AG72" s="31">
        <f t="shared" si="84"/>
        <v>0</v>
      </c>
      <c r="AH72" s="31">
        <f t="shared" si="86"/>
        <v>0</v>
      </c>
      <c r="AI72" s="18">
        <f t="shared" si="87"/>
        <v>0</v>
      </c>
      <c r="AJ72" s="18">
        <f t="shared" si="88"/>
        <v>0</v>
      </c>
      <c r="AK72" s="18">
        <v>0</v>
      </c>
      <c r="AL72" s="18">
        <f t="shared" si="89"/>
        <v>0</v>
      </c>
      <c r="AM72" s="18">
        <f t="shared" si="90"/>
        <v>0</v>
      </c>
      <c r="AN72" s="18">
        <f t="shared" si="91"/>
        <v>0</v>
      </c>
      <c r="AO72" s="18">
        <f t="shared" si="85"/>
        <v>0</v>
      </c>
      <c r="AP72" s="18">
        <f t="shared" si="80"/>
        <v>0</v>
      </c>
      <c r="AQ72" s="18">
        <f t="shared" si="66"/>
        <v>0</v>
      </c>
      <c r="AR72" s="18">
        <f t="shared" si="67"/>
        <v>0</v>
      </c>
      <c r="AS72" s="18">
        <f t="shared" si="68"/>
        <v>0</v>
      </c>
      <c r="AT72" s="18">
        <f t="shared" si="69"/>
        <v>0</v>
      </c>
      <c r="AU72" s="18">
        <f>INDEX(游戏节奏!$V$4:$V$13,挂机派遣!B72)</f>
        <v>13</v>
      </c>
      <c r="AV72" s="18">
        <f>INDEX(游戏节奏!$V$4:$V$13,挂机派遣!B72)</f>
        <v>13</v>
      </c>
      <c r="AW72" s="18">
        <f>INDEX(游戏节奏!$W$4:$W$13,挂机派遣!B72)</f>
        <v>12</v>
      </c>
      <c r="AX72" s="14">
        <v>2</v>
      </c>
      <c r="AY72" s="14">
        <v>3</v>
      </c>
      <c r="AZ72" s="14"/>
      <c r="BC72" s="18" t="s">
        <v>772</v>
      </c>
      <c r="BD72" s="18" t="str">
        <f t="shared" si="70"/>
        <v>720/h</v>
      </c>
      <c r="BE72" s="18" t="s">
        <v>773</v>
      </c>
      <c r="BF72" s="18" t="str">
        <f t="shared" si="71"/>
        <v>780/h</v>
      </c>
      <c r="BG72" s="18" t="s">
        <v>774</v>
      </c>
      <c r="BH72" s="18" t="str">
        <f t="shared" si="72"/>
        <v>780/h</v>
      </c>
      <c r="BJ72" t="str">
        <f t="shared" si="73"/>
        <v>蓝色基础材料</v>
      </c>
      <c r="BK72" t="str">
        <f t="shared" si="74"/>
        <v>5/h</v>
      </c>
      <c r="BL72" t="str">
        <f t="shared" si="75"/>
        <v>紫色基础材料</v>
      </c>
      <c r="BM72" t="str">
        <f t="shared" si="76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665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50"/>
        <v>0</v>
      </c>
      <c r="U73" s="18">
        <f t="shared" si="51"/>
        <v>208.84000000000006</v>
      </c>
      <c r="V73" s="18">
        <f t="shared" si="52"/>
        <v>62.652000000000015</v>
      </c>
      <c r="W73" s="18">
        <f t="shared" si="53"/>
        <v>0</v>
      </c>
      <c r="X73" s="18">
        <f t="shared" si="54"/>
        <v>62.652000000000015</v>
      </c>
      <c r="Y73" s="18">
        <f t="shared" si="55"/>
        <v>62.652000000000015</v>
      </c>
      <c r="Z73" s="18">
        <f t="shared" si="56"/>
        <v>0</v>
      </c>
      <c r="AA73" s="18">
        <f t="shared" si="57"/>
        <v>0</v>
      </c>
      <c r="AB73" s="18">
        <f t="shared" si="58"/>
        <v>115200</v>
      </c>
      <c r="AD73" s="31">
        <f t="shared" si="81"/>
        <v>0</v>
      </c>
      <c r="AE73" s="31">
        <f t="shared" si="82"/>
        <v>0.5</v>
      </c>
      <c r="AF73" s="31">
        <f t="shared" si="83"/>
        <v>0.09</v>
      </c>
      <c r="AG73" s="31">
        <f t="shared" si="84"/>
        <v>0</v>
      </c>
      <c r="AH73" s="31">
        <f t="shared" si="86"/>
        <v>0</v>
      </c>
      <c r="AI73" s="18">
        <f t="shared" si="87"/>
        <v>0</v>
      </c>
      <c r="AJ73" s="18">
        <f t="shared" si="88"/>
        <v>0</v>
      </c>
      <c r="AK73" s="18">
        <v>0</v>
      </c>
      <c r="AL73" s="18">
        <f t="shared" si="89"/>
        <v>0</v>
      </c>
      <c r="AM73" s="18">
        <f t="shared" si="90"/>
        <v>0</v>
      </c>
      <c r="AN73" s="18">
        <f t="shared" si="91"/>
        <v>0</v>
      </c>
      <c r="AO73" s="18">
        <f t="shared" si="85"/>
        <v>0</v>
      </c>
      <c r="AP73" s="18">
        <f t="shared" si="80"/>
        <v>0</v>
      </c>
      <c r="AQ73" s="18">
        <f t="shared" si="66"/>
        <v>0</v>
      </c>
      <c r="AR73" s="18">
        <f t="shared" si="67"/>
        <v>0</v>
      </c>
      <c r="AS73" s="18">
        <f t="shared" si="68"/>
        <v>0</v>
      </c>
      <c r="AT73" s="18">
        <f t="shared" si="69"/>
        <v>0</v>
      </c>
      <c r="AU73" s="18">
        <f>INDEX(游戏节奏!$V$4:$V$13,挂机派遣!B73)</f>
        <v>13</v>
      </c>
      <c r="AV73" s="18">
        <f>INDEX(游戏节奏!$V$4:$V$13,挂机派遣!B73)</f>
        <v>13</v>
      </c>
      <c r="AW73" s="18">
        <f>INDEX(游戏节奏!$W$4:$W$13,挂机派遣!B73)</f>
        <v>12</v>
      </c>
      <c r="AX73" s="14">
        <v>2</v>
      </c>
      <c r="AY73" s="14">
        <v>3</v>
      </c>
      <c r="AZ73" s="14"/>
      <c r="BC73" s="18" t="s">
        <v>772</v>
      </c>
      <c r="BD73" s="18" t="str">
        <f t="shared" si="70"/>
        <v>720/h</v>
      </c>
      <c r="BE73" s="18" t="s">
        <v>773</v>
      </c>
      <c r="BF73" s="18" t="str">
        <f t="shared" si="71"/>
        <v>780/h</v>
      </c>
      <c r="BG73" s="18" t="s">
        <v>774</v>
      </c>
      <c r="BH73" s="18" t="str">
        <f t="shared" si="72"/>
        <v>780/h</v>
      </c>
      <c r="BJ73" t="str">
        <f t="shared" si="73"/>
        <v>蓝色基础材料</v>
      </c>
      <c r="BK73" t="str">
        <f t="shared" si="74"/>
        <v>5/h</v>
      </c>
      <c r="BL73" t="str">
        <f t="shared" si="75"/>
        <v>紫色基础材料</v>
      </c>
      <c r="BM73" t="str">
        <f t="shared" si="76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671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50"/>
        <v>0</v>
      </c>
      <c r="U74" s="18">
        <f t="shared" si="51"/>
        <v>212.84000000000006</v>
      </c>
      <c r="V74" s="18">
        <f t="shared" si="52"/>
        <v>63.852000000000018</v>
      </c>
      <c r="W74" s="18">
        <f t="shared" si="53"/>
        <v>0</v>
      </c>
      <c r="X74" s="18">
        <f t="shared" si="54"/>
        <v>63.852000000000018</v>
      </c>
      <c r="Y74" s="18">
        <f t="shared" si="55"/>
        <v>63.852000000000018</v>
      </c>
      <c r="Z74" s="18">
        <f t="shared" si="56"/>
        <v>0</v>
      </c>
      <c r="AA74" s="18">
        <f t="shared" si="57"/>
        <v>0</v>
      </c>
      <c r="AB74" s="18">
        <f t="shared" si="58"/>
        <v>115200</v>
      </c>
      <c r="AD74" s="31">
        <f t="shared" si="81"/>
        <v>0</v>
      </c>
      <c r="AE74" s="31">
        <f t="shared" si="82"/>
        <v>0.5</v>
      </c>
      <c r="AF74" s="31">
        <f t="shared" si="83"/>
        <v>0.105</v>
      </c>
      <c r="AG74" s="31">
        <f t="shared" si="84"/>
        <v>0</v>
      </c>
      <c r="AH74" s="31">
        <f t="shared" si="86"/>
        <v>0</v>
      </c>
      <c r="AI74" s="18">
        <f t="shared" si="87"/>
        <v>0</v>
      </c>
      <c r="AJ74" s="18">
        <f t="shared" si="88"/>
        <v>0</v>
      </c>
      <c r="AK74" s="18">
        <v>0</v>
      </c>
      <c r="AL74" s="18">
        <f t="shared" si="89"/>
        <v>0</v>
      </c>
      <c r="AM74" s="18">
        <f t="shared" si="90"/>
        <v>0</v>
      </c>
      <c r="AN74" s="18">
        <f t="shared" si="91"/>
        <v>0</v>
      </c>
      <c r="AO74" s="18">
        <f t="shared" si="85"/>
        <v>0</v>
      </c>
      <c r="AP74" s="18">
        <f t="shared" si="80"/>
        <v>0</v>
      </c>
      <c r="AQ74" s="18">
        <f t="shared" si="66"/>
        <v>0</v>
      </c>
      <c r="AR74" s="18">
        <f t="shared" si="67"/>
        <v>0</v>
      </c>
      <c r="AS74" s="18">
        <f t="shared" si="68"/>
        <v>0</v>
      </c>
      <c r="AT74" s="18">
        <f t="shared" si="69"/>
        <v>0</v>
      </c>
      <c r="AU74" s="18">
        <f>INDEX(游戏节奏!$V$4:$V$13,挂机派遣!B74)</f>
        <v>13</v>
      </c>
      <c r="AV74" s="18">
        <f>INDEX(游戏节奏!$V$4:$V$13,挂机派遣!B74)</f>
        <v>13</v>
      </c>
      <c r="AW74" s="18">
        <f>INDEX(游戏节奏!$W$4:$W$13,挂机派遣!B74)</f>
        <v>12</v>
      </c>
      <c r="AX74" s="14">
        <v>2</v>
      </c>
      <c r="AY74" s="14">
        <v>3</v>
      </c>
      <c r="AZ74" s="14"/>
      <c r="BC74" s="18" t="s">
        <v>772</v>
      </c>
      <c r="BD74" s="18" t="str">
        <f t="shared" si="70"/>
        <v>720/h</v>
      </c>
      <c r="BE74" s="18" t="s">
        <v>773</v>
      </c>
      <c r="BF74" s="18" t="str">
        <f t="shared" si="71"/>
        <v>780/h</v>
      </c>
      <c r="BG74" s="18" t="s">
        <v>774</v>
      </c>
      <c r="BH74" s="18" t="str">
        <f t="shared" si="72"/>
        <v>780/h</v>
      </c>
      <c r="BJ74" t="str">
        <f t="shared" si="73"/>
        <v>蓝色基础材料</v>
      </c>
      <c r="BK74" t="str">
        <f t="shared" si="74"/>
        <v>5/h</v>
      </c>
      <c r="BL74" t="str">
        <f t="shared" si="75"/>
        <v>紫色基础材料</v>
      </c>
      <c r="BM74" t="str">
        <f t="shared" si="76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674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50"/>
        <v>0</v>
      </c>
      <c r="U75" s="18">
        <f t="shared" si="51"/>
        <v>216.84000000000006</v>
      </c>
      <c r="V75" s="18">
        <f t="shared" si="52"/>
        <v>65.052000000000021</v>
      </c>
      <c r="W75" s="18">
        <f t="shared" si="53"/>
        <v>0</v>
      </c>
      <c r="X75" s="18">
        <f t="shared" si="54"/>
        <v>65.052000000000021</v>
      </c>
      <c r="Y75" s="18">
        <f t="shared" si="55"/>
        <v>65.052000000000021</v>
      </c>
      <c r="Z75" s="18">
        <f t="shared" si="56"/>
        <v>0</v>
      </c>
      <c r="AA75" s="18">
        <f t="shared" si="57"/>
        <v>0</v>
      </c>
      <c r="AB75" s="18">
        <f t="shared" si="58"/>
        <v>115200</v>
      </c>
      <c r="AD75" s="31">
        <f t="shared" si="81"/>
        <v>0</v>
      </c>
      <c r="AE75" s="31">
        <f t="shared" si="82"/>
        <v>0.5</v>
      </c>
      <c r="AF75" s="31">
        <f t="shared" si="83"/>
        <v>0.12</v>
      </c>
      <c r="AG75" s="31">
        <f t="shared" si="84"/>
        <v>0</v>
      </c>
      <c r="AH75" s="31">
        <f t="shared" si="86"/>
        <v>0</v>
      </c>
      <c r="AI75" s="18">
        <f t="shared" si="87"/>
        <v>0</v>
      </c>
      <c r="AJ75" s="18">
        <f t="shared" si="88"/>
        <v>0</v>
      </c>
      <c r="AK75" s="18">
        <v>0</v>
      </c>
      <c r="AL75" s="18">
        <f t="shared" si="89"/>
        <v>0</v>
      </c>
      <c r="AM75" s="18">
        <f t="shared" si="90"/>
        <v>0</v>
      </c>
      <c r="AN75" s="18">
        <f t="shared" si="91"/>
        <v>0</v>
      </c>
      <c r="AO75" s="18">
        <f t="shared" si="85"/>
        <v>0</v>
      </c>
      <c r="AP75" s="18">
        <f t="shared" si="80"/>
        <v>0</v>
      </c>
      <c r="AQ75" s="18">
        <f t="shared" si="66"/>
        <v>0</v>
      </c>
      <c r="AR75" s="18">
        <f t="shared" si="67"/>
        <v>0</v>
      </c>
      <c r="AS75" s="18">
        <f t="shared" si="68"/>
        <v>0</v>
      </c>
      <c r="AT75" s="18">
        <f t="shared" si="69"/>
        <v>0</v>
      </c>
      <c r="AU75" s="18">
        <f>INDEX(游戏节奏!$V$4:$V$13,挂机派遣!B75)</f>
        <v>13</v>
      </c>
      <c r="AV75" s="18">
        <f>INDEX(游戏节奏!$V$4:$V$13,挂机派遣!B75)</f>
        <v>13</v>
      </c>
      <c r="AW75" s="18">
        <f>INDEX(游戏节奏!$W$4:$W$13,挂机派遣!B75)</f>
        <v>12</v>
      </c>
      <c r="AX75" s="14">
        <v>2</v>
      </c>
      <c r="AY75" s="14">
        <v>3</v>
      </c>
      <c r="AZ75" s="14"/>
      <c r="BC75" s="18" t="s">
        <v>772</v>
      </c>
      <c r="BD75" s="18" t="str">
        <f t="shared" si="70"/>
        <v>720/h</v>
      </c>
      <c r="BE75" s="18" t="s">
        <v>773</v>
      </c>
      <c r="BF75" s="18" t="str">
        <f t="shared" si="71"/>
        <v>780/h</v>
      </c>
      <c r="BG75" s="18" t="s">
        <v>774</v>
      </c>
      <c r="BH75" s="18" t="str">
        <f t="shared" si="72"/>
        <v>780/h</v>
      </c>
      <c r="BJ75" t="str">
        <f t="shared" si="73"/>
        <v>蓝色基础材料</v>
      </c>
      <c r="BK75" t="str">
        <f t="shared" si="74"/>
        <v>5/h</v>
      </c>
      <c r="BL75" t="str">
        <f t="shared" si="75"/>
        <v>紫色基础材料</v>
      </c>
      <c r="BM75" t="str">
        <f t="shared" si="76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675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50"/>
        <v>0</v>
      </c>
      <c r="U76" s="18">
        <f t="shared" si="51"/>
        <v>220.84000000000006</v>
      </c>
      <c r="V76" s="18">
        <f t="shared" si="52"/>
        <v>66.252000000000024</v>
      </c>
      <c r="W76" s="18">
        <f t="shared" si="53"/>
        <v>0</v>
      </c>
      <c r="X76" s="18">
        <f t="shared" si="54"/>
        <v>66.252000000000024</v>
      </c>
      <c r="Y76" s="18">
        <f t="shared" si="55"/>
        <v>66.252000000000024</v>
      </c>
      <c r="Z76" s="18">
        <f t="shared" si="56"/>
        <v>0</v>
      </c>
      <c r="AA76" s="18">
        <f t="shared" si="57"/>
        <v>0</v>
      </c>
      <c r="AB76" s="18">
        <f t="shared" si="58"/>
        <v>115200</v>
      </c>
      <c r="AD76" s="31">
        <f t="shared" si="81"/>
        <v>0</v>
      </c>
      <c r="AE76" s="31">
        <f t="shared" si="82"/>
        <v>0.5</v>
      </c>
      <c r="AF76" s="31">
        <f t="shared" si="83"/>
        <v>0.13500000000000001</v>
      </c>
      <c r="AG76" s="31">
        <f t="shared" si="84"/>
        <v>0</v>
      </c>
      <c r="AH76" s="31">
        <f t="shared" si="86"/>
        <v>0</v>
      </c>
      <c r="AI76" s="18">
        <f t="shared" si="87"/>
        <v>0</v>
      </c>
      <c r="AJ76" s="18">
        <f t="shared" si="88"/>
        <v>0</v>
      </c>
      <c r="AK76" s="18">
        <v>0</v>
      </c>
      <c r="AL76" s="18">
        <f t="shared" si="89"/>
        <v>0</v>
      </c>
      <c r="AM76" s="18">
        <f t="shared" si="90"/>
        <v>0</v>
      </c>
      <c r="AN76" s="18">
        <f t="shared" si="91"/>
        <v>0</v>
      </c>
      <c r="AO76" s="18">
        <f t="shared" si="85"/>
        <v>0</v>
      </c>
      <c r="AP76" s="18">
        <f t="shared" si="80"/>
        <v>0</v>
      </c>
      <c r="AQ76" s="18">
        <f t="shared" si="66"/>
        <v>0</v>
      </c>
      <c r="AR76" s="18">
        <f t="shared" si="67"/>
        <v>0</v>
      </c>
      <c r="AS76" s="18">
        <f t="shared" si="68"/>
        <v>0</v>
      </c>
      <c r="AT76" s="18">
        <f t="shared" si="69"/>
        <v>0</v>
      </c>
      <c r="AU76" s="18">
        <f>INDEX(游戏节奏!$V$4:$V$13,挂机派遣!B76)</f>
        <v>13</v>
      </c>
      <c r="AV76" s="18">
        <f>INDEX(游戏节奏!$V$4:$V$13,挂机派遣!B76)</f>
        <v>13</v>
      </c>
      <c r="AW76" s="18">
        <f>INDEX(游戏节奏!$W$4:$W$13,挂机派遣!B76)</f>
        <v>12</v>
      </c>
      <c r="AX76" s="14">
        <v>2</v>
      </c>
      <c r="AY76" s="14">
        <v>3</v>
      </c>
      <c r="AZ76" s="14"/>
      <c r="BC76" s="18" t="s">
        <v>772</v>
      </c>
      <c r="BD76" s="18" t="str">
        <f t="shared" si="70"/>
        <v>720/h</v>
      </c>
      <c r="BE76" s="18" t="s">
        <v>773</v>
      </c>
      <c r="BF76" s="18" t="str">
        <f t="shared" si="71"/>
        <v>780/h</v>
      </c>
      <c r="BG76" s="18" t="s">
        <v>774</v>
      </c>
      <c r="BH76" s="18" t="str">
        <f t="shared" si="72"/>
        <v>780/h</v>
      </c>
      <c r="BJ76" t="str">
        <f t="shared" si="73"/>
        <v>蓝色基础材料</v>
      </c>
      <c r="BK76" t="str">
        <f t="shared" si="74"/>
        <v>5/h</v>
      </c>
      <c r="BL76" t="str">
        <f t="shared" si="75"/>
        <v>紫色基础材料</v>
      </c>
      <c r="BM76" t="str">
        <f t="shared" si="76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676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50"/>
        <v>0</v>
      </c>
      <c r="U77" s="18">
        <f t="shared" si="51"/>
        <v>113.42000000000003</v>
      </c>
      <c r="V77" s="18">
        <f t="shared" si="52"/>
        <v>136.10400000000004</v>
      </c>
      <c r="W77" s="18">
        <f t="shared" si="53"/>
        <v>0</v>
      </c>
      <c r="X77" s="18">
        <f t="shared" si="54"/>
        <v>0</v>
      </c>
      <c r="Y77" s="18">
        <f t="shared" si="55"/>
        <v>68.052000000000021</v>
      </c>
      <c r="Z77" s="18">
        <f t="shared" si="56"/>
        <v>13.610400000000004</v>
      </c>
      <c r="AA77" s="18">
        <f t="shared" si="57"/>
        <v>0</v>
      </c>
      <c r="AB77" s="18">
        <f t="shared" si="58"/>
        <v>115200</v>
      </c>
      <c r="AD77" s="31">
        <f t="shared" si="81"/>
        <v>0</v>
      </c>
      <c r="AE77" s="31">
        <f t="shared" si="82"/>
        <v>0.5</v>
      </c>
      <c r="AF77" s="31">
        <f t="shared" si="83"/>
        <v>0.15</v>
      </c>
      <c r="AG77" s="31">
        <f t="shared" si="84"/>
        <v>0</v>
      </c>
      <c r="AH77" s="31">
        <f t="shared" si="86"/>
        <v>0</v>
      </c>
      <c r="AI77" s="18">
        <f t="shared" si="87"/>
        <v>0</v>
      </c>
      <c r="AJ77" s="18">
        <f t="shared" si="88"/>
        <v>0</v>
      </c>
      <c r="AK77" s="18">
        <v>0</v>
      </c>
      <c r="AL77" s="18">
        <f t="shared" si="89"/>
        <v>0</v>
      </c>
      <c r="AM77" s="18">
        <f t="shared" si="90"/>
        <v>0</v>
      </c>
      <c r="AN77" s="18">
        <f t="shared" si="91"/>
        <v>0</v>
      </c>
      <c r="AO77" s="18">
        <f t="shared" si="85"/>
        <v>0</v>
      </c>
      <c r="AP77" s="18">
        <f t="shared" si="80"/>
        <v>0</v>
      </c>
      <c r="AQ77" s="18">
        <f t="shared" si="66"/>
        <v>0</v>
      </c>
      <c r="AR77" s="18">
        <f t="shared" si="67"/>
        <v>0</v>
      </c>
      <c r="AS77" s="18">
        <f t="shared" si="68"/>
        <v>0</v>
      </c>
      <c r="AT77" s="18">
        <f t="shared" si="69"/>
        <v>0</v>
      </c>
      <c r="AU77" s="18">
        <f>INDEX(游戏节奏!$V$4:$V$13,挂机派遣!B77)</f>
        <v>13</v>
      </c>
      <c r="AV77" s="18">
        <f>INDEX(游戏节奏!$V$4:$V$13,挂机派遣!B77)</f>
        <v>13</v>
      </c>
      <c r="AW77" s="18">
        <f>INDEX(游戏节奏!$W$4:$W$13,挂机派遣!B77)</f>
        <v>12</v>
      </c>
      <c r="AX77" s="14">
        <v>2</v>
      </c>
      <c r="AY77" s="14">
        <v>3</v>
      </c>
      <c r="AZ77" s="14"/>
      <c r="BC77" s="18" t="s">
        <v>772</v>
      </c>
      <c r="BD77" s="18" t="str">
        <f t="shared" si="70"/>
        <v>720/h</v>
      </c>
      <c r="BE77" s="18" t="s">
        <v>773</v>
      </c>
      <c r="BF77" s="18" t="str">
        <f t="shared" si="71"/>
        <v>780/h</v>
      </c>
      <c r="BG77" s="18" t="s">
        <v>774</v>
      </c>
      <c r="BH77" s="18" t="str">
        <f t="shared" si="72"/>
        <v>780/h</v>
      </c>
      <c r="BJ77" t="str">
        <f t="shared" si="73"/>
        <v>蓝色基础材料</v>
      </c>
      <c r="BK77" t="str">
        <f t="shared" si="74"/>
        <v>5/h</v>
      </c>
      <c r="BL77" t="str">
        <f t="shared" si="75"/>
        <v>紫色基础材料</v>
      </c>
      <c r="BM77" t="str">
        <f t="shared" si="76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691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50"/>
        <v>0</v>
      </c>
      <c r="U78" s="18">
        <f t="shared" si="51"/>
        <v>116.42000000000003</v>
      </c>
      <c r="V78" s="18">
        <f t="shared" si="52"/>
        <v>139.70400000000004</v>
      </c>
      <c r="W78" s="18">
        <f t="shared" si="53"/>
        <v>0</v>
      </c>
      <c r="X78" s="18">
        <f t="shared" si="54"/>
        <v>0</v>
      </c>
      <c r="Y78" s="18">
        <f t="shared" si="55"/>
        <v>69.852000000000018</v>
      </c>
      <c r="Z78" s="18">
        <f t="shared" si="56"/>
        <v>13.970400000000005</v>
      </c>
      <c r="AA78" s="18">
        <f t="shared" si="57"/>
        <v>0</v>
      </c>
      <c r="AB78" s="18">
        <f t="shared" si="58"/>
        <v>115200</v>
      </c>
      <c r="AD78" s="31">
        <f t="shared" si="81"/>
        <v>0</v>
      </c>
      <c r="AE78" s="31">
        <f t="shared" si="82"/>
        <v>0</v>
      </c>
      <c r="AF78" s="31">
        <f t="shared" si="83"/>
        <v>0</v>
      </c>
      <c r="AG78" s="31">
        <f t="shared" si="84"/>
        <v>0</v>
      </c>
      <c r="AH78" s="31">
        <f t="shared" si="86"/>
        <v>0.5</v>
      </c>
      <c r="AI78" s="18">
        <v>0</v>
      </c>
      <c r="AJ78" s="18">
        <v>0</v>
      </c>
      <c r="AK78" s="18">
        <v>0</v>
      </c>
      <c r="AL78" s="18">
        <f t="shared" si="89"/>
        <v>0.35</v>
      </c>
      <c r="AM78" s="18">
        <v>0</v>
      </c>
      <c r="AN78" s="18">
        <v>0</v>
      </c>
      <c r="AO78" s="18">
        <v>0</v>
      </c>
      <c r="AP78" s="18">
        <f t="shared" si="80"/>
        <v>0</v>
      </c>
      <c r="AQ78" s="18">
        <f t="shared" si="66"/>
        <v>0</v>
      </c>
      <c r="AR78" s="18">
        <f t="shared" si="67"/>
        <v>0</v>
      </c>
      <c r="AS78" s="18">
        <f t="shared" si="68"/>
        <v>0</v>
      </c>
      <c r="AT78" s="18">
        <f t="shared" si="69"/>
        <v>0</v>
      </c>
      <c r="AU78" s="18">
        <f>INDEX(游戏节奏!$V$4:$V$13,挂机派遣!B78)</f>
        <v>13</v>
      </c>
      <c r="AV78" s="18">
        <f>INDEX(游戏节奏!$V$4:$V$13,挂机派遣!B78)</f>
        <v>13</v>
      </c>
      <c r="AW78" s="18">
        <f>INDEX(游戏节奏!$W$4:$W$13,挂机派遣!B78)</f>
        <v>12</v>
      </c>
      <c r="AX78" s="14">
        <v>5</v>
      </c>
      <c r="AY78" s="14">
        <v>9</v>
      </c>
      <c r="AZ78" s="14"/>
      <c r="BC78" s="18" t="s">
        <v>772</v>
      </c>
      <c r="BD78" s="18" t="str">
        <f t="shared" si="70"/>
        <v>720/h</v>
      </c>
      <c r="BE78" s="18" t="s">
        <v>773</v>
      </c>
      <c r="BF78" s="18" t="str">
        <f t="shared" si="71"/>
        <v>780/h</v>
      </c>
      <c r="BG78" s="18" t="s">
        <v>774</v>
      </c>
      <c r="BH78" s="18" t="str">
        <f t="shared" si="72"/>
        <v>780/h</v>
      </c>
      <c r="BJ78" t="str">
        <f t="shared" si="73"/>
        <v>初级蓝</v>
      </c>
      <c r="BK78" t="str">
        <f t="shared" si="74"/>
        <v>1.5/h</v>
      </c>
      <c r="BL78" t="str">
        <f t="shared" si="75"/>
        <v>中级蓝</v>
      </c>
      <c r="BM78" t="str">
        <f t="shared" si="76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688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50"/>
        <v>0</v>
      </c>
      <c r="U79" s="18">
        <f t="shared" si="51"/>
        <v>119.42000000000004</v>
      </c>
      <c r="V79" s="18">
        <f t="shared" si="52"/>
        <v>143.30400000000003</v>
      </c>
      <c r="W79" s="18">
        <f t="shared" si="53"/>
        <v>0</v>
      </c>
      <c r="X79" s="18">
        <f t="shared" si="54"/>
        <v>0</v>
      </c>
      <c r="Y79" s="18">
        <f t="shared" si="55"/>
        <v>71.652000000000015</v>
      </c>
      <c r="Z79" s="18">
        <f t="shared" si="56"/>
        <v>14.330400000000004</v>
      </c>
      <c r="AA79" s="18">
        <f t="shared" si="57"/>
        <v>0</v>
      </c>
      <c r="AB79" s="18">
        <f t="shared" si="58"/>
        <v>115200</v>
      </c>
      <c r="AD79" s="31">
        <f t="shared" si="81"/>
        <v>0</v>
      </c>
      <c r="AE79" s="31">
        <f t="shared" si="82"/>
        <v>0</v>
      </c>
      <c r="AF79" s="31">
        <f t="shared" si="83"/>
        <v>0</v>
      </c>
      <c r="AG79" s="31">
        <f t="shared" si="84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80"/>
        <v>0</v>
      </c>
      <c r="AQ79" s="18">
        <f t="shared" si="66"/>
        <v>0</v>
      </c>
      <c r="AR79" s="18">
        <f t="shared" si="67"/>
        <v>0</v>
      </c>
      <c r="AS79" s="18">
        <f t="shared" si="68"/>
        <v>0</v>
      </c>
      <c r="AT79" s="18">
        <f t="shared" si="69"/>
        <v>0</v>
      </c>
      <c r="AU79" s="18">
        <f>INDEX(游戏节奏!$V$4:$V$13,挂机派遣!B79)</f>
        <v>13</v>
      </c>
      <c r="AV79" s="18">
        <f>INDEX(游戏节奏!$V$4:$V$13,挂机派遣!B79)</f>
        <v>13</v>
      </c>
      <c r="AW79" s="18">
        <f>INDEX(游戏节奏!$W$4:$W$13,挂机派遣!B79)</f>
        <v>12</v>
      </c>
      <c r="AX79" s="14">
        <v>6</v>
      </c>
      <c r="AY79" s="14">
        <v>10</v>
      </c>
      <c r="AZ79" s="14"/>
      <c r="BC79" s="18" t="s">
        <v>772</v>
      </c>
      <c r="BD79" s="18" t="str">
        <f t="shared" si="70"/>
        <v>720/h</v>
      </c>
      <c r="BE79" s="18" t="s">
        <v>773</v>
      </c>
      <c r="BF79" s="18" t="str">
        <f t="shared" si="71"/>
        <v>780/h</v>
      </c>
      <c r="BG79" s="18" t="s">
        <v>774</v>
      </c>
      <c r="BH79" s="18" t="str">
        <f t="shared" si="72"/>
        <v>780/h</v>
      </c>
      <c r="BJ79" t="str">
        <f t="shared" si="73"/>
        <v>初级红</v>
      </c>
      <c r="BK79" t="str">
        <f t="shared" si="74"/>
        <v>1.5/h</v>
      </c>
      <c r="BL79" t="str">
        <f t="shared" si="75"/>
        <v>中级红</v>
      </c>
      <c r="BM79" t="str">
        <f t="shared" si="76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677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50"/>
        <v>0</v>
      </c>
      <c r="U80" s="18">
        <f t="shared" si="51"/>
        <v>122.42000000000004</v>
      </c>
      <c r="V80" s="18">
        <f t="shared" si="52"/>
        <v>146.90400000000005</v>
      </c>
      <c r="W80" s="18">
        <f t="shared" si="53"/>
        <v>0</v>
      </c>
      <c r="X80" s="18">
        <f t="shared" si="54"/>
        <v>0</v>
      </c>
      <c r="Y80" s="18">
        <f t="shared" si="55"/>
        <v>73.452000000000027</v>
      </c>
      <c r="Z80" s="18">
        <f t="shared" si="56"/>
        <v>14.690400000000004</v>
      </c>
      <c r="AA80" s="18">
        <f t="shared" si="57"/>
        <v>0</v>
      </c>
      <c r="AB80" s="18">
        <f t="shared" si="58"/>
        <v>115200</v>
      </c>
      <c r="AD80" s="31">
        <f t="shared" si="81"/>
        <v>0</v>
      </c>
      <c r="AE80" s="31">
        <f t="shared" si="82"/>
        <v>0</v>
      </c>
      <c r="AF80" s="31">
        <f t="shared" si="83"/>
        <v>0</v>
      </c>
      <c r="AG80" s="31">
        <f t="shared" si="84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80"/>
        <v>0</v>
      </c>
      <c r="AQ80" s="18">
        <f t="shared" si="66"/>
        <v>0</v>
      </c>
      <c r="AR80" s="18">
        <f t="shared" si="67"/>
        <v>0</v>
      </c>
      <c r="AS80" s="18">
        <f t="shared" si="68"/>
        <v>0</v>
      </c>
      <c r="AT80" s="18">
        <f t="shared" si="69"/>
        <v>0</v>
      </c>
      <c r="AU80" s="18">
        <f>INDEX(游戏节奏!$V$4:$V$13,挂机派遣!B80)</f>
        <v>13</v>
      </c>
      <c r="AV80" s="18">
        <f>INDEX(游戏节奏!$V$4:$V$13,挂机派遣!B80)</f>
        <v>13</v>
      </c>
      <c r="AW80" s="18">
        <f>INDEX(游戏节奏!$W$4:$W$13,挂机派遣!B80)</f>
        <v>12</v>
      </c>
      <c r="AX80" s="14">
        <v>7</v>
      </c>
      <c r="AY80" s="14">
        <v>11</v>
      </c>
      <c r="AZ80" s="14"/>
      <c r="BC80" s="18" t="s">
        <v>772</v>
      </c>
      <c r="BD80" s="18" t="str">
        <f t="shared" si="70"/>
        <v>720/h</v>
      </c>
      <c r="BE80" s="18" t="s">
        <v>773</v>
      </c>
      <c r="BF80" s="18" t="str">
        <f t="shared" si="71"/>
        <v>780/h</v>
      </c>
      <c r="BG80" s="18" t="s">
        <v>774</v>
      </c>
      <c r="BH80" s="18" t="str">
        <f t="shared" si="72"/>
        <v>780/h</v>
      </c>
      <c r="BJ80" t="str">
        <f t="shared" si="73"/>
        <v>初级黄</v>
      </c>
      <c r="BK80" t="str">
        <f t="shared" si="74"/>
        <v>1.5/h</v>
      </c>
      <c r="BL80" t="str">
        <f t="shared" si="75"/>
        <v>中级黄</v>
      </c>
      <c r="BM80" t="str">
        <f t="shared" si="76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678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50"/>
        <v>0</v>
      </c>
      <c r="U81" s="18">
        <f t="shared" si="51"/>
        <v>125.42000000000004</v>
      </c>
      <c r="V81" s="18">
        <f t="shared" si="52"/>
        <v>150.50400000000005</v>
      </c>
      <c r="W81" s="18">
        <f t="shared" si="53"/>
        <v>0</v>
      </c>
      <c r="X81" s="18">
        <f t="shared" si="54"/>
        <v>0</v>
      </c>
      <c r="Y81" s="18">
        <f t="shared" si="55"/>
        <v>75.252000000000024</v>
      </c>
      <c r="Z81" s="18">
        <f t="shared" si="56"/>
        <v>15.050400000000005</v>
      </c>
      <c r="AA81" s="18">
        <f t="shared" si="57"/>
        <v>0</v>
      </c>
      <c r="AB81" s="18">
        <f t="shared" si="58"/>
        <v>115200</v>
      </c>
      <c r="AD81" s="31">
        <f t="shared" si="81"/>
        <v>0</v>
      </c>
      <c r="AE81" s="31">
        <f t="shared" si="82"/>
        <v>0</v>
      </c>
      <c r="AF81" s="31">
        <f t="shared" si="83"/>
        <v>0</v>
      </c>
      <c r="AG81" s="31">
        <f t="shared" si="84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80"/>
        <v>0</v>
      </c>
      <c r="AQ81" s="18">
        <f t="shared" ref="AQ81:AQ92" si="92">L81*I$2</f>
        <v>0</v>
      </c>
      <c r="AR81" s="18">
        <f t="shared" ref="AR81:AR92" si="93">L81*I$2</f>
        <v>0</v>
      </c>
      <c r="AS81" s="18">
        <f t="shared" ref="AS81:AS92" si="94">L81*I$2</f>
        <v>0</v>
      </c>
      <c r="AT81" s="18">
        <f t="shared" ref="AT81:AT92" si="95">M81*J$2</f>
        <v>0</v>
      </c>
      <c r="AU81" s="18">
        <f>INDEX(游戏节奏!$V$4:$V$13,挂机派遣!B81)</f>
        <v>13</v>
      </c>
      <c r="AV81" s="18">
        <f>INDEX(游戏节奏!$V$4:$V$13,挂机派遣!B81)</f>
        <v>13</v>
      </c>
      <c r="AW81" s="18">
        <f>INDEX(游戏节奏!$W$4:$W$13,挂机派遣!B81)</f>
        <v>12</v>
      </c>
      <c r="AX81" s="14">
        <v>5</v>
      </c>
      <c r="AY81" s="14">
        <v>9</v>
      </c>
      <c r="AZ81" s="14"/>
      <c r="BC81" s="18" t="s">
        <v>772</v>
      </c>
      <c r="BD81" s="18" t="str">
        <f t="shared" ref="BD81:BD112" si="96">AW81*60&amp;"/h"</f>
        <v>720/h</v>
      </c>
      <c r="BE81" s="18" t="s">
        <v>773</v>
      </c>
      <c r="BF81" s="18" t="str">
        <f t="shared" ref="BF81:BF112" si="97">AU81*60&amp;"/h"</f>
        <v>780/h</v>
      </c>
      <c r="BG81" s="18" t="s">
        <v>774</v>
      </c>
      <c r="BH81" s="18" t="str">
        <f t="shared" ref="BH81:BH112" si="98">AV81*60&amp;"/h"</f>
        <v>780/h</v>
      </c>
      <c r="BJ81" t="str">
        <f t="shared" ref="BJ81:BJ112" si="99">INDEX($AD$15:$AW$15,$AX81)</f>
        <v>初级蓝</v>
      </c>
      <c r="BK81" t="str">
        <f t="shared" ref="BK81:BK112" si="100">INDEX($AD81:$AW81,AX81)*60/INDEX(AD$13:AW$13,AX81)&amp;"/h"</f>
        <v>1.5/h</v>
      </c>
      <c r="BL81" t="str">
        <f t="shared" ref="BL81:BL112" si="101">IF(ISBLANK($AY81),"",INDEX($AD$15:$AW$15,$AY81))</f>
        <v>中级蓝</v>
      </c>
      <c r="BM81" t="str">
        <f t="shared" ref="BM81:BM112" si="102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692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103">INDEX(C$5:C$14,$Q82)*$R82*$P82*C$4</f>
        <v>0</v>
      </c>
      <c r="U82" s="18">
        <f t="shared" ref="U82:U116" si="104">INDEX(D$5:D$14,$Q82)*$R82*$P82*D$4</f>
        <v>128.42000000000004</v>
      </c>
      <c r="V82" s="18">
        <f t="shared" ref="V82:V116" si="105">INDEX(E$5:E$14,$Q82)*$R82*$P82*E$4</f>
        <v>154.10400000000004</v>
      </c>
      <c r="W82" s="18">
        <f t="shared" ref="W82:W116" si="106">INDEX(F$5:F$14,$Q82)*$R82*$P82*F$4</f>
        <v>0</v>
      </c>
      <c r="X82" s="18">
        <f t="shared" ref="X82:X116" si="107">INDEX(G$5:G$14,$Q82)*$S82*$P82*G$4</f>
        <v>0</v>
      </c>
      <c r="Y82" s="18">
        <f t="shared" ref="Y82:Y116" si="108">INDEX(H$5:H$14,$Q82)*$S82*$P82*H$4</f>
        <v>77.052000000000021</v>
      </c>
      <c r="Z82" s="18">
        <f t="shared" ref="Z82:Z116" si="109">INDEX(I$5:I$14,$Q82)*$S82*$P82*I$4</f>
        <v>15.410400000000006</v>
      </c>
      <c r="AA82" s="18">
        <f t="shared" ref="AA82:AA116" si="110">INDEX(J$5:J$14,$Q82)*$S82*$P82*J$4</f>
        <v>0</v>
      </c>
      <c r="AB82" s="18">
        <f t="shared" ref="AB82:AB116" si="111">AW82/AW$13*$B$1*60*(R82+S82)</f>
        <v>115200</v>
      </c>
      <c r="AD82" s="31">
        <f t="shared" si="81"/>
        <v>0</v>
      </c>
      <c r="AE82" s="31">
        <f t="shared" si="82"/>
        <v>0</v>
      </c>
      <c r="AF82" s="31">
        <f t="shared" si="83"/>
        <v>0</v>
      </c>
      <c r="AG82" s="31">
        <f t="shared" si="84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80"/>
        <v>0</v>
      </c>
      <c r="AQ82" s="18">
        <f t="shared" si="92"/>
        <v>0</v>
      </c>
      <c r="AR82" s="18">
        <f t="shared" si="93"/>
        <v>0</v>
      </c>
      <c r="AS82" s="18">
        <f t="shared" si="94"/>
        <v>0</v>
      </c>
      <c r="AT82" s="18">
        <f t="shared" si="95"/>
        <v>0</v>
      </c>
      <c r="AU82" s="18">
        <f>INDEX(游戏节奏!$V$4:$V$13,挂机派遣!B82)</f>
        <v>13</v>
      </c>
      <c r="AV82" s="18">
        <f>INDEX(游戏节奏!$V$4:$V$13,挂机派遣!B82)</f>
        <v>13</v>
      </c>
      <c r="AW82" s="18">
        <f>INDEX(游戏节奏!$W$4:$W$13,挂机派遣!B82)</f>
        <v>12</v>
      </c>
      <c r="AX82" s="14">
        <v>6</v>
      </c>
      <c r="AY82" s="14">
        <v>10</v>
      </c>
      <c r="AZ82" s="14"/>
      <c r="BC82" s="18" t="s">
        <v>772</v>
      </c>
      <c r="BD82" s="18" t="str">
        <f t="shared" si="96"/>
        <v>720/h</v>
      </c>
      <c r="BE82" s="18" t="s">
        <v>773</v>
      </c>
      <c r="BF82" s="18" t="str">
        <f t="shared" si="97"/>
        <v>780/h</v>
      </c>
      <c r="BG82" s="18" t="s">
        <v>774</v>
      </c>
      <c r="BH82" s="18" t="str">
        <f t="shared" si="98"/>
        <v>780/h</v>
      </c>
      <c r="BJ82" t="str">
        <f t="shared" si="99"/>
        <v>初级红</v>
      </c>
      <c r="BK82" t="str">
        <f t="shared" si="100"/>
        <v>1.5/h</v>
      </c>
      <c r="BL82" t="str">
        <f t="shared" si="101"/>
        <v>中级红</v>
      </c>
      <c r="BM82" t="str">
        <f t="shared" si="102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683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103"/>
        <v>0</v>
      </c>
      <c r="U83" s="18">
        <f t="shared" si="104"/>
        <v>131.42000000000004</v>
      </c>
      <c r="V83" s="18">
        <f t="shared" si="105"/>
        <v>157.70400000000006</v>
      </c>
      <c r="W83" s="18">
        <f t="shared" si="106"/>
        <v>0</v>
      </c>
      <c r="X83" s="18">
        <f t="shared" si="107"/>
        <v>0</v>
      </c>
      <c r="Y83" s="18">
        <f t="shared" si="108"/>
        <v>78.852000000000032</v>
      </c>
      <c r="Z83" s="18">
        <f t="shared" si="109"/>
        <v>15.770400000000006</v>
      </c>
      <c r="AA83" s="18">
        <f t="shared" si="110"/>
        <v>0</v>
      </c>
      <c r="AB83" s="18">
        <f t="shared" si="111"/>
        <v>115200</v>
      </c>
      <c r="AD83" s="31">
        <f t="shared" si="81"/>
        <v>0</v>
      </c>
      <c r="AE83" s="31">
        <f t="shared" si="82"/>
        <v>0</v>
      </c>
      <c r="AF83" s="31">
        <f t="shared" si="83"/>
        <v>0</v>
      </c>
      <c r="AG83" s="31">
        <f t="shared" si="84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80"/>
        <v>0</v>
      </c>
      <c r="AQ83" s="18">
        <f t="shared" si="92"/>
        <v>0</v>
      </c>
      <c r="AR83" s="18">
        <f t="shared" si="93"/>
        <v>0</v>
      </c>
      <c r="AS83" s="18">
        <f t="shared" si="94"/>
        <v>0</v>
      </c>
      <c r="AT83" s="18">
        <f t="shared" si="95"/>
        <v>0</v>
      </c>
      <c r="AU83" s="18">
        <f>INDEX(游戏节奏!$V$4:$V$13,挂机派遣!B83)</f>
        <v>13</v>
      </c>
      <c r="AV83" s="18">
        <f>INDEX(游戏节奏!$V$4:$V$13,挂机派遣!B83)</f>
        <v>13</v>
      </c>
      <c r="AW83" s="18">
        <f>INDEX(游戏节奏!$W$4:$W$13,挂机派遣!B83)</f>
        <v>12</v>
      </c>
      <c r="AX83" s="14">
        <v>7</v>
      </c>
      <c r="AY83" s="14">
        <v>11</v>
      </c>
      <c r="AZ83" s="14"/>
      <c r="BC83" s="18" t="s">
        <v>772</v>
      </c>
      <c r="BD83" s="18" t="str">
        <f t="shared" si="96"/>
        <v>720/h</v>
      </c>
      <c r="BE83" s="18" t="s">
        <v>773</v>
      </c>
      <c r="BF83" s="18" t="str">
        <f t="shared" si="97"/>
        <v>780/h</v>
      </c>
      <c r="BG83" s="18" t="s">
        <v>774</v>
      </c>
      <c r="BH83" s="18" t="str">
        <f t="shared" si="98"/>
        <v>780/h</v>
      </c>
      <c r="BJ83" t="str">
        <f t="shared" si="99"/>
        <v>初级黄</v>
      </c>
      <c r="BK83" t="str">
        <f t="shared" si="100"/>
        <v>1.5/h</v>
      </c>
      <c r="BL83" t="str">
        <f t="shared" si="101"/>
        <v>中级黄</v>
      </c>
      <c r="BM83" t="str">
        <f t="shared" si="102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685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103"/>
        <v>0</v>
      </c>
      <c r="U84" s="18">
        <f t="shared" si="104"/>
        <v>134.42000000000004</v>
      </c>
      <c r="V84" s="18">
        <f t="shared" si="105"/>
        <v>161.30400000000006</v>
      </c>
      <c r="W84" s="18">
        <f t="shared" si="106"/>
        <v>0</v>
      </c>
      <c r="X84" s="18">
        <f t="shared" si="107"/>
        <v>0</v>
      </c>
      <c r="Y84" s="18">
        <f t="shared" si="108"/>
        <v>80.652000000000029</v>
      </c>
      <c r="Z84" s="18">
        <f t="shared" si="109"/>
        <v>16.130400000000005</v>
      </c>
      <c r="AA84" s="18">
        <f t="shared" si="110"/>
        <v>0</v>
      </c>
      <c r="AB84" s="18">
        <f t="shared" si="111"/>
        <v>115200</v>
      </c>
      <c r="AD84" s="31">
        <f t="shared" si="81"/>
        <v>0</v>
      </c>
      <c r="AE84" s="31">
        <f t="shared" si="82"/>
        <v>0</v>
      </c>
      <c r="AF84" s="31">
        <f t="shared" si="83"/>
        <v>0</v>
      </c>
      <c r="AG84" s="31">
        <f t="shared" si="84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12">K84*H$2</f>
        <v>0.5</v>
      </c>
      <c r="AP84" s="18">
        <f t="shared" si="80"/>
        <v>0</v>
      </c>
      <c r="AQ84" s="18">
        <f t="shared" si="92"/>
        <v>0</v>
      </c>
      <c r="AR84" s="18">
        <f t="shared" si="93"/>
        <v>0</v>
      </c>
      <c r="AS84" s="18">
        <f t="shared" si="94"/>
        <v>0</v>
      </c>
      <c r="AT84" s="18">
        <f t="shared" si="95"/>
        <v>0</v>
      </c>
      <c r="AU84" s="18">
        <f>INDEX(游戏节奏!$V$4:$V$13,挂机派遣!B84)</f>
        <v>13</v>
      </c>
      <c r="AV84" s="18">
        <f>INDEX(游戏节奏!$V$4:$V$13,挂机派遣!B84)</f>
        <v>13</v>
      </c>
      <c r="AW84" s="18">
        <f>INDEX(游戏节奏!$W$4:$W$13,挂机派遣!B84)</f>
        <v>12</v>
      </c>
      <c r="AX84" s="14">
        <v>8</v>
      </c>
      <c r="AY84" s="14">
        <v>12</v>
      </c>
      <c r="AZ84" s="14"/>
      <c r="BC84" s="18" t="s">
        <v>772</v>
      </c>
      <c r="BD84" s="18" t="str">
        <f t="shared" si="96"/>
        <v>720/h</v>
      </c>
      <c r="BE84" s="18" t="s">
        <v>773</v>
      </c>
      <c r="BF84" s="18" t="str">
        <f t="shared" si="97"/>
        <v>780/h</v>
      </c>
      <c r="BG84" s="18" t="s">
        <v>774</v>
      </c>
      <c r="BH84" s="18" t="str">
        <f t="shared" si="98"/>
        <v>780/h</v>
      </c>
      <c r="BJ84" t="str">
        <f t="shared" si="99"/>
        <v>初级三才宝箱</v>
      </c>
      <c r="BK84" t="str">
        <f t="shared" si="100"/>
        <v>1.5/h</v>
      </c>
      <c r="BL84" t="str">
        <f t="shared" si="101"/>
        <v>中级三才宝箱</v>
      </c>
      <c r="BM84" t="str">
        <f t="shared" si="102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693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103"/>
        <v>0</v>
      </c>
      <c r="U85" s="18">
        <f t="shared" si="104"/>
        <v>137.42000000000004</v>
      </c>
      <c r="V85" s="18">
        <f t="shared" si="105"/>
        <v>164.90400000000005</v>
      </c>
      <c r="W85" s="18">
        <f t="shared" si="106"/>
        <v>0</v>
      </c>
      <c r="X85" s="18">
        <f t="shared" si="107"/>
        <v>0</v>
      </c>
      <c r="Y85" s="18">
        <f t="shared" si="108"/>
        <v>82.452000000000027</v>
      </c>
      <c r="Z85" s="18">
        <f t="shared" si="109"/>
        <v>16.490400000000008</v>
      </c>
      <c r="AA85" s="18">
        <f t="shared" si="110"/>
        <v>0</v>
      </c>
      <c r="AB85" s="18">
        <f t="shared" si="111"/>
        <v>115200</v>
      </c>
      <c r="AD85" s="31">
        <f t="shared" si="81"/>
        <v>0</v>
      </c>
      <c r="AE85" s="31">
        <f t="shared" si="82"/>
        <v>0</v>
      </c>
      <c r="AF85" s="31">
        <f t="shared" si="83"/>
        <v>0</v>
      </c>
      <c r="AG85" s="31">
        <f t="shared" si="84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12"/>
        <v>0.5</v>
      </c>
      <c r="AP85" s="18">
        <f t="shared" si="80"/>
        <v>0</v>
      </c>
      <c r="AQ85" s="18">
        <f t="shared" si="92"/>
        <v>0</v>
      </c>
      <c r="AR85" s="18">
        <f t="shared" si="93"/>
        <v>0</v>
      </c>
      <c r="AS85" s="18">
        <f t="shared" si="94"/>
        <v>0</v>
      </c>
      <c r="AT85" s="18">
        <f t="shared" si="95"/>
        <v>0</v>
      </c>
      <c r="AU85" s="18">
        <f>INDEX(游戏节奏!$V$4:$V$13,挂机派遣!B85)</f>
        <v>13</v>
      </c>
      <c r="AV85" s="18">
        <f>INDEX(游戏节奏!$V$4:$V$13,挂机派遣!B85)</f>
        <v>13</v>
      </c>
      <c r="AW85" s="18">
        <f>INDEX(游戏节奏!$W$4:$W$13,挂机派遣!B85)</f>
        <v>12</v>
      </c>
      <c r="AX85" s="14">
        <v>8</v>
      </c>
      <c r="AY85" s="14">
        <v>12</v>
      </c>
      <c r="AZ85" s="14"/>
      <c r="BC85" s="18" t="s">
        <v>772</v>
      </c>
      <c r="BD85" s="18" t="str">
        <f t="shared" si="96"/>
        <v>720/h</v>
      </c>
      <c r="BE85" s="18" t="s">
        <v>773</v>
      </c>
      <c r="BF85" s="18" t="str">
        <f t="shared" si="97"/>
        <v>780/h</v>
      </c>
      <c r="BG85" s="18" t="s">
        <v>774</v>
      </c>
      <c r="BH85" s="18" t="str">
        <f t="shared" si="98"/>
        <v>780/h</v>
      </c>
      <c r="BJ85" t="str">
        <f t="shared" si="99"/>
        <v>初级三才宝箱</v>
      </c>
      <c r="BK85" t="str">
        <f t="shared" si="100"/>
        <v>1.5/h</v>
      </c>
      <c r="BL85" t="str">
        <f t="shared" si="101"/>
        <v>中级三才宝箱</v>
      </c>
      <c r="BM85" t="str">
        <f t="shared" si="102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668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103"/>
        <v>0</v>
      </c>
      <c r="U86" s="18">
        <f t="shared" si="104"/>
        <v>140.42000000000004</v>
      </c>
      <c r="V86" s="18">
        <f t="shared" si="105"/>
        <v>168.50400000000008</v>
      </c>
      <c r="W86" s="18">
        <f t="shared" si="106"/>
        <v>0</v>
      </c>
      <c r="X86" s="18">
        <f t="shared" si="107"/>
        <v>0</v>
      </c>
      <c r="Y86" s="18">
        <f t="shared" si="108"/>
        <v>84.252000000000038</v>
      </c>
      <c r="Z86" s="18">
        <f t="shared" si="109"/>
        <v>16.850400000000008</v>
      </c>
      <c r="AA86" s="18">
        <f t="shared" si="110"/>
        <v>0</v>
      </c>
      <c r="AB86" s="18">
        <f t="shared" si="111"/>
        <v>134400</v>
      </c>
      <c r="AD86" s="31">
        <f t="shared" si="81"/>
        <v>0</v>
      </c>
      <c r="AE86" s="31">
        <f t="shared" si="82"/>
        <v>0.25</v>
      </c>
      <c r="AF86" s="31">
        <f t="shared" si="83"/>
        <v>0.21</v>
      </c>
      <c r="AG86" s="31">
        <f t="shared" si="84"/>
        <v>0</v>
      </c>
      <c r="AH86" s="31">
        <f t="shared" ref="AH86:AH130" si="113">J86*G$2</f>
        <v>0</v>
      </c>
      <c r="AI86" s="18">
        <f t="shared" ref="AI86:AI130" si="114">J86*G$2</f>
        <v>0</v>
      </c>
      <c r="AJ86" s="18">
        <f t="shared" ref="AJ86:AJ130" si="115">J86*G$2</f>
        <v>0</v>
      </c>
      <c r="AK86" s="18">
        <v>0</v>
      </c>
      <c r="AL86" s="18">
        <f t="shared" ref="AL86:AL93" si="116">K86*H$2</f>
        <v>0</v>
      </c>
      <c r="AM86" s="18">
        <f t="shared" ref="AM86:AM92" si="117">K86*H$2</f>
        <v>0</v>
      </c>
      <c r="AN86" s="18">
        <f t="shared" ref="AN86:AN92" si="118">K86*H$2</f>
        <v>0</v>
      </c>
      <c r="AO86" s="18">
        <f t="shared" si="112"/>
        <v>0</v>
      </c>
      <c r="AP86" s="18">
        <f t="shared" si="80"/>
        <v>0</v>
      </c>
      <c r="AQ86" s="18">
        <f t="shared" si="92"/>
        <v>0</v>
      </c>
      <c r="AR86" s="18">
        <f t="shared" si="93"/>
        <v>0</v>
      </c>
      <c r="AS86" s="18">
        <f t="shared" si="94"/>
        <v>0</v>
      </c>
      <c r="AT86" s="18">
        <f t="shared" si="95"/>
        <v>0</v>
      </c>
      <c r="AU86" s="18">
        <f>INDEX(游戏节奏!$V$4:$V$13,挂机派遣!B86)</f>
        <v>15</v>
      </c>
      <c r="AV86" s="18">
        <f>INDEX(游戏节奏!$V$4:$V$13,挂机派遣!B86)</f>
        <v>15</v>
      </c>
      <c r="AW86" s="18">
        <f>INDEX(游戏节奏!$W$4:$W$13,挂机派遣!B86)</f>
        <v>14</v>
      </c>
      <c r="AX86" s="14">
        <v>2</v>
      </c>
      <c r="AY86" s="14">
        <v>3</v>
      </c>
      <c r="AZ86" s="14"/>
      <c r="BC86" s="18" t="s">
        <v>772</v>
      </c>
      <c r="BD86" s="18" t="str">
        <f t="shared" si="96"/>
        <v>840/h</v>
      </c>
      <c r="BE86" s="18" t="s">
        <v>773</v>
      </c>
      <c r="BF86" s="18" t="str">
        <f t="shared" si="97"/>
        <v>900/h</v>
      </c>
      <c r="BG86" s="18" t="s">
        <v>774</v>
      </c>
      <c r="BH86" s="18" t="str">
        <f t="shared" si="98"/>
        <v>900/h</v>
      </c>
      <c r="BJ86" t="str">
        <f t="shared" si="99"/>
        <v>蓝色基础材料</v>
      </c>
      <c r="BK86" t="str">
        <f t="shared" si="100"/>
        <v>2.5/h</v>
      </c>
      <c r="BL86" t="str">
        <f t="shared" si="101"/>
        <v>紫色基础材料</v>
      </c>
      <c r="BM86" t="str">
        <f t="shared" si="102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669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103"/>
        <v>0</v>
      </c>
      <c r="U87" s="18">
        <f t="shared" si="104"/>
        <v>0</v>
      </c>
      <c r="V87" s="18">
        <f t="shared" si="105"/>
        <v>175.29600000000008</v>
      </c>
      <c r="W87" s="18">
        <f t="shared" si="106"/>
        <v>58.432000000000023</v>
      </c>
      <c r="X87" s="18">
        <f t="shared" si="107"/>
        <v>0</v>
      </c>
      <c r="Y87" s="18">
        <f t="shared" si="108"/>
        <v>65.736000000000018</v>
      </c>
      <c r="Z87" s="18">
        <f t="shared" si="109"/>
        <v>52.58880000000002</v>
      </c>
      <c r="AA87" s="18">
        <f t="shared" si="110"/>
        <v>13.147200000000005</v>
      </c>
      <c r="AB87" s="18">
        <f t="shared" si="111"/>
        <v>168000</v>
      </c>
      <c r="AD87" s="31">
        <f t="shared" si="81"/>
        <v>0</v>
      </c>
      <c r="AE87" s="31">
        <f t="shared" si="82"/>
        <v>0.25</v>
      </c>
      <c r="AF87" s="31">
        <f t="shared" si="83"/>
        <v>0.22499999999999998</v>
      </c>
      <c r="AG87" s="31">
        <f t="shared" si="84"/>
        <v>0</v>
      </c>
      <c r="AH87" s="31">
        <f t="shared" si="113"/>
        <v>0</v>
      </c>
      <c r="AI87" s="18">
        <f t="shared" si="114"/>
        <v>0</v>
      </c>
      <c r="AJ87" s="18">
        <f t="shared" si="115"/>
        <v>0</v>
      </c>
      <c r="AK87" s="18">
        <v>0</v>
      </c>
      <c r="AL87" s="18">
        <f t="shared" si="116"/>
        <v>0</v>
      </c>
      <c r="AM87" s="18">
        <f t="shared" si="117"/>
        <v>0</v>
      </c>
      <c r="AN87" s="18">
        <f t="shared" si="118"/>
        <v>0</v>
      </c>
      <c r="AO87" s="18">
        <f t="shared" si="112"/>
        <v>0</v>
      </c>
      <c r="AP87" s="18">
        <f t="shared" si="80"/>
        <v>0</v>
      </c>
      <c r="AQ87" s="18">
        <f t="shared" si="92"/>
        <v>0</v>
      </c>
      <c r="AR87" s="18">
        <f t="shared" si="93"/>
        <v>0</v>
      </c>
      <c r="AS87" s="18">
        <f t="shared" si="94"/>
        <v>0</v>
      </c>
      <c r="AT87" s="18">
        <f t="shared" si="95"/>
        <v>0</v>
      </c>
      <c r="AU87" s="18">
        <f>INDEX(游戏节奏!$V$4:$V$13,挂机派遣!B87)</f>
        <v>15</v>
      </c>
      <c r="AV87" s="18">
        <f>INDEX(游戏节奏!$V$4:$V$13,挂机派遣!B87)</f>
        <v>15</v>
      </c>
      <c r="AW87" s="18">
        <f>INDEX(游戏节奏!$W$4:$W$13,挂机派遣!B87)</f>
        <v>14</v>
      </c>
      <c r="AX87" s="14">
        <v>2</v>
      </c>
      <c r="AY87" s="14">
        <v>3</v>
      </c>
      <c r="AZ87" s="14"/>
      <c r="BC87" s="18" t="s">
        <v>772</v>
      </c>
      <c r="BD87" s="18" t="str">
        <f t="shared" si="96"/>
        <v>840/h</v>
      </c>
      <c r="BE87" s="18" t="s">
        <v>773</v>
      </c>
      <c r="BF87" s="18" t="str">
        <f t="shared" si="97"/>
        <v>900/h</v>
      </c>
      <c r="BG87" s="18" t="s">
        <v>774</v>
      </c>
      <c r="BH87" s="18" t="str">
        <f t="shared" si="98"/>
        <v>900/h</v>
      </c>
      <c r="BJ87" t="str">
        <f t="shared" si="99"/>
        <v>蓝色基础材料</v>
      </c>
      <c r="BK87" t="str">
        <f t="shared" si="100"/>
        <v>2.5/h</v>
      </c>
      <c r="BL87" t="str">
        <f t="shared" si="101"/>
        <v>紫色基础材料</v>
      </c>
      <c r="BM87" t="str">
        <f t="shared" si="102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665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103"/>
        <v>0</v>
      </c>
      <c r="U88" s="18">
        <f t="shared" si="104"/>
        <v>0</v>
      </c>
      <c r="V88" s="18">
        <f t="shared" si="105"/>
        <v>182.08800000000005</v>
      </c>
      <c r="W88" s="18">
        <f t="shared" si="106"/>
        <v>60.696000000000019</v>
      </c>
      <c r="X88" s="18">
        <f t="shared" si="107"/>
        <v>0</v>
      </c>
      <c r="Y88" s="18">
        <f t="shared" si="108"/>
        <v>68.28300000000003</v>
      </c>
      <c r="Z88" s="18">
        <f t="shared" si="109"/>
        <v>54.626400000000018</v>
      </c>
      <c r="AA88" s="18">
        <f t="shared" si="110"/>
        <v>13.656600000000005</v>
      </c>
      <c r="AB88" s="18">
        <f t="shared" si="111"/>
        <v>168000</v>
      </c>
      <c r="AD88" s="31">
        <f t="shared" si="81"/>
        <v>0</v>
      </c>
      <c r="AE88" s="31">
        <f t="shared" si="82"/>
        <v>0.25</v>
      </c>
      <c r="AF88" s="31">
        <f t="shared" si="83"/>
        <v>0.24</v>
      </c>
      <c r="AG88" s="31">
        <f t="shared" si="84"/>
        <v>0</v>
      </c>
      <c r="AH88" s="31">
        <f t="shared" si="113"/>
        <v>0</v>
      </c>
      <c r="AI88" s="18">
        <f t="shared" si="114"/>
        <v>0</v>
      </c>
      <c r="AJ88" s="18">
        <f t="shared" si="115"/>
        <v>0</v>
      </c>
      <c r="AK88" s="18">
        <v>0</v>
      </c>
      <c r="AL88" s="18">
        <f t="shared" si="116"/>
        <v>0</v>
      </c>
      <c r="AM88" s="18">
        <f t="shared" si="117"/>
        <v>0</v>
      </c>
      <c r="AN88" s="18">
        <f t="shared" si="118"/>
        <v>0</v>
      </c>
      <c r="AO88" s="18">
        <f t="shared" si="112"/>
        <v>0</v>
      </c>
      <c r="AP88" s="18">
        <f t="shared" si="80"/>
        <v>0</v>
      </c>
      <c r="AQ88" s="18">
        <f t="shared" si="92"/>
        <v>0</v>
      </c>
      <c r="AR88" s="18">
        <f t="shared" si="93"/>
        <v>0</v>
      </c>
      <c r="AS88" s="18">
        <f t="shared" si="94"/>
        <v>0</v>
      </c>
      <c r="AT88" s="18">
        <f t="shared" si="95"/>
        <v>0</v>
      </c>
      <c r="AU88" s="18">
        <f>INDEX(游戏节奏!$V$4:$V$13,挂机派遣!B88)</f>
        <v>15</v>
      </c>
      <c r="AV88" s="18">
        <f>INDEX(游戏节奏!$V$4:$V$13,挂机派遣!B88)</f>
        <v>15</v>
      </c>
      <c r="AW88" s="18">
        <f>INDEX(游戏节奏!$W$4:$W$13,挂机派遣!B88)</f>
        <v>14</v>
      </c>
      <c r="AX88" s="14">
        <v>2</v>
      </c>
      <c r="AY88" s="14">
        <v>3</v>
      </c>
      <c r="AZ88" s="14"/>
      <c r="BC88" s="18" t="s">
        <v>772</v>
      </c>
      <c r="BD88" s="18" t="str">
        <f t="shared" si="96"/>
        <v>840/h</v>
      </c>
      <c r="BE88" s="18" t="s">
        <v>773</v>
      </c>
      <c r="BF88" s="18" t="str">
        <f t="shared" si="97"/>
        <v>900/h</v>
      </c>
      <c r="BG88" s="18" t="s">
        <v>774</v>
      </c>
      <c r="BH88" s="18" t="str">
        <f t="shared" si="98"/>
        <v>900/h</v>
      </c>
      <c r="BJ88" t="str">
        <f t="shared" si="99"/>
        <v>蓝色基础材料</v>
      </c>
      <c r="BK88" t="str">
        <f t="shared" si="100"/>
        <v>2.5/h</v>
      </c>
      <c r="BL88" t="str">
        <f t="shared" si="101"/>
        <v>紫色基础材料</v>
      </c>
      <c r="BM88" t="str">
        <f t="shared" si="102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671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103"/>
        <v>0</v>
      </c>
      <c r="U89" s="18">
        <f t="shared" si="104"/>
        <v>0</v>
      </c>
      <c r="V89" s="18">
        <f t="shared" si="105"/>
        <v>188.88000000000005</v>
      </c>
      <c r="W89" s="18">
        <f t="shared" si="106"/>
        <v>62.960000000000022</v>
      </c>
      <c r="X89" s="18">
        <f t="shared" si="107"/>
        <v>0</v>
      </c>
      <c r="Y89" s="18">
        <f t="shared" si="108"/>
        <v>70.830000000000013</v>
      </c>
      <c r="Z89" s="18">
        <f t="shared" si="109"/>
        <v>56.664000000000016</v>
      </c>
      <c r="AA89" s="18">
        <f t="shared" si="110"/>
        <v>14.166000000000004</v>
      </c>
      <c r="AB89" s="18">
        <f t="shared" si="111"/>
        <v>168000</v>
      </c>
      <c r="AD89" s="31">
        <f t="shared" si="81"/>
        <v>0</v>
      </c>
      <c r="AE89" s="31">
        <f t="shared" si="82"/>
        <v>0.25</v>
      </c>
      <c r="AF89" s="31">
        <f t="shared" si="83"/>
        <v>0.255</v>
      </c>
      <c r="AG89" s="31">
        <f t="shared" si="84"/>
        <v>0</v>
      </c>
      <c r="AH89" s="31">
        <f t="shared" si="113"/>
        <v>0</v>
      </c>
      <c r="AI89" s="18">
        <f t="shared" si="114"/>
        <v>0</v>
      </c>
      <c r="AJ89" s="18">
        <f t="shared" si="115"/>
        <v>0</v>
      </c>
      <c r="AK89" s="18">
        <v>0</v>
      </c>
      <c r="AL89" s="18">
        <f t="shared" si="116"/>
        <v>0</v>
      </c>
      <c r="AM89" s="18">
        <f t="shared" si="117"/>
        <v>0</v>
      </c>
      <c r="AN89" s="18">
        <f t="shared" si="118"/>
        <v>0</v>
      </c>
      <c r="AO89" s="18">
        <f t="shared" si="112"/>
        <v>0</v>
      </c>
      <c r="AP89" s="18">
        <f t="shared" si="80"/>
        <v>0</v>
      </c>
      <c r="AQ89" s="18">
        <f t="shared" si="92"/>
        <v>0</v>
      </c>
      <c r="AR89" s="18">
        <f t="shared" si="93"/>
        <v>0</v>
      </c>
      <c r="AS89" s="18">
        <f t="shared" si="94"/>
        <v>0</v>
      </c>
      <c r="AT89" s="18">
        <f t="shared" si="95"/>
        <v>0</v>
      </c>
      <c r="AU89" s="18">
        <f>INDEX(游戏节奏!$V$4:$V$13,挂机派遣!B89)</f>
        <v>15</v>
      </c>
      <c r="AV89" s="18">
        <f>INDEX(游戏节奏!$V$4:$V$13,挂机派遣!B89)</f>
        <v>15</v>
      </c>
      <c r="AW89" s="18">
        <f>INDEX(游戏节奏!$W$4:$W$13,挂机派遣!B89)</f>
        <v>14</v>
      </c>
      <c r="AX89" s="14">
        <v>2</v>
      </c>
      <c r="AY89" s="14">
        <v>3</v>
      </c>
      <c r="AZ89" s="14"/>
      <c r="BC89" s="18" t="s">
        <v>772</v>
      </c>
      <c r="BD89" s="18" t="str">
        <f t="shared" si="96"/>
        <v>840/h</v>
      </c>
      <c r="BE89" s="18" t="s">
        <v>773</v>
      </c>
      <c r="BF89" s="18" t="str">
        <f t="shared" si="97"/>
        <v>900/h</v>
      </c>
      <c r="BG89" s="18" t="s">
        <v>774</v>
      </c>
      <c r="BH89" s="18" t="str">
        <f t="shared" si="98"/>
        <v>900/h</v>
      </c>
      <c r="BJ89" t="str">
        <f t="shared" si="99"/>
        <v>蓝色基础材料</v>
      </c>
      <c r="BK89" t="str">
        <f t="shared" si="100"/>
        <v>2.5/h</v>
      </c>
      <c r="BL89" t="str">
        <f t="shared" si="101"/>
        <v>紫色基础材料</v>
      </c>
      <c r="BM89" t="str">
        <f t="shared" si="102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674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103"/>
        <v>0</v>
      </c>
      <c r="U90" s="18">
        <f t="shared" si="104"/>
        <v>0</v>
      </c>
      <c r="V90" s="18">
        <f t="shared" si="105"/>
        <v>195.67200000000005</v>
      </c>
      <c r="W90" s="18">
        <f t="shared" si="106"/>
        <v>65.224000000000018</v>
      </c>
      <c r="X90" s="18">
        <f t="shared" si="107"/>
        <v>0</v>
      </c>
      <c r="Y90" s="18">
        <f t="shared" si="108"/>
        <v>73.377000000000024</v>
      </c>
      <c r="Z90" s="18">
        <f t="shared" si="109"/>
        <v>58.70160000000002</v>
      </c>
      <c r="AA90" s="18">
        <f t="shared" si="110"/>
        <v>14.675400000000005</v>
      </c>
      <c r="AB90" s="18">
        <f t="shared" si="111"/>
        <v>168000</v>
      </c>
      <c r="AD90" s="31">
        <f t="shared" si="81"/>
        <v>0</v>
      </c>
      <c r="AE90" s="31">
        <f t="shared" si="82"/>
        <v>0.25</v>
      </c>
      <c r="AF90" s="31">
        <f t="shared" si="83"/>
        <v>0.27</v>
      </c>
      <c r="AG90" s="31">
        <f t="shared" si="84"/>
        <v>0</v>
      </c>
      <c r="AH90" s="31">
        <f t="shared" si="113"/>
        <v>0</v>
      </c>
      <c r="AI90" s="18">
        <f t="shared" si="114"/>
        <v>0</v>
      </c>
      <c r="AJ90" s="18">
        <f t="shared" si="115"/>
        <v>0</v>
      </c>
      <c r="AK90" s="18">
        <v>0</v>
      </c>
      <c r="AL90" s="18">
        <f t="shared" si="116"/>
        <v>0</v>
      </c>
      <c r="AM90" s="18">
        <f t="shared" si="117"/>
        <v>0</v>
      </c>
      <c r="AN90" s="18">
        <f t="shared" si="118"/>
        <v>0</v>
      </c>
      <c r="AO90" s="18">
        <f t="shared" si="112"/>
        <v>0</v>
      </c>
      <c r="AP90" s="18">
        <f t="shared" si="80"/>
        <v>0</v>
      </c>
      <c r="AQ90" s="18">
        <f t="shared" si="92"/>
        <v>0</v>
      </c>
      <c r="AR90" s="18">
        <f t="shared" si="93"/>
        <v>0</v>
      </c>
      <c r="AS90" s="18">
        <f t="shared" si="94"/>
        <v>0</v>
      </c>
      <c r="AT90" s="18">
        <f t="shared" si="95"/>
        <v>0</v>
      </c>
      <c r="AU90" s="18">
        <f>INDEX(游戏节奏!$V$4:$V$13,挂机派遣!B90)</f>
        <v>15</v>
      </c>
      <c r="AV90" s="18">
        <f>INDEX(游戏节奏!$V$4:$V$13,挂机派遣!B90)</f>
        <v>15</v>
      </c>
      <c r="AW90" s="18">
        <f>INDEX(游戏节奏!$W$4:$W$13,挂机派遣!B90)</f>
        <v>14</v>
      </c>
      <c r="AX90" s="14">
        <v>2</v>
      </c>
      <c r="AY90" s="14">
        <v>3</v>
      </c>
      <c r="AZ90" s="14"/>
      <c r="BC90" s="18" t="s">
        <v>772</v>
      </c>
      <c r="BD90" s="18" t="str">
        <f t="shared" si="96"/>
        <v>840/h</v>
      </c>
      <c r="BE90" s="18" t="s">
        <v>773</v>
      </c>
      <c r="BF90" s="18" t="str">
        <f t="shared" si="97"/>
        <v>900/h</v>
      </c>
      <c r="BG90" s="18" t="s">
        <v>774</v>
      </c>
      <c r="BH90" s="18" t="str">
        <f t="shared" si="98"/>
        <v>900/h</v>
      </c>
      <c r="BJ90" t="str">
        <f t="shared" si="99"/>
        <v>蓝色基础材料</v>
      </c>
      <c r="BK90" t="str">
        <f t="shared" si="100"/>
        <v>2.5/h</v>
      </c>
      <c r="BL90" t="str">
        <f t="shared" si="101"/>
        <v>紫色基础材料</v>
      </c>
      <c r="BM90" t="str">
        <f t="shared" si="102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675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103"/>
        <v>0</v>
      </c>
      <c r="U91" s="18">
        <f t="shared" si="104"/>
        <v>0</v>
      </c>
      <c r="V91" s="18">
        <f t="shared" si="105"/>
        <v>202.46400000000006</v>
      </c>
      <c r="W91" s="18">
        <f t="shared" si="106"/>
        <v>67.488000000000014</v>
      </c>
      <c r="X91" s="18">
        <f t="shared" si="107"/>
        <v>0</v>
      </c>
      <c r="Y91" s="18">
        <f t="shared" si="108"/>
        <v>75.924000000000021</v>
      </c>
      <c r="Z91" s="18">
        <f t="shared" si="109"/>
        <v>60.739200000000011</v>
      </c>
      <c r="AA91" s="18">
        <f t="shared" si="110"/>
        <v>15.184800000000003</v>
      </c>
      <c r="AB91" s="18">
        <f t="shared" si="111"/>
        <v>168000</v>
      </c>
      <c r="AD91" s="31">
        <f t="shared" si="81"/>
        <v>0</v>
      </c>
      <c r="AE91" s="31">
        <f t="shared" si="82"/>
        <v>0.25</v>
      </c>
      <c r="AF91" s="31">
        <f t="shared" si="83"/>
        <v>0.28499999999999998</v>
      </c>
      <c r="AG91" s="31">
        <f t="shared" si="84"/>
        <v>0</v>
      </c>
      <c r="AH91" s="31">
        <f t="shared" si="113"/>
        <v>0</v>
      </c>
      <c r="AI91" s="18">
        <f t="shared" si="114"/>
        <v>0</v>
      </c>
      <c r="AJ91" s="18">
        <f t="shared" si="115"/>
        <v>0</v>
      </c>
      <c r="AK91" s="18">
        <v>0</v>
      </c>
      <c r="AL91" s="18">
        <f t="shared" si="116"/>
        <v>0</v>
      </c>
      <c r="AM91" s="18">
        <f t="shared" si="117"/>
        <v>0</v>
      </c>
      <c r="AN91" s="18">
        <f t="shared" si="118"/>
        <v>0</v>
      </c>
      <c r="AO91" s="18">
        <f t="shared" si="112"/>
        <v>0</v>
      </c>
      <c r="AP91" s="18">
        <f t="shared" si="80"/>
        <v>0</v>
      </c>
      <c r="AQ91" s="18">
        <f t="shared" si="92"/>
        <v>0</v>
      </c>
      <c r="AR91" s="18">
        <f t="shared" si="93"/>
        <v>0</v>
      </c>
      <c r="AS91" s="18">
        <f t="shared" si="94"/>
        <v>0</v>
      </c>
      <c r="AT91" s="18">
        <f t="shared" si="95"/>
        <v>0</v>
      </c>
      <c r="AU91" s="18">
        <f>INDEX(游戏节奏!$V$4:$V$13,挂机派遣!B91)</f>
        <v>15</v>
      </c>
      <c r="AV91" s="18">
        <f>INDEX(游戏节奏!$V$4:$V$13,挂机派遣!B91)</f>
        <v>15</v>
      </c>
      <c r="AW91" s="18">
        <f>INDEX(游戏节奏!$W$4:$W$13,挂机派遣!B91)</f>
        <v>14</v>
      </c>
      <c r="AX91" s="14">
        <v>2</v>
      </c>
      <c r="AY91" s="14">
        <v>3</v>
      </c>
      <c r="AZ91" s="14"/>
      <c r="BC91" s="18" t="s">
        <v>772</v>
      </c>
      <c r="BD91" s="18" t="str">
        <f t="shared" si="96"/>
        <v>840/h</v>
      </c>
      <c r="BE91" s="18" t="s">
        <v>773</v>
      </c>
      <c r="BF91" s="18" t="str">
        <f t="shared" si="97"/>
        <v>900/h</v>
      </c>
      <c r="BG91" s="18" t="s">
        <v>774</v>
      </c>
      <c r="BH91" s="18" t="str">
        <f t="shared" si="98"/>
        <v>900/h</v>
      </c>
      <c r="BJ91" t="str">
        <f t="shared" si="99"/>
        <v>蓝色基础材料</v>
      </c>
      <c r="BK91" t="str">
        <f t="shared" si="100"/>
        <v>2.5/h</v>
      </c>
      <c r="BL91" t="str">
        <f t="shared" si="101"/>
        <v>紫色基础材料</v>
      </c>
      <c r="BM91" t="str">
        <f t="shared" si="102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676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103"/>
        <v>0</v>
      </c>
      <c r="U92" s="18">
        <f t="shared" si="104"/>
        <v>0</v>
      </c>
      <c r="V92" s="18">
        <f t="shared" si="105"/>
        <v>209.25600000000006</v>
      </c>
      <c r="W92" s="18">
        <f t="shared" si="106"/>
        <v>69.752000000000024</v>
      </c>
      <c r="X92" s="18">
        <f t="shared" si="107"/>
        <v>0</v>
      </c>
      <c r="Y92" s="18">
        <f t="shared" si="108"/>
        <v>78.471000000000018</v>
      </c>
      <c r="Z92" s="18">
        <f t="shared" si="109"/>
        <v>62.776800000000023</v>
      </c>
      <c r="AA92" s="18">
        <f t="shared" si="110"/>
        <v>15.694200000000006</v>
      </c>
      <c r="AB92" s="18">
        <f t="shared" si="111"/>
        <v>168000</v>
      </c>
      <c r="AD92" s="31">
        <f t="shared" si="81"/>
        <v>0</v>
      </c>
      <c r="AE92" s="31">
        <f t="shared" si="82"/>
        <v>0.25</v>
      </c>
      <c r="AF92" s="31">
        <f t="shared" si="83"/>
        <v>0.3</v>
      </c>
      <c r="AG92" s="31">
        <f t="shared" si="84"/>
        <v>0</v>
      </c>
      <c r="AH92" s="31">
        <f t="shared" si="113"/>
        <v>0</v>
      </c>
      <c r="AI92" s="18">
        <f t="shared" si="114"/>
        <v>0</v>
      </c>
      <c r="AJ92" s="18">
        <f t="shared" si="115"/>
        <v>0</v>
      </c>
      <c r="AK92" s="18">
        <v>0</v>
      </c>
      <c r="AL92" s="18">
        <f t="shared" si="116"/>
        <v>0</v>
      </c>
      <c r="AM92" s="18">
        <f t="shared" si="117"/>
        <v>0</v>
      </c>
      <c r="AN92" s="18">
        <f t="shared" si="118"/>
        <v>0</v>
      </c>
      <c r="AO92" s="18">
        <f t="shared" si="112"/>
        <v>0</v>
      </c>
      <c r="AP92" s="18">
        <f t="shared" si="80"/>
        <v>0</v>
      </c>
      <c r="AQ92" s="18">
        <f t="shared" si="92"/>
        <v>0</v>
      </c>
      <c r="AR92" s="18">
        <f t="shared" si="93"/>
        <v>0</v>
      </c>
      <c r="AS92" s="18">
        <f t="shared" si="94"/>
        <v>0</v>
      </c>
      <c r="AT92" s="18">
        <f t="shared" si="95"/>
        <v>0</v>
      </c>
      <c r="AU92" s="18">
        <f>INDEX(游戏节奏!$V$4:$V$13,挂机派遣!B92)</f>
        <v>15</v>
      </c>
      <c r="AV92" s="18">
        <f>INDEX(游戏节奏!$V$4:$V$13,挂机派遣!B92)</f>
        <v>15</v>
      </c>
      <c r="AW92" s="18">
        <f>INDEX(游戏节奏!$W$4:$W$13,挂机派遣!B92)</f>
        <v>14</v>
      </c>
      <c r="AX92" s="14">
        <v>2</v>
      </c>
      <c r="AY92" s="14">
        <v>3</v>
      </c>
      <c r="AZ92" s="14"/>
      <c r="BC92" s="18" t="s">
        <v>772</v>
      </c>
      <c r="BD92" s="18" t="str">
        <f t="shared" si="96"/>
        <v>840/h</v>
      </c>
      <c r="BE92" s="18" t="s">
        <v>773</v>
      </c>
      <c r="BF92" s="18" t="str">
        <f t="shared" si="97"/>
        <v>900/h</v>
      </c>
      <c r="BG92" s="18" t="s">
        <v>774</v>
      </c>
      <c r="BH92" s="18" t="str">
        <f t="shared" si="98"/>
        <v>900/h</v>
      </c>
      <c r="BJ92" t="str">
        <f t="shared" si="99"/>
        <v>蓝色基础材料</v>
      </c>
      <c r="BK92" t="str">
        <f t="shared" si="100"/>
        <v>2.5/h</v>
      </c>
      <c r="BL92" t="str">
        <f t="shared" si="101"/>
        <v>紫色基础材料</v>
      </c>
      <c r="BM92" t="str">
        <f t="shared" si="102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691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103"/>
        <v>0</v>
      </c>
      <c r="U93" s="18">
        <f t="shared" si="104"/>
        <v>0</v>
      </c>
      <c r="V93" s="18">
        <f t="shared" si="105"/>
        <v>216.04800000000006</v>
      </c>
      <c r="W93" s="18">
        <f t="shared" si="106"/>
        <v>72.01600000000002</v>
      </c>
      <c r="X93" s="18">
        <f t="shared" si="107"/>
        <v>0</v>
      </c>
      <c r="Y93" s="18">
        <f t="shared" si="108"/>
        <v>81.018000000000015</v>
      </c>
      <c r="Z93" s="18">
        <f t="shared" si="109"/>
        <v>64.814400000000006</v>
      </c>
      <c r="AA93" s="18">
        <f t="shared" si="110"/>
        <v>16.203600000000002</v>
      </c>
      <c r="AB93" s="18">
        <f t="shared" si="111"/>
        <v>168000</v>
      </c>
      <c r="AD93" s="31">
        <f t="shared" si="81"/>
        <v>0</v>
      </c>
      <c r="AE93" s="31">
        <f t="shared" si="82"/>
        <v>0</v>
      </c>
      <c r="AF93" s="31">
        <f t="shared" si="83"/>
        <v>0</v>
      </c>
      <c r="AG93" s="31">
        <f t="shared" si="84"/>
        <v>0</v>
      </c>
      <c r="AH93" s="31">
        <f t="shared" si="113"/>
        <v>0</v>
      </c>
      <c r="AI93" s="18">
        <f t="shared" si="114"/>
        <v>0</v>
      </c>
      <c r="AJ93" s="18">
        <f t="shared" si="115"/>
        <v>0</v>
      </c>
      <c r="AK93" s="18">
        <v>0</v>
      </c>
      <c r="AL93" s="18">
        <f t="shared" si="116"/>
        <v>0.5</v>
      </c>
      <c r="AM93" s="18">
        <v>0</v>
      </c>
      <c r="AN93" s="18">
        <v>0</v>
      </c>
      <c r="AO93" s="18">
        <v>0</v>
      </c>
      <c r="AP93" s="18">
        <f t="shared" si="80"/>
        <v>0.05</v>
      </c>
      <c r="AQ93" s="18">
        <v>0</v>
      </c>
      <c r="AR93" s="18">
        <v>0</v>
      </c>
      <c r="AS93" s="18">
        <v>0</v>
      </c>
      <c r="AT93" s="18">
        <f t="shared" ref="AT93:AT130" si="119">M93*J$2</f>
        <v>0</v>
      </c>
      <c r="AU93" s="18">
        <f>INDEX(游戏节奏!$V$4:$V$13,挂机派遣!B93)</f>
        <v>15</v>
      </c>
      <c r="AV93" s="18">
        <f>INDEX(游戏节奏!$V$4:$V$13,挂机派遣!B93)</f>
        <v>15</v>
      </c>
      <c r="AW93" s="18">
        <f>INDEX(游戏节奏!$W$4:$W$13,挂机派遣!B93)</f>
        <v>14</v>
      </c>
      <c r="AX93" s="14">
        <v>9</v>
      </c>
      <c r="AY93" s="14">
        <v>13</v>
      </c>
      <c r="AZ93" s="14"/>
      <c r="BC93" s="18" t="s">
        <v>772</v>
      </c>
      <c r="BD93" s="18" t="str">
        <f t="shared" si="96"/>
        <v>840/h</v>
      </c>
      <c r="BE93" s="18" t="s">
        <v>773</v>
      </c>
      <c r="BF93" s="18" t="str">
        <f t="shared" si="97"/>
        <v>900/h</v>
      </c>
      <c r="BG93" s="18" t="s">
        <v>774</v>
      </c>
      <c r="BH93" s="18" t="str">
        <f t="shared" si="98"/>
        <v>900/h</v>
      </c>
      <c r="BJ93" t="str">
        <f t="shared" si="99"/>
        <v>中级蓝</v>
      </c>
      <c r="BK93" t="str">
        <f t="shared" si="100"/>
        <v>1.5/h</v>
      </c>
      <c r="BL93" t="str">
        <f t="shared" si="101"/>
        <v>高级蓝</v>
      </c>
      <c r="BM93" t="str">
        <f t="shared" si="102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688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103"/>
        <v>0</v>
      </c>
      <c r="U94" s="18">
        <f t="shared" si="104"/>
        <v>0</v>
      </c>
      <c r="V94" s="18">
        <f t="shared" si="105"/>
        <v>222.84000000000006</v>
      </c>
      <c r="W94" s="18">
        <f t="shared" si="106"/>
        <v>74.280000000000015</v>
      </c>
      <c r="X94" s="18">
        <f t="shared" si="107"/>
        <v>0</v>
      </c>
      <c r="Y94" s="18">
        <f t="shared" si="108"/>
        <v>83.565000000000026</v>
      </c>
      <c r="Z94" s="18">
        <f t="shared" si="109"/>
        <v>66.852000000000018</v>
      </c>
      <c r="AA94" s="18">
        <f t="shared" si="110"/>
        <v>16.713000000000005</v>
      </c>
      <c r="AB94" s="18">
        <f t="shared" si="111"/>
        <v>168000</v>
      </c>
      <c r="AD94" s="31">
        <f t="shared" si="81"/>
        <v>0</v>
      </c>
      <c r="AE94" s="31">
        <f t="shared" si="82"/>
        <v>0</v>
      </c>
      <c r="AF94" s="31">
        <f t="shared" si="83"/>
        <v>0</v>
      </c>
      <c r="AG94" s="31">
        <f t="shared" si="84"/>
        <v>0</v>
      </c>
      <c r="AH94" s="31">
        <f t="shared" si="113"/>
        <v>0</v>
      </c>
      <c r="AI94" s="18">
        <f t="shared" si="114"/>
        <v>0</v>
      </c>
      <c r="AJ94" s="18">
        <f t="shared" si="115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9"/>
        <v>0</v>
      </c>
      <c r="AU94" s="18">
        <f>INDEX(游戏节奏!$V$4:$V$13,挂机派遣!B94)</f>
        <v>15</v>
      </c>
      <c r="AV94" s="18">
        <f>INDEX(游戏节奏!$V$4:$V$13,挂机派遣!B94)</f>
        <v>15</v>
      </c>
      <c r="AW94" s="18">
        <f>INDEX(游戏节奏!$W$4:$W$13,挂机派遣!B94)</f>
        <v>14</v>
      </c>
      <c r="AX94" s="14">
        <v>10</v>
      </c>
      <c r="AY94" s="14">
        <v>14</v>
      </c>
      <c r="AZ94" s="14"/>
      <c r="BC94" s="18" t="s">
        <v>772</v>
      </c>
      <c r="BD94" s="18" t="str">
        <f t="shared" si="96"/>
        <v>840/h</v>
      </c>
      <c r="BE94" s="18" t="s">
        <v>773</v>
      </c>
      <c r="BF94" s="18" t="str">
        <f t="shared" si="97"/>
        <v>900/h</v>
      </c>
      <c r="BG94" s="18" t="s">
        <v>774</v>
      </c>
      <c r="BH94" s="18" t="str">
        <f t="shared" si="98"/>
        <v>900/h</v>
      </c>
      <c r="BJ94" t="str">
        <f t="shared" si="99"/>
        <v>中级红</v>
      </c>
      <c r="BK94" t="str">
        <f t="shared" si="100"/>
        <v>1.5/h</v>
      </c>
      <c r="BL94" t="str">
        <f t="shared" si="101"/>
        <v>高级红</v>
      </c>
      <c r="BM94" t="str">
        <f t="shared" si="102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677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103"/>
        <v>0</v>
      </c>
      <c r="U95" s="18">
        <f t="shared" si="104"/>
        <v>0</v>
      </c>
      <c r="V95" s="18">
        <f t="shared" si="105"/>
        <v>229.63200000000006</v>
      </c>
      <c r="W95" s="18">
        <f t="shared" si="106"/>
        <v>76.544000000000011</v>
      </c>
      <c r="X95" s="18">
        <f t="shared" si="107"/>
        <v>0</v>
      </c>
      <c r="Y95" s="18">
        <f t="shared" si="108"/>
        <v>86.112000000000009</v>
      </c>
      <c r="Z95" s="18">
        <f t="shared" si="109"/>
        <v>68.889600000000016</v>
      </c>
      <c r="AA95" s="18">
        <f t="shared" si="110"/>
        <v>17.222400000000004</v>
      </c>
      <c r="AB95" s="18">
        <f t="shared" si="111"/>
        <v>168000</v>
      </c>
      <c r="AD95" s="31">
        <f t="shared" si="81"/>
        <v>0</v>
      </c>
      <c r="AE95" s="31">
        <f t="shared" si="82"/>
        <v>0</v>
      </c>
      <c r="AF95" s="31">
        <f t="shared" si="83"/>
        <v>0</v>
      </c>
      <c r="AG95" s="31">
        <f t="shared" si="84"/>
        <v>0</v>
      </c>
      <c r="AH95" s="31">
        <f t="shared" si="113"/>
        <v>0</v>
      </c>
      <c r="AI95" s="18">
        <f t="shared" si="114"/>
        <v>0</v>
      </c>
      <c r="AJ95" s="18">
        <f t="shared" si="115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9"/>
        <v>0</v>
      </c>
      <c r="AU95" s="18">
        <f>INDEX(游戏节奏!$V$4:$V$13,挂机派遣!B95)</f>
        <v>15</v>
      </c>
      <c r="AV95" s="18">
        <f>INDEX(游戏节奏!$V$4:$V$13,挂机派遣!B95)</f>
        <v>15</v>
      </c>
      <c r="AW95" s="18">
        <f>INDEX(游戏节奏!$W$4:$W$13,挂机派遣!B95)</f>
        <v>14</v>
      </c>
      <c r="AX95" s="14">
        <v>11</v>
      </c>
      <c r="AY95" s="14">
        <v>15</v>
      </c>
      <c r="AZ95" s="14"/>
      <c r="BC95" s="18" t="s">
        <v>772</v>
      </c>
      <c r="BD95" s="18" t="str">
        <f t="shared" si="96"/>
        <v>840/h</v>
      </c>
      <c r="BE95" s="18" t="s">
        <v>773</v>
      </c>
      <c r="BF95" s="18" t="str">
        <f t="shared" si="97"/>
        <v>900/h</v>
      </c>
      <c r="BG95" s="18" t="s">
        <v>774</v>
      </c>
      <c r="BH95" s="18" t="str">
        <f t="shared" si="98"/>
        <v>900/h</v>
      </c>
      <c r="BJ95" t="str">
        <f t="shared" si="99"/>
        <v>中级黄</v>
      </c>
      <c r="BK95" t="str">
        <f t="shared" si="100"/>
        <v>1.5/h</v>
      </c>
      <c r="BL95" t="str">
        <f t="shared" si="101"/>
        <v>高级黄</v>
      </c>
      <c r="BM95" t="str">
        <f t="shared" si="102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678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103"/>
        <v>0</v>
      </c>
      <c r="U96" s="18">
        <f t="shared" si="104"/>
        <v>0</v>
      </c>
      <c r="V96" s="18">
        <f t="shared" si="105"/>
        <v>236.42400000000004</v>
      </c>
      <c r="W96" s="18">
        <f t="shared" si="106"/>
        <v>78.808000000000021</v>
      </c>
      <c r="X96" s="18">
        <f t="shared" si="107"/>
        <v>0</v>
      </c>
      <c r="Y96" s="18">
        <f t="shared" si="108"/>
        <v>88.65900000000002</v>
      </c>
      <c r="Z96" s="18">
        <f t="shared" si="109"/>
        <v>70.927200000000013</v>
      </c>
      <c r="AA96" s="18">
        <f t="shared" si="110"/>
        <v>17.731800000000003</v>
      </c>
      <c r="AB96" s="18">
        <f t="shared" si="111"/>
        <v>168000</v>
      </c>
      <c r="AD96" s="31">
        <f t="shared" si="81"/>
        <v>0</v>
      </c>
      <c r="AE96" s="31">
        <f t="shared" si="82"/>
        <v>0</v>
      </c>
      <c r="AF96" s="31">
        <f t="shared" si="83"/>
        <v>0</v>
      </c>
      <c r="AG96" s="31">
        <f t="shared" si="84"/>
        <v>0</v>
      </c>
      <c r="AH96" s="31">
        <f t="shared" si="113"/>
        <v>0</v>
      </c>
      <c r="AI96" s="18">
        <f t="shared" si="114"/>
        <v>0</v>
      </c>
      <c r="AJ96" s="18">
        <f t="shared" si="115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9"/>
        <v>0</v>
      </c>
      <c r="AU96" s="18">
        <f>INDEX(游戏节奏!$V$4:$V$13,挂机派遣!B96)</f>
        <v>15</v>
      </c>
      <c r="AV96" s="18">
        <f>INDEX(游戏节奏!$V$4:$V$13,挂机派遣!B96)</f>
        <v>15</v>
      </c>
      <c r="AW96" s="18">
        <f>INDEX(游戏节奏!$W$4:$W$13,挂机派遣!B96)</f>
        <v>14</v>
      </c>
      <c r="AX96" s="14">
        <v>9</v>
      </c>
      <c r="AY96" s="14">
        <v>13</v>
      </c>
      <c r="AZ96" s="14"/>
      <c r="BC96" s="18" t="s">
        <v>772</v>
      </c>
      <c r="BD96" s="18" t="str">
        <f t="shared" si="96"/>
        <v>840/h</v>
      </c>
      <c r="BE96" s="18" t="s">
        <v>773</v>
      </c>
      <c r="BF96" s="18" t="str">
        <f t="shared" si="97"/>
        <v>900/h</v>
      </c>
      <c r="BG96" s="18" t="s">
        <v>774</v>
      </c>
      <c r="BH96" s="18" t="str">
        <f t="shared" si="98"/>
        <v>900/h</v>
      </c>
      <c r="BJ96" t="str">
        <f t="shared" si="99"/>
        <v>中级蓝</v>
      </c>
      <c r="BK96" t="str">
        <f t="shared" si="100"/>
        <v>1.5/h</v>
      </c>
      <c r="BL96" t="str">
        <f t="shared" si="101"/>
        <v>高级蓝</v>
      </c>
      <c r="BM96" t="str">
        <f t="shared" si="102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692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103"/>
        <v>0</v>
      </c>
      <c r="U97" s="18">
        <f t="shared" si="104"/>
        <v>0</v>
      </c>
      <c r="V97" s="18">
        <f t="shared" si="105"/>
        <v>258.91200000000003</v>
      </c>
      <c r="W97" s="18">
        <f t="shared" si="106"/>
        <v>172.60800000000003</v>
      </c>
      <c r="X97" s="18">
        <f t="shared" si="107"/>
        <v>0</v>
      </c>
      <c r="Y97" s="18">
        <f t="shared" si="108"/>
        <v>0</v>
      </c>
      <c r="Z97" s="18">
        <f t="shared" si="109"/>
        <v>77.673600000000022</v>
      </c>
      <c r="AA97" s="18">
        <f t="shared" si="110"/>
        <v>38.836800000000011</v>
      </c>
      <c r="AB97" s="18">
        <f t="shared" si="111"/>
        <v>168000</v>
      </c>
      <c r="AD97" s="31">
        <f t="shared" si="81"/>
        <v>0</v>
      </c>
      <c r="AE97" s="31">
        <f t="shared" si="82"/>
        <v>0</v>
      </c>
      <c r="AF97" s="31">
        <f t="shared" si="83"/>
        <v>0</v>
      </c>
      <c r="AG97" s="31">
        <f t="shared" si="84"/>
        <v>0</v>
      </c>
      <c r="AH97" s="31">
        <f t="shared" si="113"/>
        <v>0</v>
      </c>
      <c r="AI97" s="18">
        <f t="shared" si="114"/>
        <v>0</v>
      </c>
      <c r="AJ97" s="18">
        <f t="shared" si="115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9"/>
        <v>0</v>
      </c>
      <c r="AU97" s="18">
        <f>INDEX(游戏节奏!$V$4:$V$13,挂机派遣!B97)</f>
        <v>15</v>
      </c>
      <c r="AV97" s="18">
        <f>INDEX(游戏节奏!$V$4:$V$13,挂机派遣!B97)</f>
        <v>15</v>
      </c>
      <c r="AW97" s="18">
        <f>INDEX(游戏节奏!$W$4:$W$13,挂机派遣!B97)</f>
        <v>14</v>
      </c>
      <c r="AX97" s="14">
        <v>10</v>
      </c>
      <c r="AY97" s="14">
        <v>14</v>
      </c>
      <c r="AZ97" s="14"/>
      <c r="BC97" s="18" t="s">
        <v>772</v>
      </c>
      <c r="BD97" s="18" t="str">
        <f t="shared" si="96"/>
        <v>840/h</v>
      </c>
      <c r="BE97" s="18" t="s">
        <v>773</v>
      </c>
      <c r="BF97" s="18" t="str">
        <f t="shared" si="97"/>
        <v>900/h</v>
      </c>
      <c r="BG97" s="18" t="s">
        <v>774</v>
      </c>
      <c r="BH97" s="18" t="str">
        <f t="shared" si="98"/>
        <v>900/h</v>
      </c>
      <c r="BJ97" t="str">
        <f t="shared" si="99"/>
        <v>中级红</v>
      </c>
      <c r="BK97" t="str">
        <f t="shared" si="100"/>
        <v>1.5/h</v>
      </c>
      <c r="BL97" t="str">
        <f t="shared" si="101"/>
        <v>高级红</v>
      </c>
      <c r="BM97" t="str">
        <f t="shared" si="102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683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103"/>
        <v>0</v>
      </c>
      <c r="U98" s="18">
        <f t="shared" si="104"/>
        <v>0</v>
      </c>
      <c r="V98" s="18">
        <f t="shared" si="105"/>
        <v>281.40000000000009</v>
      </c>
      <c r="W98" s="18">
        <f t="shared" si="106"/>
        <v>187.60000000000005</v>
      </c>
      <c r="X98" s="18">
        <f t="shared" si="107"/>
        <v>0</v>
      </c>
      <c r="Y98" s="18">
        <f t="shared" si="108"/>
        <v>0</v>
      </c>
      <c r="Z98" s="18">
        <f t="shared" si="109"/>
        <v>84.420000000000016</v>
      </c>
      <c r="AA98" s="18">
        <f t="shared" si="110"/>
        <v>42.210000000000008</v>
      </c>
      <c r="AB98" s="18">
        <f t="shared" si="111"/>
        <v>168000</v>
      </c>
      <c r="AD98" s="31">
        <f t="shared" si="81"/>
        <v>0</v>
      </c>
      <c r="AE98" s="31">
        <f t="shared" si="82"/>
        <v>0</v>
      </c>
      <c r="AF98" s="31">
        <f t="shared" si="83"/>
        <v>0</v>
      </c>
      <c r="AG98" s="31">
        <f t="shared" si="84"/>
        <v>0</v>
      </c>
      <c r="AH98" s="31">
        <f t="shared" si="113"/>
        <v>0</v>
      </c>
      <c r="AI98" s="18">
        <f t="shared" si="114"/>
        <v>0</v>
      </c>
      <c r="AJ98" s="18">
        <f t="shared" si="115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9"/>
        <v>0</v>
      </c>
      <c r="AU98" s="18">
        <f>INDEX(游戏节奏!$V$4:$V$13,挂机派遣!B98)</f>
        <v>15</v>
      </c>
      <c r="AV98" s="18">
        <f>INDEX(游戏节奏!$V$4:$V$13,挂机派遣!B98)</f>
        <v>15</v>
      </c>
      <c r="AW98" s="18">
        <f>INDEX(游戏节奏!$W$4:$W$13,挂机派遣!B98)</f>
        <v>14</v>
      </c>
      <c r="AX98" s="14">
        <v>11</v>
      </c>
      <c r="AY98" s="14">
        <v>15</v>
      </c>
      <c r="AZ98" s="14"/>
      <c r="BC98" s="18" t="s">
        <v>772</v>
      </c>
      <c r="BD98" s="18" t="str">
        <f t="shared" si="96"/>
        <v>840/h</v>
      </c>
      <c r="BE98" s="18" t="s">
        <v>773</v>
      </c>
      <c r="BF98" s="18" t="str">
        <f t="shared" si="97"/>
        <v>900/h</v>
      </c>
      <c r="BG98" s="18" t="s">
        <v>774</v>
      </c>
      <c r="BH98" s="18" t="str">
        <f t="shared" si="98"/>
        <v>900/h</v>
      </c>
      <c r="BJ98" t="str">
        <f t="shared" si="99"/>
        <v>中级黄</v>
      </c>
      <c r="BK98" t="str">
        <f t="shared" si="100"/>
        <v>1.5/h</v>
      </c>
      <c r="BL98" t="str">
        <f t="shared" si="101"/>
        <v>高级黄</v>
      </c>
      <c r="BM98" t="str">
        <f t="shared" si="102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685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103"/>
        <v>0</v>
      </c>
      <c r="U99" s="18">
        <f t="shared" si="104"/>
        <v>0</v>
      </c>
      <c r="V99" s="18">
        <f t="shared" si="105"/>
        <v>303.88800000000009</v>
      </c>
      <c r="W99" s="18">
        <f t="shared" si="106"/>
        <v>202.59200000000007</v>
      </c>
      <c r="X99" s="18">
        <f t="shared" si="107"/>
        <v>0</v>
      </c>
      <c r="Y99" s="18">
        <f t="shared" si="108"/>
        <v>0</v>
      </c>
      <c r="Z99" s="18">
        <f t="shared" si="109"/>
        <v>91.166400000000039</v>
      </c>
      <c r="AA99" s="18">
        <f t="shared" si="110"/>
        <v>45.583200000000019</v>
      </c>
      <c r="AB99" s="18">
        <f t="shared" si="111"/>
        <v>168000</v>
      </c>
      <c r="AD99" s="31">
        <f t="shared" si="81"/>
        <v>0</v>
      </c>
      <c r="AE99" s="31">
        <f t="shared" si="82"/>
        <v>0</v>
      </c>
      <c r="AF99" s="31">
        <f t="shared" si="83"/>
        <v>0</v>
      </c>
      <c r="AG99" s="31">
        <f t="shared" si="84"/>
        <v>0</v>
      </c>
      <c r="AH99" s="31">
        <f t="shared" si="113"/>
        <v>0</v>
      </c>
      <c r="AI99" s="18">
        <f t="shared" si="114"/>
        <v>0</v>
      </c>
      <c r="AJ99" s="18">
        <f t="shared" si="115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20">K99*H$2</f>
        <v>0.5</v>
      </c>
      <c r="AP99" s="18">
        <v>0</v>
      </c>
      <c r="AQ99" s="18">
        <v>0</v>
      </c>
      <c r="AR99" s="18">
        <v>0</v>
      </c>
      <c r="AS99" s="18">
        <f t="shared" ref="AS99:AS107" si="121">L99*I$2</f>
        <v>0.1</v>
      </c>
      <c r="AT99" s="18">
        <f t="shared" si="119"/>
        <v>0</v>
      </c>
      <c r="AU99" s="18">
        <f>INDEX(游戏节奏!$V$4:$V$13,挂机派遣!B99)</f>
        <v>15</v>
      </c>
      <c r="AV99" s="18">
        <f>INDEX(游戏节奏!$V$4:$V$13,挂机派遣!B99)</f>
        <v>15</v>
      </c>
      <c r="AW99" s="18">
        <f>INDEX(游戏节奏!$W$4:$W$13,挂机派遣!B99)</f>
        <v>14</v>
      </c>
      <c r="AX99" s="14">
        <v>12</v>
      </c>
      <c r="AY99" s="14">
        <v>16</v>
      </c>
      <c r="AZ99" s="14"/>
      <c r="BC99" s="18" t="s">
        <v>772</v>
      </c>
      <c r="BD99" s="18" t="str">
        <f t="shared" si="96"/>
        <v>840/h</v>
      </c>
      <c r="BE99" s="18" t="s">
        <v>773</v>
      </c>
      <c r="BF99" s="18" t="str">
        <f t="shared" si="97"/>
        <v>900/h</v>
      </c>
      <c r="BG99" s="18" t="s">
        <v>774</v>
      </c>
      <c r="BH99" s="18" t="str">
        <f t="shared" si="98"/>
        <v>900/h</v>
      </c>
      <c r="BJ99" t="str">
        <f t="shared" si="99"/>
        <v>中级三才宝箱</v>
      </c>
      <c r="BK99" t="str">
        <f t="shared" si="100"/>
        <v>1.5/h</v>
      </c>
      <c r="BL99" t="str">
        <f t="shared" si="101"/>
        <v>高级三才宝箱</v>
      </c>
      <c r="BM99" t="str">
        <f t="shared" si="102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693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103"/>
        <v>0</v>
      </c>
      <c r="U100" s="18">
        <f t="shared" si="104"/>
        <v>0</v>
      </c>
      <c r="V100" s="18">
        <f t="shared" si="105"/>
        <v>326.37600000000015</v>
      </c>
      <c r="W100" s="18">
        <f t="shared" si="106"/>
        <v>217.58400000000009</v>
      </c>
      <c r="X100" s="18">
        <f t="shared" si="107"/>
        <v>0</v>
      </c>
      <c r="Y100" s="18">
        <f t="shared" si="108"/>
        <v>0</v>
      </c>
      <c r="Z100" s="18">
        <f t="shared" si="109"/>
        <v>97.912800000000033</v>
      </c>
      <c r="AA100" s="18">
        <f t="shared" si="110"/>
        <v>48.956400000000016</v>
      </c>
      <c r="AB100" s="18">
        <f t="shared" si="111"/>
        <v>168000</v>
      </c>
      <c r="AD100" s="31">
        <f t="shared" ref="AD100:AD130" si="122">F100*C$2</f>
        <v>0</v>
      </c>
      <c r="AE100" s="31">
        <f t="shared" ref="AE100:AE130" si="123">G100*D$2</f>
        <v>0</v>
      </c>
      <c r="AF100" s="31">
        <f t="shared" ref="AF100:AF130" si="124">H100*E$2</f>
        <v>0</v>
      </c>
      <c r="AG100" s="31">
        <f t="shared" ref="AG100:AG130" si="125">I100*F$2</f>
        <v>0</v>
      </c>
      <c r="AH100" s="31">
        <f t="shared" si="113"/>
        <v>0</v>
      </c>
      <c r="AI100" s="18">
        <f t="shared" si="114"/>
        <v>0</v>
      </c>
      <c r="AJ100" s="18">
        <f t="shared" si="115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20"/>
        <v>0.5</v>
      </c>
      <c r="AP100" s="18">
        <v>0</v>
      </c>
      <c r="AQ100" s="18">
        <v>0</v>
      </c>
      <c r="AR100" s="18">
        <v>0</v>
      </c>
      <c r="AS100" s="18">
        <f t="shared" si="121"/>
        <v>0.1</v>
      </c>
      <c r="AT100" s="18">
        <f t="shared" si="119"/>
        <v>0</v>
      </c>
      <c r="AU100" s="18">
        <f>INDEX(游戏节奏!$V$4:$V$13,挂机派遣!B100)</f>
        <v>15</v>
      </c>
      <c r="AV100" s="18">
        <f>INDEX(游戏节奏!$V$4:$V$13,挂机派遣!B100)</f>
        <v>15</v>
      </c>
      <c r="AW100" s="18">
        <f>INDEX(游戏节奏!$W$4:$W$13,挂机派遣!B100)</f>
        <v>14</v>
      </c>
      <c r="AX100" s="14">
        <v>12</v>
      </c>
      <c r="AY100" s="14">
        <v>16</v>
      </c>
      <c r="AZ100" s="14"/>
      <c r="BC100" s="18" t="s">
        <v>772</v>
      </c>
      <c r="BD100" s="18" t="str">
        <f t="shared" si="96"/>
        <v>840/h</v>
      </c>
      <c r="BE100" s="18" t="s">
        <v>773</v>
      </c>
      <c r="BF100" s="18" t="str">
        <f t="shared" si="97"/>
        <v>900/h</v>
      </c>
      <c r="BG100" s="18" t="s">
        <v>774</v>
      </c>
      <c r="BH100" s="18" t="str">
        <f t="shared" si="98"/>
        <v>900/h</v>
      </c>
      <c r="BJ100" t="str">
        <f t="shared" si="99"/>
        <v>中级三才宝箱</v>
      </c>
      <c r="BK100" t="str">
        <f t="shared" si="100"/>
        <v>1.5/h</v>
      </c>
      <c r="BL100" t="str">
        <f t="shared" si="101"/>
        <v>高级三才宝箱</v>
      </c>
      <c r="BM100" t="str">
        <f t="shared" si="102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668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103"/>
        <v>0</v>
      </c>
      <c r="U101" s="18">
        <f t="shared" si="104"/>
        <v>0</v>
      </c>
      <c r="V101" s="18">
        <f t="shared" si="105"/>
        <v>348.86400000000015</v>
      </c>
      <c r="W101" s="18">
        <f t="shared" si="106"/>
        <v>232.57600000000011</v>
      </c>
      <c r="X101" s="18">
        <f t="shared" si="107"/>
        <v>0</v>
      </c>
      <c r="Y101" s="18">
        <f t="shared" si="108"/>
        <v>0</v>
      </c>
      <c r="Z101" s="18">
        <f t="shared" si="109"/>
        <v>104.65920000000006</v>
      </c>
      <c r="AA101" s="18">
        <f t="shared" si="110"/>
        <v>52.329600000000028</v>
      </c>
      <c r="AB101" s="18">
        <f t="shared" si="111"/>
        <v>192000</v>
      </c>
      <c r="AD101" s="31">
        <f t="shared" si="122"/>
        <v>0</v>
      </c>
      <c r="AE101" s="31">
        <f t="shared" si="123"/>
        <v>0</v>
      </c>
      <c r="AF101" s="31">
        <f t="shared" si="124"/>
        <v>0.3</v>
      </c>
      <c r="AG101" s="31">
        <f t="shared" si="125"/>
        <v>4.0000000000000008E-2</v>
      </c>
      <c r="AH101" s="31">
        <f t="shared" si="113"/>
        <v>0</v>
      </c>
      <c r="AI101" s="18">
        <f t="shared" si="114"/>
        <v>0</v>
      </c>
      <c r="AJ101" s="18">
        <f t="shared" si="115"/>
        <v>0</v>
      </c>
      <c r="AK101" s="18">
        <v>0</v>
      </c>
      <c r="AL101" s="18">
        <f t="shared" ref="AL101:AL108" si="126">K101*H$2</f>
        <v>0</v>
      </c>
      <c r="AM101" s="18">
        <f t="shared" ref="AM101:AM107" si="127">K101*H$2</f>
        <v>0</v>
      </c>
      <c r="AN101" s="18">
        <f t="shared" ref="AN101:AN107" si="128">K101*H$2</f>
        <v>0</v>
      </c>
      <c r="AO101" s="18">
        <f t="shared" si="120"/>
        <v>0</v>
      </c>
      <c r="AP101" s="18">
        <f t="shared" ref="AP101:AP108" si="129">L101*I$2</f>
        <v>0</v>
      </c>
      <c r="AQ101" s="18">
        <f t="shared" ref="AQ101:AQ107" si="130">L101*I$2</f>
        <v>0</v>
      </c>
      <c r="AR101" s="18">
        <f t="shared" ref="AR101:AR107" si="131">L101*I$2</f>
        <v>0</v>
      </c>
      <c r="AS101" s="18">
        <f t="shared" si="121"/>
        <v>0</v>
      </c>
      <c r="AT101" s="18">
        <f t="shared" si="119"/>
        <v>0</v>
      </c>
      <c r="AU101" s="18">
        <f>INDEX(游戏节奏!$V$4:$V$13,挂机派遣!B101)</f>
        <v>17</v>
      </c>
      <c r="AV101" s="18">
        <f>INDEX(游戏节奏!$V$4:$V$13,挂机派遣!B101)</f>
        <v>17</v>
      </c>
      <c r="AW101" s="18">
        <f>INDEX(游戏节奏!$W$4:$W$13,挂机派遣!B101)</f>
        <v>16</v>
      </c>
      <c r="AX101" s="14">
        <v>3</v>
      </c>
      <c r="AY101" s="14">
        <v>4</v>
      </c>
      <c r="AZ101" s="14"/>
      <c r="BC101" s="18" t="s">
        <v>772</v>
      </c>
      <c r="BD101" s="18" t="str">
        <f t="shared" si="96"/>
        <v>960/h</v>
      </c>
      <c r="BE101" s="18" t="s">
        <v>773</v>
      </c>
      <c r="BF101" s="18" t="str">
        <f t="shared" si="97"/>
        <v>1020/h</v>
      </c>
      <c r="BG101" s="18" t="s">
        <v>774</v>
      </c>
      <c r="BH101" s="18" t="str">
        <f t="shared" si="98"/>
        <v>1020/h</v>
      </c>
      <c r="BJ101" t="str">
        <f t="shared" si="99"/>
        <v>紫色基础材料</v>
      </c>
      <c r="BK101" t="str">
        <f t="shared" si="100"/>
        <v>3/h</v>
      </c>
      <c r="BL101" t="str">
        <f t="shared" si="101"/>
        <v>橙色基础材料</v>
      </c>
      <c r="BM101" t="str">
        <f t="shared" si="102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669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103"/>
        <v>0</v>
      </c>
      <c r="U102" s="18">
        <f t="shared" si="104"/>
        <v>0</v>
      </c>
      <c r="V102" s="18">
        <f t="shared" si="105"/>
        <v>371.3520000000002</v>
      </c>
      <c r="W102" s="18">
        <f t="shared" si="106"/>
        <v>247.56800000000013</v>
      </c>
      <c r="X102" s="18">
        <f t="shared" si="107"/>
        <v>0</v>
      </c>
      <c r="Y102" s="18">
        <f t="shared" si="108"/>
        <v>0</v>
      </c>
      <c r="Z102" s="18">
        <f t="shared" si="109"/>
        <v>111.40560000000005</v>
      </c>
      <c r="AA102" s="18">
        <f t="shared" si="110"/>
        <v>55.702800000000025</v>
      </c>
      <c r="AB102" s="18">
        <f t="shared" si="111"/>
        <v>192000</v>
      </c>
      <c r="AD102" s="31">
        <f t="shared" si="122"/>
        <v>0</v>
      </c>
      <c r="AE102" s="31">
        <f t="shared" si="123"/>
        <v>0</v>
      </c>
      <c r="AF102" s="31">
        <f t="shared" si="124"/>
        <v>0.3</v>
      </c>
      <c r="AG102" s="31">
        <f t="shared" si="125"/>
        <v>0.05</v>
      </c>
      <c r="AH102" s="31">
        <f t="shared" si="113"/>
        <v>0</v>
      </c>
      <c r="AI102" s="18">
        <f t="shared" si="114"/>
        <v>0</v>
      </c>
      <c r="AJ102" s="18">
        <f t="shared" si="115"/>
        <v>0</v>
      </c>
      <c r="AK102" s="18">
        <v>0</v>
      </c>
      <c r="AL102" s="18">
        <f t="shared" si="126"/>
        <v>0</v>
      </c>
      <c r="AM102" s="18">
        <f t="shared" si="127"/>
        <v>0</v>
      </c>
      <c r="AN102" s="18">
        <f t="shared" si="128"/>
        <v>0</v>
      </c>
      <c r="AO102" s="18">
        <f t="shared" si="120"/>
        <v>0</v>
      </c>
      <c r="AP102" s="18">
        <f t="shared" si="129"/>
        <v>0</v>
      </c>
      <c r="AQ102" s="18">
        <f t="shared" si="130"/>
        <v>0</v>
      </c>
      <c r="AR102" s="18">
        <f t="shared" si="131"/>
        <v>0</v>
      </c>
      <c r="AS102" s="18">
        <f t="shared" si="121"/>
        <v>0</v>
      </c>
      <c r="AT102" s="18">
        <f t="shared" si="119"/>
        <v>0</v>
      </c>
      <c r="AU102" s="18">
        <f>INDEX(游戏节奏!$V$4:$V$13,挂机派遣!B102)</f>
        <v>17</v>
      </c>
      <c r="AV102" s="18">
        <f>INDEX(游戏节奏!$V$4:$V$13,挂机派遣!B102)</f>
        <v>17</v>
      </c>
      <c r="AW102" s="18">
        <f>INDEX(游戏节奏!$W$4:$W$13,挂机派遣!B102)</f>
        <v>16</v>
      </c>
      <c r="AX102" s="14">
        <v>3</v>
      </c>
      <c r="AY102" s="14">
        <v>4</v>
      </c>
      <c r="AZ102" s="14"/>
      <c r="BC102" s="18" t="s">
        <v>772</v>
      </c>
      <c r="BD102" s="18" t="str">
        <f t="shared" si="96"/>
        <v>960/h</v>
      </c>
      <c r="BE102" s="18" t="s">
        <v>773</v>
      </c>
      <c r="BF102" s="18" t="str">
        <f t="shared" si="97"/>
        <v>1020/h</v>
      </c>
      <c r="BG102" s="18" t="s">
        <v>774</v>
      </c>
      <c r="BH102" s="18" t="str">
        <f t="shared" si="98"/>
        <v>1020/h</v>
      </c>
      <c r="BJ102" t="str">
        <f t="shared" si="99"/>
        <v>紫色基础材料</v>
      </c>
      <c r="BK102" t="str">
        <f t="shared" si="100"/>
        <v>3/h</v>
      </c>
      <c r="BL102" t="str">
        <f t="shared" si="101"/>
        <v>橙色基础材料</v>
      </c>
      <c r="BM102" t="str">
        <f t="shared" si="102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665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103"/>
        <v>0</v>
      </c>
      <c r="U103" s="18">
        <f t="shared" si="104"/>
        <v>0</v>
      </c>
      <c r="V103" s="18">
        <f t="shared" si="105"/>
        <v>393.8400000000002</v>
      </c>
      <c r="W103" s="18">
        <f t="shared" si="106"/>
        <v>262.56000000000017</v>
      </c>
      <c r="X103" s="18">
        <f t="shared" si="107"/>
        <v>0</v>
      </c>
      <c r="Y103" s="18">
        <f t="shared" si="108"/>
        <v>0</v>
      </c>
      <c r="Z103" s="18">
        <f t="shared" si="109"/>
        <v>118.15200000000007</v>
      </c>
      <c r="AA103" s="18">
        <f t="shared" si="110"/>
        <v>59.076000000000036</v>
      </c>
      <c r="AB103" s="18">
        <f t="shared" si="111"/>
        <v>192000</v>
      </c>
      <c r="AD103" s="31">
        <f t="shared" si="122"/>
        <v>0</v>
      </c>
      <c r="AE103" s="31">
        <f t="shared" si="123"/>
        <v>0</v>
      </c>
      <c r="AF103" s="31">
        <f t="shared" si="124"/>
        <v>0.3</v>
      </c>
      <c r="AG103" s="31">
        <f t="shared" si="125"/>
        <v>0.06</v>
      </c>
      <c r="AH103" s="31">
        <f t="shared" si="113"/>
        <v>0</v>
      </c>
      <c r="AI103" s="18">
        <f t="shared" si="114"/>
        <v>0</v>
      </c>
      <c r="AJ103" s="18">
        <f t="shared" si="115"/>
        <v>0</v>
      </c>
      <c r="AK103" s="18">
        <v>0</v>
      </c>
      <c r="AL103" s="18">
        <f t="shared" si="126"/>
        <v>0</v>
      </c>
      <c r="AM103" s="18">
        <f t="shared" si="127"/>
        <v>0</v>
      </c>
      <c r="AN103" s="18">
        <f t="shared" si="128"/>
        <v>0</v>
      </c>
      <c r="AO103" s="18">
        <f t="shared" si="120"/>
        <v>0</v>
      </c>
      <c r="AP103" s="18">
        <f t="shared" si="129"/>
        <v>0</v>
      </c>
      <c r="AQ103" s="18">
        <f t="shared" si="130"/>
        <v>0</v>
      </c>
      <c r="AR103" s="18">
        <f t="shared" si="131"/>
        <v>0</v>
      </c>
      <c r="AS103" s="18">
        <f t="shared" si="121"/>
        <v>0</v>
      </c>
      <c r="AT103" s="18">
        <f t="shared" si="119"/>
        <v>0</v>
      </c>
      <c r="AU103" s="18">
        <f>INDEX(游戏节奏!$V$4:$V$13,挂机派遣!B103)</f>
        <v>17</v>
      </c>
      <c r="AV103" s="18">
        <f>INDEX(游戏节奏!$V$4:$V$13,挂机派遣!B103)</f>
        <v>17</v>
      </c>
      <c r="AW103" s="18">
        <f>INDEX(游戏节奏!$W$4:$W$13,挂机派遣!B103)</f>
        <v>16</v>
      </c>
      <c r="AX103" s="14">
        <v>3</v>
      </c>
      <c r="AY103" s="14">
        <v>4</v>
      </c>
      <c r="AZ103" s="14"/>
      <c r="BC103" s="18" t="s">
        <v>772</v>
      </c>
      <c r="BD103" s="18" t="str">
        <f t="shared" si="96"/>
        <v>960/h</v>
      </c>
      <c r="BE103" s="18" t="s">
        <v>773</v>
      </c>
      <c r="BF103" s="18" t="str">
        <f t="shared" si="97"/>
        <v>1020/h</v>
      </c>
      <c r="BG103" s="18" t="s">
        <v>774</v>
      </c>
      <c r="BH103" s="18" t="str">
        <f t="shared" si="98"/>
        <v>1020/h</v>
      </c>
      <c r="BJ103" t="str">
        <f t="shared" si="99"/>
        <v>紫色基础材料</v>
      </c>
      <c r="BK103" t="str">
        <f t="shared" si="100"/>
        <v>3/h</v>
      </c>
      <c r="BL103" t="str">
        <f t="shared" si="101"/>
        <v>橙色基础材料</v>
      </c>
      <c r="BM103" t="str">
        <f t="shared" si="102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671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103"/>
        <v>0</v>
      </c>
      <c r="U104" s="18">
        <f t="shared" si="104"/>
        <v>0</v>
      </c>
      <c r="V104" s="18">
        <f t="shared" si="105"/>
        <v>416.32800000000026</v>
      </c>
      <c r="W104" s="18">
        <f t="shared" si="106"/>
        <v>277.55200000000013</v>
      </c>
      <c r="X104" s="18">
        <f t="shared" si="107"/>
        <v>0</v>
      </c>
      <c r="Y104" s="18">
        <f t="shared" si="108"/>
        <v>0</v>
      </c>
      <c r="Z104" s="18">
        <f t="shared" si="109"/>
        <v>124.89840000000007</v>
      </c>
      <c r="AA104" s="18">
        <f t="shared" si="110"/>
        <v>62.449200000000033</v>
      </c>
      <c r="AB104" s="18">
        <f t="shared" si="111"/>
        <v>192000</v>
      </c>
      <c r="AD104" s="31">
        <f t="shared" si="122"/>
        <v>0</v>
      </c>
      <c r="AE104" s="31">
        <f t="shared" si="123"/>
        <v>0</v>
      </c>
      <c r="AF104" s="31">
        <f t="shared" si="124"/>
        <v>0.3</v>
      </c>
      <c r="AG104" s="31">
        <f t="shared" si="125"/>
        <v>6.9999999999999993E-2</v>
      </c>
      <c r="AH104" s="31">
        <f t="shared" si="113"/>
        <v>0</v>
      </c>
      <c r="AI104" s="18">
        <f t="shared" si="114"/>
        <v>0</v>
      </c>
      <c r="AJ104" s="18">
        <f t="shared" si="115"/>
        <v>0</v>
      </c>
      <c r="AK104" s="18">
        <v>0</v>
      </c>
      <c r="AL104" s="18">
        <f t="shared" si="126"/>
        <v>0</v>
      </c>
      <c r="AM104" s="18">
        <f t="shared" si="127"/>
        <v>0</v>
      </c>
      <c r="AN104" s="18">
        <f t="shared" si="128"/>
        <v>0</v>
      </c>
      <c r="AO104" s="18">
        <f t="shared" si="120"/>
        <v>0</v>
      </c>
      <c r="AP104" s="18">
        <f t="shared" si="129"/>
        <v>0</v>
      </c>
      <c r="AQ104" s="18">
        <f t="shared" si="130"/>
        <v>0</v>
      </c>
      <c r="AR104" s="18">
        <f t="shared" si="131"/>
        <v>0</v>
      </c>
      <c r="AS104" s="18">
        <f t="shared" si="121"/>
        <v>0</v>
      </c>
      <c r="AT104" s="18">
        <f t="shared" si="119"/>
        <v>0</v>
      </c>
      <c r="AU104" s="18">
        <f>INDEX(游戏节奏!$V$4:$V$13,挂机派遣!B104)</f>
        <v>17</v>
      </c>
      <c r="AV104" s="18">
        <f>INDEX(游戏节奏!$V$4:$V$13,挂机派遣!B104)</f>
        <v>17</v>
      </c>
      <c r="AW104" s="18">
        <f>INDEX(游戏节奏!$W$4:$W$13,挂机派遣!B104)</f>
        <v>16</v>
      </c>
      <c r="AX104" s="14">
        <v>3</v>
      </c>
      <c r="AY104" s="14">
        <v>4</v>
      </c>
      <c r="AZ104" s="14"/>
      <c r="BC104" s="18" t="s">
        <v>772</v>
      </c>
      <c r="BD104" s="18" t="str">
        <f t="shared" si="96"/>
        <v>960/h</v>
      </c>
      <c r="BE104" s="18" t="s">
        <v>773</v>
      </c>
      <c r="BF104" s="18" t="str">
        <f t="shared" si="97"/>
        <v>1020/h</v>
      </c>
      <c r="BG104" s="18" t="s">
        <v>774</v>
      </c>
      <c r="BH104" s="18" t="str">
        <f t="shared" si="98"/>
        <v>1020/h</v>
      </c>
      <c r="BJ104" t="str">
        <f t="shared" si="99"/>
        <v>紫色基础材料</v>
      </c>
      <c r="BK104" t="str">
        <f t="shared" si="100"/>
        <v>3/h</v>
      </c>
      <c r="BL104" t="str">
        <f t="shared" si="101"/>
        <v>橙色基础材料</v>
      </c>
      <c r="BM104" t="str">
        <f t="shared" si="102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674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103"/>
        <v>0</v>
      </c>
      <c r="U105" s="18">
        <f t="shared" si="104"/>
        <v>0</v>
      </c>
      <c r="V105" s="18">
        <f t="shared" si="105"/>
        <v>438.81600000000026</v>
      </c>
      <c r="W105" s="18">
        <f t="shared" si="106"/>
        <v>292.54400000000021</v>
      </c>
      <c r="X105" s="18">
        <f t="shared" si="107"/>
        <v>0</v>
      </c>
      <c r="Y105" s="18">
        <f t="shared" si="108"/>
        <v>0</v>
      </c>
      <c r="Z105" s="18">
        <f t="shared" si="109"/>
        <v>131.64480000000009</v>
      </c>
      <c r="AA105" s="18">
        <f t="shared" si="110"/>
        <v>65.822400000000044</v>
      </c>
      <c r="AB105" s="18">
        <f t="shared" si="111"/>
        <v>192000</v>
      </c>
      <c r="AD105" s="31">
        <f t="shared" si="122"/>
        <v>0</v>
      </c>
      <c r="AE105" s="31">
        <f t="shared" si="123"/>
        <v>0</v>
      </c>
      <c r="AF105" s="31">
        <f t="shared" si="124"/>
        <v>0.3</v>
      </c>
      <c r="AG105" s="31">
        <f t="shared" si="125"/>
        <v>8.0000000000000016E-2</v>
      </c>
      <c r="AH105" s="31">
        <f t="shared" si="113"/>
        <v>0</v>
      </c>
      <c r="AI105" s="18">
        <f t="shared" si="114"/>
        <v>0</v>
      </c>
      <c r="AJ105" s="18">
        <f t="shared" si="115"/>
        <v>0</v>
      </c>
      <c r="AK105" s="18">
        <v>0</v>
      </c>
      <c r="AL105" s="18">
        <f t="shared" si="126"/>
        <v>0</v>
      </c>
      <c r="AM105" s="18">
        <f t="shared" si="127"/>
        <v>0</v>
      </c>
      <c r="AN105" s="18">
        <f t="shared" si="128"/>
        <v>0</v>
      </c>
      <c r="AO105" s="18">
        <f t="shared" si="120"/>
        <v>0</v>
      </c>
      <c r="AP105" s="18">
        <f t="shared" si="129"/>
        <v>0</v>
      </c>
      <c r="AQ105" s="18">
        <f t="shared" si="130"/>
        <v>0</v>
      </c>
      <c r="AR105" s="18">
        <f t="shared" si="131"/>
        <v>0</v>
      </c>
      <c r="AS105" s="18">
        <f t="shared" si="121"/>
        <v>0</v>
      </c>
      <c r="AT105" s="18">
        <f t="shared" si="119"/>
        <v>0</v>
      </c>
      <c r="AU105" s="18">
        <f>INDEX(游戏节奏!$V$4:$V$13,挂机派遣!B105)</f>
        <v>17</v>
      </c>
      <c r="AV105" s="18">
        <f>INDEX(游戏节奏!$V$4:$V$13,挂机派遣!B105)</f>
        <v>17</v>
      </c>
      <c r="AW105" s="18">
        <f>INDEX(游戏节奏!$W$4:$W$13,挂机派遣!B105)</f>
        <v>16</v>
      </c>
      <c r="AX105" s="14">
        <v>3</v>
      </c>
      <c r="AY105" s="14">
        <v>4</v>
      </c>
      <c r="AZ105" s="14"/>
      <c r="BC105" s="18" t="s">
        <v>772</v>
      </c>
      <c r="BD105" s="18" t="str">
        <f t="shared" si="96"/>
        <v>960/h</v>
      </c>
      <c r="BE105" s="18" t="s">
        <v>773</v>
      </c>
      <c r="BF105" s="18" t="str">
        <f t="shared" si="97"/>
        <v>1020/h</v>
      </c>
      <c r="BG105" s="18" t="s">
        <v>774</v>
      </c>
      <c r="BH105" s="18" t="str">
        <f t="shared" si="98"/>
        <v>1020/h</v>
      </c>
      <c r="BJ105" t="str">
        <f t="shared" si="99"/>
        <v>紫色基础材料</v>
      </c>
      <c r="BK105" t="str">
        <f t="shared" si="100"/>
        <v>3/h</v>
      </c>
      <c r="BL105" t="str">
        <f t="shared" si="101"/>
        <v>橙色基础材料</v>
      </c>
      <c r="BM105" t="str">
        <f t="shared" si="102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675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103"/>
        <v>0</v>
      </c>
      <c r="U106" s="18">
        <f t="shared" si="104"/>
        <v>0</v>
      </c>
      <c r="V106" s="18">
        <f t="shared" si="105"/>
        <v>461.30400000000031</v>
      </c>
      <c r="W106" s="18">
        <f t="shared" si="106"/>
        <v>307.53600000000017</v>
      </c>
      <c r="X106" s="18">
        <f t="shared" si="107"/>
        <v>0</v>
      </c>
      <c r="Y106" s="18">
        <f t="shared" si="108"/>
        <v>0</v>
      </c>
      <c r="Z106" s="18">
        <f t="shared" si="109"/>
        <v>138.39120000000008</v>
      </c>
      <c r="AA106" s="18">
        <f t="shared" si="110"/>
        <v>69.195600000000042</v>
      </c>
      <c r="AB106" s="18">
        <f t="shared" si="111"/>
        <v>192000</v>
      </c>
      <c r="AD106" s="31">
        <f t="shared" si="122"/>
        <v>0</v>
      </c>
      <c r="AE106" s="31">
        <f t="shared" si="123"/>
        <v>0</v>
      </c>
      <c r="AF106" s="31">
        <f t="shared" si="124"/>
        <v>0.3</v>
      </c>
      <c r="AG106" s="31">
        <f t="shared" si="125"/>
        <v>9.0000000000000011E-2</v>
      </c>
      <c r="AH106" s="31">
        <f t="shared" si="113"/>
        <v>0</v>
      </c>
      <c r="AI106" s="18">
        <f t="shared" si="114"/>
        <v>0</v>
      </c>
      <c r="AJ106" s="18">
        <f t="shared" si="115"/>
        <v>0</v>
      </c>
      <c r="AK106" s="18">
        <v>0</v>
      </c>
      <c r="AL106" s="18">
        <f t="shared" si="126"/>
        <v>0</v>
      </c>
      <c r="AM106" s="18">
        <f t="shared" si="127"/>
        <v>0</v>
      </c>
      <c r="AN106" s="18">
        <f t="shared" si="128"/>
        <v>0</v>
      </c>
      <c r="AO106" s="18">
        <f t="shared" si="120"/>
        <v>0</v>
      </c>
      <c r="AP106" s="18">
        <f t="shared" si="129"/>
        <v>0</v>
      </c>
      <c r="AQ106" s="18">
        <f t="shared" si="130"/>
        <v>0</v>
      </c>
      <c r="AR106" s="18">
        <f t="shared" si="131"/>
        <v>0</v>
      </c>
      <c r="AS106" s="18">
        <f t="shared" si="121"/>
        <v>0</v>
      </c>
      <c r="AT106" s="18">
        <f t="shared" si="119"/>
        <v>0</v>
      </c>
      <c r="AU106" s="18">
        <f>INDEX(游戏节奏!$V$4:$V$13,挂机派遣!B106)</f>
        <v>17</v>
      </c>
      <c r="AV106" s="18">
        <f>INDEX(游戏节奏!$V$4:$V$13,挂机派遣!B106)</f>
        <v>17</v>
      </c>
      <c r="AW106" s="18">
        <f>INDEX(游戏节奏!$W$4:$W$13,挂机派遣!B106)</f>
        <v>16</v>
      </c>
      <c r="AX106" s="14">
        <v>3</v>
      </c>
      <c r="AY106" s="14">
        <v>4</v>
      </c>
      <c r="AZ106" s="14"/>
      <c r="BC106" s="18" t="s">
        <v>772</v>
      </c>
      <c r="BD106" s="18" t="str">
        <f t="shared" si="96"/>
        <v>960/h</v>
      </c>
      <c r="BE106" s="18" t="s">
        <v>773</v>
      </c>
      <c r="BF106" s="18" t="str">
        <f t="shared" si="97"/>
        <v>1020/h</v>
      </c>
      <c r="BG106" s="18" t="s">
        <v>774</v>
      </c>
      <c r="BH106" s="18" t="str">
        <f t="shared" si="98"/>
        <v>1020/h</v>
      </c>
      <c r="BJ106" t="str">
        <f t="shared" si="99"/>
        <v>紫色基础材料</v>
      </c>
      <c r="BK106" t="str">
        <f t="shared" si="100"/>
        <v>3/h</v>
      </c>
      <c r="BL106" t="str">
        <f t="shared" si="101"/>
        <v>橙色基础材料</v>
      </c>
      <c r="BM106" t="str">
        <f t="shared" si="102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676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103"/>
        <v>0</v>
      </c>
      <c r="U107" s="18">
        <f t="shared" si="104"/>
        <v>0</v>
      </c>
      <c r="V107" s="18">
        <f t="shared" si="105"/>
        <v>508.34400000000034</v>
      </c>
      <c r="W107" s="18">
        <f t="shared" si="106"/>
        <v>338.89600000000024</v>
      </c>
      <c r="X107" s="18">
        <f t="shared" si="107"/>
        <v>0</v>
      </c>
      <c r="Y107" s="18">
        <f t="shared" si="108"/>
        <v>0</v>
      </c>
      <c r="Z107" s="18">
        <f t="shared" si="109"/>
        <v>152.50320000000011</v>
      </c>
      <c r="AA107" s="18">
        <f t="shared" si="110"/>
        <v>76.251600000000053</v>
      </c>
      <c r="AB107" s="18">
        <f t="shared" si="111"/>
        <v>192000</v>
      </c>
      <c r="AD107" s="31">
        <f t="shared" si="122"/>
        <v>0</v>
      </c>
      <c r="AE107" s="31">
        <f t="shared" si="123"/>
        <v>0</v>
      </c>
      <c r="AF107" s="31">
        <f t="shared" si="124"/>
        <v>0.3</v>
      </c>
      <c r="AG107" s="31">
        <f t="shared" si="125"/>
        <v>0.1</v>
      </c>
      <c r="AH107" s="31">
        <f t="shared" si="113"/>
        <v>0</v>
      </c>
      <c r="AI107" s="18">
        <f t="shared" si="114"/>
        <v>0</v>
      </c>
      <c r="AJ107" s="18">
        <f t="shared" si="115"/>
        <v>0</v>
      </c>
      <c r="AK107" s="18">
        <v>0</v>
      </c>
      <c r="AL107" s="18">
        <f t="shared" si="126"/>
        <v>0</v>
      </c>
      <c r="AM107" s="18">
        <f t="shared" si="127"/>
        <v>0</v>
      </c>
      <c r="AN107" s="18">
        <f t="shared" si="128"/>
        <v>0</v>
      </c>
      <c r="AO107" s="18">
        <f t="shared" si="120"/>
        <v>0</v>
      </c>
      <c r="AP107" s="18">
        <f t="shared" si="129"/>
        <v>0</v>
      </c>
      <c r="AQ107" s="18">
        <f t="shared" si="130"/>
        <v>0</v>
      </c>
      <c r="AR107" s="18">
        <f t="shared" si="131"/>
        <v>0</v>
      </c>
      <c r="AS107" s="18">
        <f t="shared" si="121"/>
        <v>0</v>
      </c>
      <c r="AT107" s="18">
        <f t="shared" si="119"/>
        <v>0</v>
      </c>
      <c r="AU107" s="18">
        <f>INDEX(游戏节奏!$V$4:$V$13,挂机派遣!B107)</f>
        <v>17</v>
      </c>
      <c r="AV107" s="18">
        <f>INDEX(游戏节奏!$V$4:$V$13,挂机派遣!B107)</f>
        <v>17</v>
      </c>
      <c r="AW107" s="18">
        <f>INDEX(游戏节奏!$W$4:$W$13,挂机派遣!B107)</f>
        <v>16</v>
      </c>
      <c r="AX107" s="14">
        <v>3</v>
      </c>
      <c r="AY107" s="14">
        <v>4</v>
      </c>
      <c r="AZ107" s="14"/>
      <c r="BC107" s="18" t="s">
        <v>772</v>
      </c>
      <c r="BD107" s="18" t="str">
        <f t="shared" si="96"/>
        <v>960/h</v>
      </c>
      <c r="BE107" s="18" t="s">
        <v>773</v>
      </c>
      <c r="BF107" s="18" t="str">
        <f t="shared" si="97"/>
        <v>1020/h</v>
      </c>
      <c r="BG107" s="18" t="s">
        <v>774</v>
      </c>
      <c r="BH107" s="18" t="str">
        <f t="shared" si="98"/>
        <v>1020/h</v>
      </c>
      <c r="BJ107" t="str">
        <f t="shared" si="99"/>
        <v>紫色基础材料</v>
      </c>
      <c r="BK107" t="str">
        <f t="shared" si="100"/>
        <v>3/h</v>
      </c>
      <c r="BL107" t="str">
        <f t="shared" si="101"/>
        <v>橙色基础材料</v>
      </c>
      <c r="BM107" t="str">
        <f t="shared" si="102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691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103"/>
        <v>0</v>
      </c>
      <c r="U108" s="18">
        <f t="shared" si="104"/>
        <v>0</v>
      </c>
      <c r="V108" s="18">
        <f t="shared" si="105"/>
        <v>555.38400000000036</v>
      </c>
      <c r="W108" s="18">
        <f t="shared" si="106"/>
        <v>370.25600000000026</v>
      </c>
      <c r="X108" s="18">
        <f t="shared" si="107"/>
        <v>0</v>
      </c>
      <c r="Y108" s="18">
        <f t="shared" si="108"/>
        <v>0</v>
      </c>
      <c r="Z108" s="18">
        <f t="shared" si="109"/>
        <v>166.61520000000013</v>
      </c>
      <c r="AA108" s="18">
        <f t="shared" si="110"/>
        <v>83.307600000000065</v>
      </c>
      <c r="AB108" s="18">
        <f t="shared" si="111"/>
        <v>192000</v>
      </c>
      <c r="AD108" s="31">
        <f t="shared" si="122"/>
        <v>0</v>
      </c>
      <c r="AE108" s="31">
        <f t="shared" si="123"/>
        <v>0</v>
      </c>
      <c r="AF108" s="31">
        <f t="shared" si="124"/>
        <v>0</v>
      </c>
      <c r="AG108" s="31">
        <f t="shared" si="125"/>
        <v>0</v>
      </c>
      <c r="AH108" s="31">
        <f t="shared" si="113"/>
        <v>0</v>
      </c>
      <c r="AI108" s="18">
        <f t="shared" si="114"/>
        <v>0</v>
      </c>
      <c r="AJ108" s="18">
        <f t="shared" si="115"/>
        <v>0</v>
      </c>
      <c r="AK108" s="18">
        <v>0</v>
      </c>
      <c r="AL108" s="18">
        <f t="shared" si="126"/>
        <v>0.25</v>
      </c>
      <c r="AM108" s="18">
        <v>0</v>
      </c>
      <c r="AN108" s="18">
        <v>0</v>
      </c>
      <c r="AO108" s="18">
        <v>0</v>
      </c>
      <c r="AP108" s="18">
        <f t="shared" si="129"/>
        <v>0.13999999999999999</v>
      </c>
      <c r="AQ108" s="18">
        <v>0</v>
      </c>
      <c r="AR108" s="18">
        <v>0</v>
      </c>
      <c r="AS108" s="18">
        <v>0</v>
      </c>
      <c r="AT108" s="18">
        <f t="shared" si="119"/>
        <v>0.05</v>
      </c>
      <c r="AU108" s="18">
        <f>INDEX(游戏节奏!$V$4:$V$13,挂机派遣!B108)</f>
        <v>17</v>
      </c>
      <c r="AV108" s="18">
        <f>INDEX(游戏节奏!$V$4:$V$13,挂机派遣!B108)</f>
        <v>17</v>
      </c>
      <c r="AW108" s="18">
        <f>INDEX(游戏节奏!$W$4:$W$13,挂机派遣!B108)</f>
        <v>16</v>
      </c>
      <c r="AX108" s="14">
        <v>9</v>
      </c>
      <c r="AY108" s="14">
        <v>13</v>
      </c>
      <c r="AZ108" s="14"/>
      <c r="BC108" s="18" t="s">
        <v>772</v>
      </c>
      <c r="BD108" s="18" t="str">
        <f t="shared" si="96"/>
        <v>960/h</v>
      </c>
      <c r="BE108" s="18" t="s">
        <v>773</v>
      </c>
      <c r="BF108" s="18" t="str">
        <f t="shared" si="97"/>
        <v>1020/h</v>
      </c>
      <c r="BG108" s="18" t="s">
        <v>774</v>
      </c>
      <c r="BH108" s="18" t="str">
        <f t="shared" si="98"/>
        <v>1020/h</v>
      </c>
      <c r="BJ108" t="str">
        <f t="shared" si="99"/>
        <v>中级蓝</v>
      </c>
      <c r="BK108" t="str">
        <f t="shared" si="100"/>
        <v>0.75/h</v>
      </c>
      <c r="BL108" t="str">
        <f t="shared" si="101"/>
        <v>高级蓝</v>
      </c>
      <c r="BM108" t="str">
        <f t="shared" si="102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688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103"/>
        <v>0</v>
      </c>
      <c r="U109" s="18">
        <f t="shared" si="104"/>
        <v>0</v>
      </c>
      <c r="V109" s="18">
        <f t="shared" si="105"/>
        <v>602.42400000000043</v>
      </c>
      <c r="W109" s="18">
        <f t="shared" si="106"/>
        <v>401.61600000000027</v>
      </c>
      <c r="X109" s="18">
        <f t="shared" si="107"/>
        <v>0</v>
      </c>
      <c r="Y109" s="18">
        <f t="shared" si="108"/>
        <v>0</v>
      </c>
      <c r="Z109" s="18">
        <f t="shared" si="109"/>
        <v>180.72720000000015</v>
      </c>
      <c r="AA109" s="18">
        <f t="shared" si="110"/>
        <v>90.363600000000076</v>
      </c>
      <c r="AB109" s="18">
        <f t="shared" si="111"/>
        <v>192000</v>
      </c>
      <c r="AD109" s="31">
        <f t="shared" si="122"/>
        <v>0</v>
      </c>
      <c r="AE109" s="31">
        <f t="shared" si="123"/>
        <v>0</v>
      </c>
      <c r="AF109" s="31">
        <f t="shared" si="124"/>
        <v>0</v>
      </c>
      <c r="AG109" s="31">
        <f t="shared" si="125"/>
        <v>0</v>
      </c>
      <c r="AH109" s="31">
        <f t="shared" si="113"/>
        <v>0</v>
      </c>
      <c r="AI109" s="18">
        <f t="shared" si="114"/>
        <v>0</v>
      </c>
      <c r="AJ109" s="18">
        <f t="shared" si="115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9"/>
        <v>0.05</v>
      </c>
      <c r="AU109" s="18">
        <f>INDEX(游戏节奏!$V$4:$V$13,挂机派遣!B109)</f>
        <v>17</v>
      </c>
      <c r="AV109" s="18">
        <f>INDEX(游戏节奏!$V$4:$V$13,挂机派遣!B109)</f>
        <v>17</v>
      </c>
      <c r="AW109" s="18">
        <f>INDEX(游戏节奏!$W$4:$W$13,挂机派遣!B109)</f>
        <v>16</v>
      </c>
      <c r="AX109" s="14">
        <v>10</v>
      </c>
      <c r="AY109" s="14">
        <v>14</v>
      </c>
      <c r="AZ109" s="14"/>
      <c r="BC109" s="18" t="s">
        <v>772</v>
      </c>
      <c r="BD109" s="18" t="str">
        <f t="shared" si="96"/>
        <v>960/h</v>
      </c>
      <c r="BE109" s="18" t="s">
        <v>773</v>
      </c>
      <c r="BF109" s="18" t="str">
        <f t="shared" si="97"/>
        <v>1020/h</v>
      </c>
      <c r="BG109" s="18" t="s">
        <v>774</v>
      </c>
      <c r="BH109" s="18" t="str">
        <f t="shared" si="98"/>
        <v>1020/h</v>
      </c>
      <c r="BJ109" t="str">
        <f t="shared" si="99"/>
        <v>中级红</v>
      </c>
      <c r="BK109" t="str">
        <f t="shared" si="100"/>
        <v>0.75/h</v>
      </c>
      <c r="BL109" t="str">
        <f t="shared" si="101"/>
        <v>高级红</v>
      </c>
      <c r="BM109" t="str">
        <f t="shared" si="102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677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103"/>
        <v>0</v>
      </c>
      <c r="U110" s="18">
        <f t="shared" si="104"/>
        <v>0</v>
      </c>
      <c r="V110" s="18">
        <f t="shared" si="105"/>
        <v>649.46400000000051</v>
      </c>
      <c r="W110" s="18">
        <f t="shared" si="106"/>
        <v>432.97600000000034</v>
      </c>
      <c r="X110" s="18">
        <f t="shared" si="107"/>
        <v>0</v>
      </c>
      <c r="Y110" s="18">
        <f t="shared" si="108"/>
        <v>0</v>
      </c>
      <c r="Z110" s="18">
        <f t="shared" si="109"/>
        <v>194.83920000000012</v>
      </c>
      <c r="AA110" s="18">
        <f t="shared" si="110"/>
        <v>97.419600000000059</v>
      </c>
      <c r="AB110" s="18">
        <f t="shared" si="111"/>
        <v>192000</v>
      </c>
      <c r="AD110" s="31">
        <f t="shared" si="122"/>
        <v>0</v>
      </c>
      <c r="AE110" s="31">
        <f t="shared" si="123"/>
        <v>0</v>
      </c>
      <c r="AF110" s="31">
        <f t="shared" si="124"/>
        <v>0</v>
      </c>
      <c r="AG110" s="31">
        <f t="shared" si="125"/>
        <v>0</v>
      </c>
      <c r="AH110" s="31">
        <f t="shared" si="113"/>
        <v>0</v>
      </c>
      <c r="AI110" s="18">
        <f t="shared" si="114"/>
        <v>0</v>
      </c>
      <c r="AJ110" s="18">
        <f t="shared" si="115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9"/>
        <v>0.05</v>
      </c>
      <c r="AU110" s="18">
        <f>INDEX(游戏节奏!$V$4:$V$13,挂机派遣!B110)</f>
        <v>17</v>
      </c>
      <c r="AV110" s="18">
        <f>INDEX(游戏节奏!$V$4:$V$13,挂机派遣!B110)</f>
        <v>17</v>
      </c>
      <c r="AW110" s="18">
        <f>INDEX(游戏节奏!$W$4:$W$13,挂机派遣!B110)</f>
        <v>16</v>
      </c>
      <c r="AX110" s="14">
        <v>11</v>
      </c>
      <c r="AY110" s="14">
        <v>15</v>
      </c>
      <c r="AZ110" s="14"/>
      <c r="BC110" s="18" t="s">
        <v>772</v>
      </c>
      <c r="BD110" s="18" t="str">
        <f t="shared" si="96"/>
        <v>960/h</v>
      </c>
      <c r="BE110" s="18" t="s">
        <v>773</v>
      </c>
      <c r="BF110" s="18" t="str">
        <f t="shared" si="97"/>
        <v>1020/h</v>
      </c>
      <c r="BG110" s="18" t="s">
        <v>774</v>
      </c>
      <c r="BH110" s="18" t="str">
        <f t="shared" si="98"/>
        <v>1020/h</v>
      </c>
      <c r="BJ110" t="str">
        <f t="shared" si="99"/>
        <v>中级黄</v>
      </c>
      <c r="BK110" t="str">
        <f t="shared" si="100"/>
        <v>0.75/h</v>
      </c>
      <c r="BL110" t="str">
        <f t="shared" si="101"/>
        <v>高级黄</v>
      </c>
      <c r="BM110" t="str">
        <f t="shared" si="102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678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103"/>
        <v>0</v>
      </c>
      <c r="U111" s="18">
        <f t="shared" si="104"/>
        <v>0</v>
      </c>
      <c r="V111" s="18">
        <f t="shared" si="105"/>
        <v>696.50400000000047</v>
      </c>
      <c r="W111" s="18">
        <f t="shared" si="106"/>
        <v>464.33600000000035</v>
      </c>
      <c r="X111" s="18">
        <f t="shared" si="107"/>
        <v>0</v>
      </c>
      <c r="Y111" s="18">
        <f t="shared" si="108"/>
        <v>0</v>
      </c>
      <c r="Z111" s="18">
        <f t="shared" si="109"/>
        <v>208.95120000000014</v>
      </c>
      <c r="AA111" s="18">
        <f t="shared" si="110"/>
        <v>104.47560000000007</v>
      </c>
      <c r="AB111" s="18">
        <f t="shared" si="111"/>
        <v>192000</v>
      </c>
      <c r="AD111" s="31">
        <f t="shared" si="122"/>
        <v>0</v>
      </c>
      <c r="AE111" s="31">
        <f t="shared" si="123"/>
        <v>0</v>
      </c>
      <c r="AF111" s="31">
        <f t="shared" si="124"/>
        <v>0</v>
      </c>
      <c r="AG111" s="31">
        <f t="shared" si="125"/>
        <v>0</v>
      </c>
      <c r="AH111" s="31">
        <f t="shared" si="113"/>
        <v>0</v>
      </c>
      <c r="AI111" s="18">
        <f t="shared" si="114"/>
        <v>0</v>
      </c>
      <c r="AJ111" s="18">
        <f t="shared" si="115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9"/>
        <v>0.05</v>
      </c>
      <c r="AU111" s="18">
        <f>INDEX(游戏节奏!$V$4:$V$13,挂机派遣!B111)</f>
        <v>17</v>
      </c>
      <c r="AV111" s="18">
        <f>INDEX(游戏节奏!$V$4:$V$13,挂机派遣!B111)</f>
        <v>17</v>
      </c>
      <c r="AW111" s="18">
        <f>INDEX(游戏节奏!$W$4:$W$13,挂机派遣!B111)</f>
        <v>16</v>
      </c>
      <c r="AX111" s="14">
        <v>9</v>
      </c>
      <c r="AY111" s="14">
        <v>13</v>
      </c>
      <c r="AZ111" s="14"/>
      <c r="BC111" s="18" t="s">
        <v>772</v>
      </c>
      <c r="BD111" s="18" t="str">
        <f t="shared" si="96"/>
        <v>960/h</v>
      </c>
      <c r="BE111" s="18" t="s">
        <v>773</v>
      </c>
      <c r="BF111" s="18" t="str">
        <f t="shared" si="97"/>
        <v>1020/h</v>
      </c>
      <c r="BG111" s="18" t="s">
        <v>774</v>
      </c>
      <c r="BH111" s="18" t="str">
        <f t="shared" si="98"/>
        <v>1020/h</v>
      </c>
      <c r="BJ111" t="str">
        <f t="shared" si="99"/>
        <v>中级蓝</v>
      </c>
      <c r="BK111" t="str">
        <f t="shared" si="100"/>
        <v>0.75/h</v>
      </c>
      <c r="BL111" t="str">
        <f t="shared" si="101"/>
        <v>高级蓝</v>
      </c>
      <c r="BM111" t="str">
        <f t="shared" si="102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692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103"/>
        <v>0</v>
      </c>
      <c r="U112" s="18">
        <f t="shared" si="104"/>
        <v>0</v>
      </c>
      <c r="V112" s="18">
        <f t="shared" si="105"/>
        <v>743.54400000000055</v>
      </c>
      <c r="W112" s="18">
        <f t="shared" si="106"/>
        <v>495.69600000000037</v>
      </c>
      <c r="X112" s="18">
        <f t="shared" si="107"/>
        <v>0</v>
      </c>
      <c r="Y112" s="18">
        <f t="shared" si="108"/>
        <v>0</v>
      </c>
      <c r="Z112" s="18">
        <f t="shared" si="109"/>
        <v>223.06320000000017</v>
      </c>
      <c r="AA112" s="18">
        <f t="shared" si="110"/>
        <v>111.53160000000008</v>
      </c>
      <c r="AB112" s="18">
        <f t="shared" si="111"/>
        <v>192000</v>
      </c>
      <c r="AD112" s="31">
        <f t="shared" si="122"/>
        <v>0</v>
      </c>
      <c r="AE112" s="31">
        <f t="shared" si="123"/>
        <v>0</v>
      </c>
      <c r="AF112" s="31">
        <f t="shared" si="124"/>
        <v>0</v>
      </c>
      <c r="AG112" s="31">
        <f t="shared" si="125"/>
        <v>0</v>
      </c>
      <c r="AH112" s="31">
        <f t="shared" si="113"/>
        <v>0</v>
      </c>
      <c r="AI112" s="18">
        <f t="shared" si="114"/>
        <v>0</v>
      </c>
      <c r="AJ112" s="18">
        <f t="shared" si="115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9"/>
        <v>0.05</v>
      </c>
      <c r="AU112" s="18">
        <f>INDEX(游戏节奏!$V$4:$V$13,挂机派遣!B112)</f>
        <v>17</v>
      </c>
      <c r="AV112" s="18">
        <f>INDEX(游戏节奏!$V$4:$V$13,挂机派遣!B112)</f>
        <v>17</v>
      </c>
      <c r="AW112" s="18">
        <f>INDEX(游戏节奏!$W$4:$W$13,挂机派遣!B112)</f>
        <v>16</v>
      </c>
      <c r="AX112" s="14">
        <v>10</v>
      </c>
      <c r="AY112" s="14">
        <v>14</v>
      </c>
      <c r="AZ112" s="14"/>
      <c r="BC112" s="18" t="s">
        <v>772</v>
      </c>
      <c r="BD112" s="18" t="str">
        <f t="shared" si="96"/>
        <v>960/h</v>
      </c>
      <c r="BE112" s="18" t="s">
        <v>773</v>
      </c>
      <c r="BF112" s="18" t="str">
        <f t="shared" si="97"/>
        <v>1020/h</v>
      </c>
      <c r="BG112" s="18" t="s">
        <v>774</v>
      </c>
      <c r="BH112" s="18" t="str">
        <f t="shared" si="98"/>
        <v>1020/h</v>
      </c>
      <c r="BJ112" t="str">
        <f t="shared" si="99"/>
        <v>中级红</v>
      </c>
      <c r="BK112" t="str">
        <f t="shared" si="100"/>
        <v>0.75/h</v>
      </c>
      <c r="BL112" t="str">
        <f t="shared" si="101"/>
        <v>高级红</v>
      </c>
      <c r="BM112" t="str">
        <f t="shared" si="102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683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103"/>
        <v>0</v>
      </c>
      <c r="U113" s="18">
        <f t="shared" si="104"/>
        <v>0</v>
      </c>
      <c r="V113" s="18">
        <f t="shared" si="105"/>
        <v>790.58400000000063</v>
      </c>
      <c r="W113" s="18">
        <f t="shared" si="106"/>
        <v>527.05600000000038</v>
      </c>
      <c r="X113" s="18">
        <f t="shared" si="107"/>
        <v>0</v>
      </c>
      <c r="Y113" s="18">
        <f t="shared" si="108"/>
        <v>0</v>
      </c>
      <c r="Z113" s="18">
        <f t="shared" si="109"/>
        <v>237.17520000000019</v>
      </c>
      <c r="AA113" s="18">
        <f t="shared" si="110"/>
        <v>118.58760000000009</v>
      </c>
      <c r="AB113" s="18">
        <f t="shared" si="111"/>
        <v>192000</v>
      </c>
      <c r="AD113" s="31">
        <f t="shared" si="122"/>
        <v>0</v>
      </c>
      <c r="AE113" s="31">
        <f t="shared" si="123"/>
        <v>0</v>
      </c>
      <c r="AF113" s="31">
        <f t="shared" si="124"/>
        <v>0</v>
      </c>
      <c r="AG113" s="31">
        <f t="shared" si="125"/>
        <v>0</v>
      </c>
      <c r="AH113" s="31">
        <f t="shared" si="113"/>
        <v>0</v>
      </c>
      <c r="AI113" s="18">
        <f t="shared" si="114"/>
        <v>0</v>
      </c>
      <c r="AJ113" s="18">
        <f t="shared" si="115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9"/>
        <v>0.05</v>
      </c>
      <c r="AU113" s="18">
        <f>INDEX(游戏节奏!$V$4:$V$13,挂机派遣!B113)</f>
        <v>17</v>
      </c>
      <c r="AV113" s="18">
        <f>INDEX(游戏节奏!$V$4:$V$13,挂机派遣!B113)</f>
        <v>17</v>
      </c>
      <c r="AW113" s="18">
        <f>INDEX(游戏节奏!$W$4:$W$13,挂机派遣!B113)</f>
        <v>16</v>
      </c>
      <c r="AX113" s="14">
        <v>11</v>
      </c>
      <c r="AY113" s="14">
        <v>15</v>
      </c>
      <c r="AZ113" s="14"/>
      <c r="BC113" s="18" t="s">
        <v>772</v>
      </c>
      <c r="BD113" s="18" t="str">
        <f t="shared" ref="BD113:BD130" si="132">AW113*60&amp;"/h"</f>
        <v>960/h</v>
      </c>
      <c r="BE113" s="18" t="s">
        <v>773</v>
      </c>
      <c r="BF113" s="18" t="str">
        <f t="shared" ref="BF113:BF130" si="133">AU113*60&amp;"/h"</f>
        <v>1020/h</v>
      </c>
      <c r="BG113" s="18" t="s">
        <v>774</v>
      </c>
      <c r="BH113" s="18" t="str">
        <f t="shared" ref="BH113:BH130" si="134">AV113*60&amp;"/h"</f>
        <v>1020/h</v>
      </c>
      <c r="BJ113" t="str">
        <f t="shared" ref="BJ113:BJ130" si="135">INDEX($AD$15:$AW$15,$AX113)</f>
        <v>中级黄</v>
      </c>
      <c r="BK113" t="str">
        <f t="shared" ref="BK113:BK130" si="136">INDEX($AD113:$AW113,AX113)*60/INDEX(AD$13:AW$13,AX113)&amp;"/h"</f>
        <v>0.75/h</v>
      </c>
      <c r="BL113" t="str">
        <f t="shared" ref="BL113:BL130" si="137">IF(ISBLANK($AY113),"",INDEX($AD$15:$AW$15,$AY113))</f>
        <v>高级黄</v>
      </c>
      <c r="BM113" t="str">
        <f t="shared" ref="BM113:BM130" si="138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685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103"/>
        <v>0</v>
      </c>
      <c r="U114" s="18">
        <f t="shared" si="104"/>
        <v>0</v>
      </c>
      <c r="V114" s="18">
        <f t="shared" si="105"/>
        <v>837.62400000000059</v>
      </c>
      <c r="W114" s="18">
        <f t="shared" si="106"/>
        <v>558.41600000000039</v>
      </c>
      <c r="X114" s="18">
        <f t="shared" si="107"/>
        <v>0</v>
      </c>
      <c r="Y114" s="18">
        <f t="shared" si="108"/>
        <v>0</v>
      </c>
      <c r="Z114" s="18">
        <f t="shared" si="109"/>
        <v>251.28720000000021</v>
      </c>
      <c r="AA114" s="18">
        <f t="shared" si="110"/>
        <v>125.64360000000011</v>
      </c>
      <c r="AB114" s="18">
        <f t="shared" si="111"/>
        <v>192000</v>
      </c>
      <c r="AD114" s="31">
        <f t="shared" si="122"/>
        <v>0</v>
      </c>
      <c r="AE114" s="31">
        <f t="shared" si="123"/>
        <v>0</v>
      </c>
      <c r="AF114" s="31">
        <f t="shared" si="124"/>
        <v>0</v>
      </c>
      <c r="AG114" s="31">
        <f t="shared" si="125"/>
        <v>0</v>
      </c>
      <c r="AH114" s="31">
        <f t="shared" si="113"/>
        <v>0</v>
      </c>
      <c r="AI114" s="18">
        <f t="shared" si="114"/>
        <v>0</v>
      </c>
      <c r="AJ114" s="18">
        <f t="shared" si="115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9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40">L114*I$2</f>
        <v>0.2</v>
      </c>
      <c r="AT114" s="18">
        <f t="shared" si="119"/>
        <v>0.05</v>
      </c>
      <c r="AU114" s="18">
        <f>INDEX(游戏节奏!$V$4:$V$13,挂机派遣!B114)</f>
        <v>17</v>
      </c>
      <c r="AV114" s="18">
        <f>INDEX(游戏节奏!$V$4:$V$13,挂机派遣!B114)</f>
        <v>17</v>
      </c>
      <c r="AW114" s="18">
        <f>INDEX(游戏节奏!$W$4:$W$13,挂机派遣!B114)</f>
        <v>16</v>
      </c>
      <c r="AX114" s="14">
        <v>12</v>
      </c>
      <c r="AY114" s="14">
        <v>16</v>
      </c>
      <c r="AZ114" s="14"/>
      <c r="BC114" s="18" t="s">
        <v>772</v>
      </c>
      <c r="BD114" s="18" t="str">
        <f t="shared" si="132"/>
        <v>960/h</v>
      </c>
      <c r="BE114" s="18" t="s">
        <v>773</v>
      </c>
      <c r="BF114" s="18" t="str">
        <f t="shared" si="133"/>
        <v>1020/h</v>
      </c>
      <c r="BG114" s="18" t="s">
        <v>774</v>
      </c>
      <c r="BH114" s="18" t="str">
        <f t="shared" si="134"/>
        <v>1020/h</v>
      </c>
      <c r="BJ114" t="str">
        <f t="shared" si="135"/>
        <v>中级三才宝箱</v>
      </c>
      <c r="BK114" t="str">
        <f t="shared" si="136"/>
        <v>0.75/h</v>
      </c>
      <c r="BL114" t="str">
        <f t="shared" si="137"/>
        <v>高级三才宝箱</v>
      </c>
      <c r="BM114" t="str">
        <f t="shared" si="138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693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103"/>
        <v>0</v>
      </c>
      <c r="U115" s="18">
        <f t="shared" si="104"/>
        <v>0</v>
      </c>
      <c r="V115" s="18">
        <f t="shared" si="105"/>
        <v>884.66400000000067</v>
      </c>
      <c r="W115" s="18">
        <f t="shared" si="106"/>
        <v>589.77600000000041</v>
      </c>
      <c r="X115" s="18">
        <f t="shared" si="107"/>
        <v>0</v>
      </c>
      <c r="Y115" s="18">
        <f t="shared" si="108"/>
        <v>0</v>
      </c>
      <c r="Z115" s="18">
        <f t="shared" si="109"/>
        <v>265.39920000000018</v>
      </c>
      <c r="AA115" s="18">
        <f t="shared" si="110"/>
        <v>132.69960000000009</v>
      </c>
      <c r="AB115" s="18">
        <f t="shared" si="111"/>
        <v>192000</v>
      </c>
      <c r="AD115" s="31">
        <f t="shared" si="122"/>
        <v>0</v>
      </c>
      <c r="AE115" s="31">
        <f t="shared" si="123"/>
        <v>0</v>
      </c>
      <c r="AF115" s="31">
        <f t="shared" si="124"/>
        <v>0</v>
      </c>
      <c r="AG115" s="31">
        <f t="shared" si="125"/>
        <v>0</v>
      </c>
      <c r="AH115" s="31">
        <f t="shared" si="113"/>
        <v>0</v>
      </c>
      <c r="AI115" s="18">
        <f t="shared" si="114"/>
        <v>0</v>
      </c>
      <c r="AJ115" s="18">
        <f t="shared" si="115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9"/>
        <v>0.25</v>
      </c>
      <c r="AP115" s="18">
        <v>0</v>
      </c>
      <c r="AQ115" s="18">
        <v>0</v>
      </c>
      <c r="AR115" s="18">
        <v>0</v>
      </c>
      <c r="AS115" s="18">
        <f t="shared" si="140"/>
        <v>0.2</v>
      </c>
      <c r="AT115" s="18">
        <f t="shared" si="119"/>
        <v>0.05</v>
      </c>
      <c r="AU115" s="18">
        <f>INDEX(游戏节奏!$V$4:$V$13,挂机派遣!B115)</f>
        <v>17</v>
      </c>
      <c r="AV115" s="18">
        <f>INDEX(游戏节奏!$V$4:$V$13,挂机派遣!B115)</f>
        <v>17</v>
      </c>
      <c r="AW115" s="18">
        <f>INDEX(游戏节奏!$W$4:$W$13,挂机派遣!B115)</f>
        <v>16</v>
      </c>
      <c r="AX115" s="14">
        <v>12</v>
      </c>
      <c r="AY115" s="14">
        <v>16</v>
      </c>
      <c r="AZ115" s="14"/>
      <c r="BC115" s="18" t="s">
        <v>772</v>
      </c>
      <c r="BD115" s="18" t="str">
        <f t="shared" si="132"/>
        <v>960/h</v>
      </c>
      <c r="BE115" s="18" t="s">
        <v>773</v>
      </c>
      <c r="BF115" s="18" t="str">
        <f t="shared" si="133"/>
        <v>1020/h</v>
      </c>
      <c r="BG115" s="18" t="s">
        <v>774</v>
      </c>
      <c r="BH115" s="18" t="str">
        <f t="shared" si="134"/>
        <v>1020/h</v>
      </c>
      <c r="BJ115" t="str">
        <f t="shared" si="135"/>
        <v>中级三才宝箱</v>
      </c>
      <c r="BK115" t="str">
        <f t="shared" si="136"/>
        <v>0.75/h</v>
      </c>
      <c r="BL115" t="str">
        <f t="shared" si="137"/>
        <v>高级三才宝箱</v>
      </c>
      <c r="BM115" t="str">
        <f t="shared" si="138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668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103"/>
        <v>0</v>
      </c>
      <c r="U116" s="18">
        <f t="shared" si="104"/>
        <v>0</v>
      </c>
      <c r="V116" s="18">
        <f t="shared" si="105"/>
        <v>931.70400000000075</v>
      </c>
      <c r="W116" s="18">
        <f t="shared" si="106"/>
        <v>621.13600000000042</v>
      </c>
      <c r="X116" s="18">
        <f t="shared" si="107"/>
        <v>0</v>
      </c>
      <c r="Y116" s="18">
        <f t="shared" si="108"/>
        <v>0</v>
      </c>
      <c r="Z116" s="18">
        <f t="shared" si="109"/>
        <v>279.5112000000002</v>
      </c>
      <c r="AA116" s="18">
        <f t="shared" si="110"/>
        <v>139.7556000000001</v>
      </c>
      <c r="AB116" s="18">
        <f t="shared" si="111"/>
        <v>216000</v>
      </c>
      <c r="AD116" s="31">
        <f t="shared" si="122"/>
        <v>300</v>
      </c>
      <c r="AE116" s="31">
        <f t="shared" si="123"/>
        <v>0</v>
      </c>
      <c r="AF116" s="31">
        <f t="shared" si="124"/>
        <v>0.3</v>
      </c>
      <c r="AG116" s="31">
        <f t="shared" si="125"/>
        <v>0.13999999999999999</v>
      </c>
      <c r="AH116" s="31">
        <f t="shared" si="113"/>
        <v>0</v>
      </c>
      <c r="AI116" s="18">
        <f t="shared" si="114"/>
        <v>0</v>
      </c>
      <c r="AJ116" s="18">
        <f t="shared" si="115"/>
        <v>0</v>
      </c>
      <c r="AK116" s="18">
        <v>0</v>
      </c>
      <c r="AL116" s="18">
        <f t="shared" ref="AL116:AL130" si="141">K116*H$2</f>
        <v>0</v>
      </c>
      <c r="AM116" s="18">
        <f t="shared" ref="AM116:AM130" si="142">K116*H$2</f>
        <v>0</v>
      </c>
      <c r="AN116" s="18">
        <f t="shared" ref="AN116:AN130" si="143">K116*H$2</f>
        <v>0</v>
      </c>
      <c r="AO116" s="18">
        <f t="shared" si="139"/>
        <v>0</v>
      </c>
      <c r="AP116" s="18">
        <f t="shared" ref="AP116:AP123" si="144">L116*I$2</f>
        <v>0</v>
      </c>
      <c r="AQ116" s="18">
        <f t="shared" ref="AQ116:AQ122" si="145">L116*I$2</f>
        <v>0</v>
      </c>
      <c r="AR116" s="18">
        <f t="shared" ref="AR116:AR122" si="146">L116*I$2</f>
        <v>0</v>
      </c>
      <c r="AS116" s="18">
        <f t="shared" si="140"/>
        <v>0</v>
      </c>
      <c r="AT116" s="18">
        <f t="shared" si="119"/>
        <v>0</v>
      </c>
      <c r="AU116" s="18">
        <f>INDEX(游戏节奏!$V$4:$V$13,挂机派遣!B116)</f>
        <v>19</v>
      </c>
      <c r="AV116" s="18">
        <f>INDEX(游戏节奏!$V$4:$V$13,挂机派遣!B116)</f>
        <v>19</v>
      </c>
      <c r="AW116" s="18">
        <f>INDEX(游戏节奏!$W$4:$W$13,挂机派遣!B116)</f>
        <v>18</v>
      </c>
      <c r="AX116" s="14">
        <v>3</v>
      </c>
      <c r="AY116" s="14">
        <v>4</v>
      </c>
      <c r="AZ116" s="14"/>
      <c r="BC116" s="18" t="s">
        <v>772</v>
      </c>
      <c r="BD116" s="18" t="str">
        <f t="shared" si="132"/>
        <v>1080/h</v>
      </c>
      <c r="BE116" s="18" t="s">
        <v>773</v>
      </c>
      <c r="BF116" s="18" t="str">
        <f t="shared" si="133"/>
        <v>1140/h</v>
      </c>
      <c r="BG116" s="18" t="s">
        <v>774</v>
      </c>
      <c r="BH116" s="18" t="str">
        <f t="shared" si="134"/>
        <v>1140/h</v>
      </c>
      <c r="BJ116" t="str">
        <f t="shared" si="135"/>
        <v>紫色基础材料</v>
      </c>
      <c r="BK116" t="str">
        <f t="shared" si="136"/>
        <v>3/h</v>
      </c>
      <c r="BL116" t="str">
        <f t="shared" si="137"/>
        <v>橙色基础材料</v>
      </c>
      <c r="BM116" t="str">
        <f t="shared" si="138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669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22"/>
        <v>0</v>
      </c>
      <c r="AE117" s="31">
        <f t="shared" si="123"/>
        <v>0</v>
      </c>
      <c r="AF117" s="31">
        <f t="shared" si="124"/>
        <v>0.3</v>
      </c>
      <c r="AG117" s="31">
        <f t="shared" si="125"/>
        <v>0.15000000000000002</v>
      </c>
      <c r="AH117" s="31">
        <f t="shared" si="113"/>
        <v>0</v>
      </c>
      <c r="AI117" s="18">
        <f t="shared" si="114"/>
        <v>0</v>
      </c>
      <c r="AJ117" s="18">
        <f t="shared" si="115"/>
        <v>0</v>
      </c>
      <c r="AK117" s="18">
        <v>0</v>
      </c>
      <c r="AL117" s="18">
        <f t="shared" si="141"/>
        <v>0</v>
      </c>
      <c r="AM117" s="18">
        <f t="shared" si="142"/>
        <v>0</v>
      </c>
      <c r="AN117" s="18">
        <f t="shared" si="143"/>
        <v>0</v>
      </c>
      <c r="AO117" s="18">
        <f t="shared" si="139"/>
        <v>0</v>
      </c>
      <c r="AP117" s="18">
        <f t="shared" si="144"/>
        <v>0</v>
      </c>
      <c r="AQ117" s="18">
        <f t="shared" si="145"/>
        <v>0</v>
      </c>
      <c r="AR117" s="18">
        <f t="shared" si="146"/>
        <v>0</v>
      </c>
      <c r="AS117" s="18">
        <f t="shared" si="140"/>
        <v>0</v>
      </c>
      <c r="AT117" s="18">
        <f t="shared" si="119"/>
        <v>0</v>
      </c>
      <c r="AU117" s="18">
        <f>INDEX(游戏节奏!$V$4:$V$13,挂机派遣!B117)</f>
        <v>19</v>
      </c>
      <c r="AV117" s="18">
        <f>INDEX(游戏节奏!$V$4:$V$13,挂机派遣!B117)</f>
        <v>19</v>
      </c>
      <c r="AW117" s="18">
        <f>INDEX(游戏节奏!$W$4:$W$13,挂机派遣!B117)</f>
        <v>18</v>
      </c>
      <c r="AX117" s="14">
        <v>3</v>
      </c>
      <c r="AY117" s="14">
        <v>4</v>
      </c>
      <c r="AZ117" s="14"/>
      <c r="BC117" s="18" t="s">
        <v>772</v>
      </c>
      <c r="BD117" s="18" t="str">
        <f t="shared" si="132"/>
        <v>1080/h</v>
      </c>
      <c r="BE117" s="18" t="s">
        <v>773</v>
      </c>
      <c r="BF117" s="18" t="str">
        <f t="shared" si="133"/>
        <v>1140/h</v>
      </c>
      <c r="BG117" s="18" t="s">
        <v>774</v>
      </c>
      <c r="BH117" s="18" t="str">
        <f t="shared" si="134"/>
        <v>1140/h</v>
      </c>
      <c r="BJ117" t="str">
        <f t="shared" si="135"/>
        <v>紫色基础材料</v>
      </c>
      <c r="BK117" t="str">
        <f t="shared" si="136"/>
        <v>3/h</v>
      </c>
      <c r="BL117" t="str">
        <f t="shared" si="137"/>
        <v>橙色基础材料</v>
      </c>
      <c r="BM117" t="str">
        <f t="shared" si="138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665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22"/>
        <v>0</v>
      </c>
      <c r="AE118" s="31">
        <f t="shared" si="123"/>
        <v>0</v>
      </c>
      <c r="AF118" s="31">
        <f t="shared" si="124"/>
        <v>0.3</v>
      </c>
      <c r="AG118" s="31">
        <f t="shared" si="125"/>
        <v>0.16000000000000003</v>
      </c>
      <c r="AH118" s="31">
        <f t="shared" si="113"/>
        <v>0</v>
      </c>
      <c r="AI118" s="18">
        <f t="shared" si="114"/>
        <v>0</v>
      </c>
      <c r="AJ118" s="18">
        <f t="shared" si="115"/>
        <v>0</v>
      </c>
      <c r="AK118" s="18">
        <v>0</v>
      </c>
      <c r="AL118" s="18">
        <f t="shared" si="141"/>
        <v>0</v>
      </c>
      <c r="AM118" s="18">
        <f t="shared" si="142"/>
        <v>0</v>
      </c>
      <c r="AN118" s="18">
        <f t="shared" si="143"/>
        <v>0</v>
      </c>
      <c r="AO118" s="18">
        <f t="shared" si="139"/>
        <v>0</v>
      </c>
      <c r="AP118" s="18">
        <f t="shared" si="144"/>
        <v>0</v>
      </c>
      <c r="AQ118" s="18">
        <f t="shared" si="145"/>
        <v>0</v>
      </c>
      <c r="AR118" s="18">
        <f t="shared" si="146"/>
        <v>0</v>
      </c>
      <c r="AS118" s="18">
        <f t="shared" si="140"/>
        <v>0</v>
      </c>
      <c r="AT118" s="18">
        <f t="shared" si="119"/>
        <v>0</v>
      </c>
      <c r="AU118" s="18">
        <f>INDEX(游戏节奏!$V$4:$V$13,挂机派遣!B118)</f>
        <v>19</v>
      </c>
      <c r="AV118" s="18">
        <f>INDEX(游戏节奏!$V$4:$V$13,挂机派遣!B118)</f>
        <v>19</v>
      </c>
      <c r="AW118" s="18">
        <f>INDEX(游戏节奏!$W$4:$W$13,挂机派遣!B118)</f>
        <v>18</v>
      </c>
      <c r="AX118" s="14">
        <v>3</v>
      </c>
      <c r="AY118" s="14">
        <v>4</v>
      </c>
      <c r="AZ118" s="14"/>
      <c r="BC118" s="18" t="s">
        <v>772</v>
      </c>
      <c r="BD118" s="18" t="str">
        <f t="shared" si="132"/>
        <v>1080/h</v>
      </c>
      <c r="BE118" s="18" t="s">
        <v>773</v>
      </c>
      <c r="BF118" s="18" t="str">
        <f t="shared" si="133"/>
        <v>1140/h</v>
      </c>
      <c r="BG118" s="18" t="s">
        <v>774</v>
      </c>
      <c r="BH118" s="18" t="str">
        <f t="shared" si="134"/>
        <v>1140/h</v>
      </c>
      <c r="BJ118" t="str">
        <f t="shared" si="135"/>
        <v>紫色基础材料</v>
      </c>
      <c r="BK118" t="str">
        <f t="shared" si="136"/>
        <v>3/h</v>
      </c>
      <c r="BL118" t="str">
        <f t="shared" si="137"/>
        <v>橙色基础材料</v>
      </c>
      <c r="BM118" t="str">
        <f t="shared" si="138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671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22"/>
        <v>0</v>
      </c>
      <c r="AE119" s="31">
        <f t="shared" si="123"/>
        <v>0</v>
      </c>
      <c r="AF119" s="31">
        <f t="shared" si="124"/>
        <v>0.3</v>
      </c>
      <c r="AG119" s="31">
        <f t="shared" si="125"/>
        <v>0.17</v>
      </c>
      <c r="AH119" s="31">
        <f t="shared" si="113"/>
        <v>0</v>
      </c>
      <c r="AI119" s="18">
        <f t="shared" si="114"/>
        <v>0</v>
      </c>
      <c r="AJ119" s="18">
        <f t="shared" si="115"/>
        <v>0</v>
      </c>
      <c r="AK119" s="18">
        <v>0</v>
      </c>
      <c r="AL119" s="18">
        <f t="shared" si="141"/>
        <v>0</v>
      </c>
      <c r="AM119" s="18">
        <f t="shared" si="142"/>
        <v>0</v>
      </c>
      <c r="AN119" s="18">
        <f t="shared" si="143"/>
        <v>0</v>
      </c>
      <c r="AO119" s="18">
        <f t="shared" si="139"/>
        <v>0</v>
      </c>
      <c r="AP119" s="18">
        <f t="shared" si="144"/>
        <v>0</v>
      </c>
      <c r="AQ119" s="18">
        <f t="shared" si="145"/>
        <v>0</v>
      </c>
      <c r="AR119" s="18">
        <f t="shared" si="146"/>
        <v>0</v>
      </c>
      <c r="AS119" s="18">
        <f t="shared" si="140"/>
        <v>0</v>
      </c>
      <c r="AT119" s="18">
        <f t="shared" si="119"/>
        <v>0</v>
      </c>
      <c r="AU119" s="18">
        <f>INDEX(游戏节奏!$V$4:$V$13,挂机派遣!B119)</f>
        <v>19</v>
      </c>
      <c r="AV119" s="18">
        <f>INDEX(游戏节奏!$V$4:$V$13,挂机派遣!B119)</f>
        <v>19</v>
      </c>
      <c r="AW119" s="18">
        <f>INDEX(游戏节奏!$W$4:$W$13,挂机派遣!B119)</f>
        <v>18</v>
      </c>
      <c r="AX119" s="14">
        <v>3</v>
      </c>
      <c r="AY119" s="14">
        <v>4</v>
      </c>
      <c r="AZ119" s="14"/>
      <c r="BC119" s="18" t="s">
        <v>772</v>
      </c>
      <c r="BD119" s="18" t="str">
        <f t="shared" si="132"/>
        <v>1080/h</v>
      </c>
      <c r="BE119" s="18" t="s">
        <v>773</v>
      </c>
      <c r="BF119" s="18" t="str">
        <f t="shared" si="133"/>
        <v>1140/h</v>
      </c>
      <c r="BG119" s="18" t="s">
        <v>774</v>
      </c>
      <c r="BH119" s="18" t="str">
        <f t="shared" si="134"/>
        <v>1140/h</v>
      </c>
      <c r="BJ119" t="str">
        <f t="shared" si="135"/>
        <v>紫色基础材料</v>
      </c>
      <c r="BK119" t="str">
        <f t="shared" si="136"/>
        <v>3/h</v>
      </c>
      <c r="BL119" t="str">
        <f t="shared" si="137"/>
        <v>橙色基础材料</v>
      </c>
      <c r="BM119" t="str">
        <f t="shared" si="138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674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22"/>
        <v>0</v>
      </c>
      <c r="AE120" s="31">
        <f t="shared" si="123"/>
        <v>0</v>
      </c>
      <c r="AF120" s="31">
        <f t="shared" si="124"/>
        <v>0.3</v>
      </c>
      <c r="AG120" s="31">
        <f t="shared" si="125"/>
        <v>0.18000000000000002</v>
      </c>
      <c r="AH120" s="31">
        <f t="shared" si="113"/>
        <v>0</v>
      </c>
      <c r="AI120" s="18">
        <f t="shared" si="114"/>
        <v>0</v>
      </c>
      <c r="AJ120" s="18">
        <f t="shared" si="115"/>
        <v>0</v>
      </c>
      <c r="AK120" s="18">
        <v>0</v>
      </c>
      <c r="AL120" s="18">
        <f t="shared" si="141"/>
        <v>0</v>
      </c>
      <c r="AM120" s="18">
        <f t="shared" si="142"/>
        <v>0</v>
      </c>
      <c r="AN120" s="18">
        <f t="shared" si="143"/>
        <v>0</v>
      </c>
      <c r="AO120" s="18">
        <f t="shared" si="139"/>
        <v>0</v>
      </c>
      <c r="AP120" s="18">
        <f t="shared" si="144"/>
        <v>0</v>
      </c>
      <c r="AQ120" s="18">
        <f t="shared" si="145"/>
        <v>0</v>
      </c>
      <c r="AR120" s="18">
        <f t="shared" si="146"/>
        <v>0</v>
      </c>
      <c r="AS120" s="18">
        <f t="shared" si="140"/>
        <v>0</v>
      </c>
      <c r="AT120" s="18">
        <f t="shared" si="119"/>
        <v>0</v>
      </c>
      <c r="AU120" s="18">
        <f>INDEX(游戏节奏!$V$4:$V$13,挂机派遣!B120)</f>
        <v>19</v>
      </c>
      <c r="AV120" s="18">
        <f>INDEX(游戏节奏!$V$4:$V$13,挂机派遣!B120)</f>
        <v>19</v>
      </c>
      <c r="AW120" s="18">
        <f>INDEX(游戏节奏!$W$4:$W$13,挂机派遣!B120)</f>
        <v>18</v>
      </c>
      <c r="AX120" s="14">
        <v>3</v>
      </c>
      <c r="AY120" s="14">
        <v>4</v>
      </c>
      <c r="AZ120" s="14"/>
      <c r="BC120" s="18" t="s">
        <v>772</v>
      </c>
      <c r="BD120" s="18" t="str">
        <f t="shared" si="132"/>
        <v>1080/h</v>
      </c>
      <c r="BE120" s="18" t="s">
        <v>773</v>
      </c>
      <c r="BF120" s="18" t="str">
        <f t="shared" si="133"/>
        <v>1140/h</v>
      </c>
      <c r="BG120" s="18" t="s">
        <v>774</v>
      </c>
      <c r="BH120" s="18" t="str">
        <f t="shared" si="134"/>
        <v>1140/h</v>
      </c>
      <c r="BJ120" t="str">
        <f t="shared" si="135"/>
        <v>紫色基础材料</v>
      </c>
      <c r="BK120" t="str">
        <f t="shared" si="136"/>
        <v>3/h</v>
      </c>
      <c r="BL120" t="str">
        <f t="shared" si="137"/>
        <v>橙色基础材料</v>
      </c>
      <c r="BM120" t="str">
        <f t="shared" si="138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675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22"/>
        <v>0</v>
      </c>
      <c r="AE121" s="31">
        <f t="shared" si="123"/>
        <v>0</v>
      </c>
      <c r="AF121" s="31">
        <f t="shared" si="124"/>
        <v>0.3</v>
      </c>
      <c r="AG121" s="31">
        <f t="shared" si="125"/>
        <v>0.19</v>
      </c>
      <c r="AH121" s="31">
        <f t="shared" si="113"/>
        <v>0</v>
      </c>
      <c r="AI121" s="18">
        <f t="shared" si="114"/>
        <v>0</v>
      </c>
      <c r="AJ121" s="18">
        <f t="shared" si="115"/>
        <v>0</v>
      </c>
      <c r="AK121" s="18">
        <v>0</v>
      </c>
      <c r="AL121" s="18">
        <f t="shared" si="141"/>
        <v>0</v>
      </c>
      <c r="AM121" s="18">
        <f t="shared" si="142"/>
        <v>0</v>
      </c>
      <c r="AN121" s="18">
        <f t="shared" si="143"/>
        <v>0</v>
      </c>
      <c r="AO121" s="18">
        <f t="shared" si="139"/>
        <v>0</v>
      </c>
      <c r="AP121" s="18">
        <f t="shared" si="144"/>
        <v>0</v>
      </c>
      <c r="AQ121" s="18">
        <f t="shared" si="145"/>
        <v>0</v>
      </c>
      <c r="AR121" s="18">
        <f t="shared" si="146"/>
        <v>0</v>
      </c>
      <c r="AS121" s="18">
        <f t="shared" si="140"/>
        <v>0</v>
      </c>
      <c r="AT121" s="18">
        <f t="shared" si="119"/>
        <v>0</v>
      </c>
      <c r="AU121" s="18">
        <f>INDEX(游戏节奏!$V$4:$V$13,挂机派遣!B121)</f>
        <v>19</v>
      </c>
      <c r="AV121" s="18">
        <f>INDEX(游戏节奏!$V$4:$V$13,挂机派遣!B121)</f>
        <v>19</v>
      </c>
      <c r="AW121" s="18">
        <f>INDEX(游戏节奏!$W$4:$W$13,挂机派遣!B121)</f>
        <v>18</v>
      </c>
      <c r="AX121" s="14">
        <v>3</v>
      </c>
      <c r="AY121" s="14">
        <v>4</v>
      </c>
      <c r="AZ121" s="14"/>
      <c r="BC121" s="18" t="s">
        <v>772</v>
      </c>
      <c r="BD121" s="18" t="str">
        <f t="shared" si="132"/>
        <v>1080/h</v>
      </c>
      <c r="BE121" s="18" t="s">
        <v>773</v>
      </c>
      <c r="BF121" s="18" t="str">
        <f t="shared" si="133"/>
        <v>1140/h</v>
      </c>
      <c r="BG121" s="18" t="s">
        <v>774</v>
      </c>
      <c r="BH121" s="18" t="str">
        <f t="shared" si="134"/>
        <v>1140/h</v>
      </c>
      <c r="BJ121" t="str">
        <f t="shared" si="135"/>
        <v>紫色基础材料</v>
      </c>
      <c r="BK121" t="str">
        <f t="shared" si="136"/>
        <v>3/h</v>
      </c>
      <c r="BL121" t="str">
        <f t="shared" si="137"/>
        <v>橙色基础材料</v>
      </c>
      <c r="BM121" t="str">
        <f t="shared" si="138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676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22"/>
        <v>0</v>
      </c>
      <c r="AE122" s="31">
        <f t="shared" si="123"/>
        <v>0</v>
      </c>
      <c r="AF122" s="31">
        <f t="shared" si="124"/>
        <v>0.3</v>
      </c>
      <c r="AG122" s="31">
        <f t="shared" si="125"/>
        <v>0.2</v>
      </c>
      <c r="AH122" s="31">
        <f t="shared" si="113"/>
        <v>0</v>
      </c>
      <c r="AI122" s="18">
        <f t="shared" si="114"/>
        <v>0</v>
      </c>
      <c r="AJ122" s="18">
        <f t="shared" si="115"/>
        <v>0</v>
      </c>
      <c r="AK122" s="18">
        <v>0</v>
      </c>
      <c r="AL122" s="18">
        <f t="shared" si="141"/>
        <v>0</v>
      </c>
      <c r="AM122" s="18">
        <f t="shared" si="142"/>
        <v>0</v>
      </c>
      <c r="AN122" s="18">
        <f t="shared" si="143"/>
        <v>0</v>
      </c>
      <c r="AO122" s="18">
        <f t="shared" si="139"/>
        <v>0</v>
      </c>
      <c r="AP122" s="18">
        <f t="shared" si="144"/>
        <v>0</v>
      </c>
      <c r="AQ122" s="18">
        <f t="shared" si="145"/>
        <v>0</v>
      </c>
      <c r="AR122" s="18">
        <f t="shared" si="146"/>
        <v>0</v>
      </c>
      <c r="AS122" s="18">
        <f t="shared" si="140"/>
        <v>0</v>
      </c>
      <c r="AT122" s="18">
        <f t="shared" si="119"/>
        <v>0</v>
      </c>
      <c r="AU122" s="18">
        <f>INDEX(游戏节奏!$V$4:$V$13,挂机派遣!B122)</f>
        <v>19</v>
      </c>
      <c r="AV122" s="18">
        <f>INDEX(游戏节奏!$V$4:$V$13,挂机派遣!B122)</f>
        <v>19</v>
      </c>
      <c r="AW122" s="18">
        <f>INDEX(游戏节奏!$W$4:$W$13,挂机派遣!B122)</f>
        <v>18</v>
      </c>
      <c r="AX122" s="14">
        <v>3</v>
      </c>
      <c r="AY122" s="14">
        <v>4</v>
      </c>
      <c r="AZ122" s="14"/>
      <c r="BC122" s="18" t="s">
        <v>772</v>
      </c>
      <c r="BD122" s="18" t="str">
        <f t="shared" si="132"/>
        <v>1080/h</v>
      </c>
      <c r="BE122" s="18" t="s">
        <v>773</v>
      </c>
      <c r="BF122" s="18" t="str">
        <f t="shared" si="133"/>
        <v>1140/h</v>
      </c>
      <c r="BG122" s="18" t="s">
        <v>774</v>
      </c>
      <c r="BH122" s="18" t="str">
        <f t="shared" si="134"/>
        <v>1140/h</v>
      </c>
      <c r="BJ122" t="str">
        <f t="shared" si="135"/>
        <v>紫色基础材料</v>
      </c>
      <c r="BK122" t="str">
        <f t="shared" si="136"/>
        <v>3/h</v>
      </c>
      <c r="BL122" t="str">
        <f t="shared" si="137"/>
        <v>橙色基础材料</v>
      </c>
      <c r="BM122" t="str">
        <f t="shared" si="138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691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22"/>
        <v>0</v>
      </c>
      <c r="AE123" s="31">
        <f t="shared" si="123"/>
        <v>0</v>
      </c>
      <c r="AF123" s="31">
        <f t="shared" si="124"/>
        <v>0</v>
      </c>
      <c r="AG123" s="31">
        <f t="shared" si="125"/>
        <v>0</v>
      </c>
      <c r="AH123" s="31">
        <f t="shared" si="113"/>
        <v>0</v>
      </c>
      <c r="AI123" s="18">
        <f t="shared" si="114"/>
        <v>0</v>
      </c>
      <c r="AJ123" s="18">
        <f t="shared" si="115"/>
        <v>0</v>
      </c>
      <c r="AK123" s="18">
        <v>0</v>
      </c>
      <c r="AL123" s="18">
        <f t="shared" si="141"/>
        <v>0</v>
      </c>
      <c r="AM123" s="18">
        <f t="shared" si="142"/>
        <v>0</v>
      </c>
      <c r="AN123" s="18">
        <f t="shared" si="143"/>
        <v>0</v>
      </c>
      <c r="AO123" s="18">
        <f t="shared" si="139"/>
        <v>0</v>
      </c>
      <c r="AP123" s="18">
        <f t="shared" si="144"/>
        <v>0.2</v>
      </c>
      <c r="AQ123" s="18">
        <v>0</v>
      </c>
      <c r="AR123" s="18">
        <v>0</v>
      </c>
      <c r="AS123" s="18">
        <v>0</v>
      </c>
      <c r="AT123" s="18">
        <f t="shared" si="119"/>
        <v>6.5000000000000002E-2</v>
      </c>
      <c r="AU123" s="18">
        <f>INDEX(游戏节奏!$V$4:$V$13,挂机派遣!B123)</f>
        <v>19</v>
      </c>
      <c r="AV123" s="18">
        <f>INDEX(游戏节奏!$V$4:$V$13,挂机派遣!B123)</f>
        <v>19</v>
      </c>
      <c r="AW123" s="18">
        <f>INDEX(游戏节奏!$W$4:$W$13,挂机派遣!B123)</f>
        <v>18</v>
      </c>
      <c r="AX123" s="14">
        <v>13</v>
      </c>
      <c r="AY123" s="14">
        <v>17</v>
      </c>
      <c r="AZ123" s="14"/>
      <c r="BC123" s="18" t="s">
        <v>772</v>
      </c>
      <c r="BD123" s="18" t="str">
        <f t="shared" si="132"/>
        <v>1080/h</v>
      </c>
      <c r="BE123" s="18" t="s">
        <v>773</v>
      </c>
      <c r="BF123" s="18" t="str">
        <f t="shared" si="133"/>
        <v>1140/h</v>
      </c>
      <c r="BG123" s="18" t="s">
        <v>774</v>
      </c>
      <c r="BH123" s="18" t="str">
        <f t="shared" si="134"/>
        <v>1140/h</v>
      </c>
      <c r="BJ123" t="str">
        <f t="shared" si="135"/>
        <v>高级蓝</v>
      </c>
      <c r="BK123" t="str">
        <f t="shared" si="136"/>
        <v>0.6/h</v>
      </c>
      <c r="BL123" t="str">
        <f t="shared" si="137"/>
        <v>修身宝箱</v>
      </c>
      <c r="BM123" t="str">
        <f t="shared" si="138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688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22"/>
        <v>0</v>
      </c>
      <c r="AE124" s="31">
        <f t="shared" si="123"/>
        <v>0</v>
      </c>
      <c r="AF124" s="31">
        <f t="shared" si="124"/>
        <v>0</v>
      </c>
      <c r="AG124" s="31">
        <f t="shared" si="125"/>
        <v>0</v>
      </c>
      <c r="AH124" s="31">
        <f t="shared" si="113"/>
        <v>0</v>
      </c>
      <c r="AI124" s="18">
        <f t="shared" si="114"/>
        <v>0</v>
      </c>
      <c r="AJ124" s="18">
        <f t="shared" si="115"/>
        <v>0</v>
      </c>
      <c r="AK124" s="18">
        <v>0</v>
      </c>
      <c r="AL124" s="18">
        <f t="shared" si="141"/>
        <v>0</v>
      </c>
      <c r="AM124" s="18">
        <f t="shared" si="142"/>
        <v>0</v>
      </c>
      <c r="AN124" s="18">
        <f t="shared" si="143"/>
        <v>0</v>
      </c>
      <c r="AO124" s="18">
        <f t="shared" si="139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9"/>
        <v>6.9999999999999993E-2</v>
      </c>
      <c r="AU124" s="18">
        <f>INDEX(游戏节奏!$V$4:$V$13,挂机派遣!B124)</f>
        <v>19</v>
      </c>
      <c r="AV124" s="18">
        <f>INDEX(游戏节奏!$V$4:$V$13,挂机派遣!B124)</f>
        <v>19</v>
      </c>
      <c r="AW124" s="18">
        <f>INDEX(游戏节奏!$W$4:$W$13,挂机派遣!B124)</f>
        <v>18</v>
      </c>
      <c r="AX124" s="14">
        <v>14</v>
      </c>
      <c r="AY124" s="14">
        <v>17</v>
      </c>
      <c r="AZ124" s="14"/>
      <c r="BC124" s="18" t="s">
        <v>772</v>
      </c>
      <c r="BD124" s="18" t="str">
        <f t="shared" si="132"/>
        <v>1080/h</v>
      </c>
      <c r="BE124" s="18" t="s">
        <v>773</v>
      </c>
      <c r="BF124" s="18" t="str">
        <f t="shared" si="133"/>
        <v>1140/h</v>
      </c>
      <c r="BG124" s="18" t="s">
        <v>774</v>
      </c>
      <c r="BH124" s="18" t="str">
        <f t="shared" si="134"/>
        <v>1140/h</v>
      </c>
      <c r="BJ124" t="str">
        <f t="shared" si="135"/>
        <v>高级红</v>
      </c>
      <c r="BK124" t="str">
        <f t="shared" si="136"/>
        <v>0.6/h</v>
      </c>
      <c r="BL124" t="str">
        <f t="shared" si="137"/>
        <v>修身宝箱</v>
      </c>
      <c r="BM124" t="str">
        <f t="shared" si="138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677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22"/>
        <v>0</v>
      </c>
      <c r="AE125" s="31">
        <f t="shared" si="123"/>
        <v>0</v>
      </c>
      <c r="AF125" s="31">
        <f t="shared" si="124"/>
        <v>0</v>
      </c>
      <c r="AG125" s="31">
        <f t="shared" si="125"/>
        <v>0</v>
      </c>
      <c r="AH125" s="31">
        <f t="shared" si="113"/>
        <v>0</v>
      </c>
      <c r="AI125" s="18">
        <f t="shared" si="114"/>
        <v>0</v>
      </c>
      <c r="AJ125" s="18">
        <f t="shared" si="115"/>
        <v>0</v>
      </c>
      <c r="AK125" s="18">
        <v>0</v>
      </c>
      <c r="AL125" s="18">
        <f t="shared" si="141"/>
        <v>0</v>
      </c>
      <c r="AM125" s="18">
        <f t="shared" si="142"/>
        <v>0</v>
      </c>
      <c r="AN125" s="18">
        <f t="shared" si="143"/>
        <v>0</v>
      </c>
      <c r="AO125" s="18">
        <f t="shared" si="139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9"/>
        <v>7.5000000000000011E-2</v>
      </c>
      <c r="AU125" s="18">
        <f>INDEX(游戏节奏!$V$4:$V$13,挂机派遣!B125)</f>
        <v>19</v>
      </c>
      <c r="AV125" s="18">
        <f>INDEX(游戏节奏!$V$4:$V$13,挂机派遣!B125)</f>
        <v>19</v>
      </c>
      <c r="AW125" s="18">
        <f>INDEX(游戏节奏!$W$4:$W$13,挂机派遣!B125)</f>
        <v>18</v>
      </c>
      <c r="AX125" s="14">
        <v>15</v>
      </c>
      <c r="AY125" s="14">
        <v>17</v>
      </c>
      <c r="AZ125" s="14"/>
      <c r="BC125" s="18" t="s">
        <v>772</v>
      </c>
      <c r="BD125" s="18" t="str">
        <f t="shared" si="132"/>
        <v>1080/h</v>
      </c>
      <c r="BE125" s="18" t="s">
        <v>773</v>
      </c>
      <c r="BF125" s="18" t="str">
        <f t="shared" si="133"/>
        <v>1140/h</v>
      </c>
      <c r="BG125" s="18" t="s">
        <v>774</v>
      </c>
      <c r="BH125" s="18" t="str">
        <f t="shared" si="134"/>
        <v>1140/h</v>
      </c>
      <c r="BJ125" t="str">
        <f t="shared" si="135"/>
        <v>高级黄</v>
      </c>
      <c r="BK125" t="str">
        <f t="shared" si="136"/>
        <v>0.6/h</v>
      </c>
      <c r="BL125" t="str">
        <f t="shared" si="137"/>
        <v>修身宝箱</v>
      </c>
      <c r="BM125" t="str">
        <f t="shared" si="138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678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22"/>
        <v>0</v>
      </c>
      <c r="AE126" s="31">
        <f t="shared" si="123"/>
        <v>0</v>
      </c>
      <c r="AF126" s="31">
        <f t="shared" si="124"/>
        <v>0</v>
      </c>
      <c r="AG126" s="31">
        <f t="shared" si="125"/>
        <v>0</v>
      </c>
      <c r="AH126" s="31">
        <f t="shared" si="113"/>
        <v>0</v>
      </c>
      <c r="AI126" s="18">
        <f t="shared" si="114"/>
        <v>0</v>
      </c>
      <c r="AJ126" s="18">
        <f t="shared" si="115"/>
        <v>0</v>
      </c>
      <c r="AK126" s="18">
        <v>0</v>
      </c>
      <c r="AL126" s="18">
        <f t="shared" si="141"/>
        <v>0</v>
      </c>
      <c r="AM126" s="18">
        <f t="shared" si="142"/>
        <v>0</v>
      </c>
      <c r="AN126" s="18">
        <f t="shared" si="143"/>
        <v>0</v>
      </c>
      <c r="AO126" s="18">
        <f t="shared" si="139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9"/>
        <v>8.0000000000000016E-2</v>
      </c>
      <c r="AU126" s="18">
        <f>INDEX(游戏节奏!$V$4:$V$13,挂机派遣!B126)</f>
        <v>19</v>
      </c>
      <c r="AV126" s="18">
        <f>INDEX(游戏节奏!$V$4:$V$13,挂机派遣!B126)</f>
        <v>19</v>
      </c>
      <c r="AW126" s="18">
        <f>INDEX(游戏节奏!$W$4:$W$13,挂机派遣!B126)</f>
        <v>18</v>
      </c>
      <c r="AX126" s="14">
        <v>13</v>
      </c>
      <c r="AY126" s="14">
        <v>17</v>
      </c>
      <c r="AZ126" s="14"/>
      <c r="BC126" s="18" t="s">
        <v>772</v>
      </c>
      <c r="BD126" s="18" t="str">
        <f t="shared" si="132"/>
        <v>1080/h</v>
      </c>
      <c r="BE126" s="18" t="s">
        <v>773</v>
      </c>
      <c r="BF126" s="18" t="str">
        <f t="shared" si="133"/>
        <v>1140/h</v>
      </c>
      <c r="BG126" s="18" t="s">
        <v>774</v>
      </c>
      <c r="BH126" s="18" t="str">
        <f t="shared" si="134"/>
        <v>1140/h</v>
      </c>
      <c r="BJ126" t="str">
        <f t="shared" si="135"/>
        <v>高级蓝</v>
      </c>
      <c r="BK126" t="str">
        <f t="shared" si="136"/>
        <v>0.6/h</v>
      </c>
      <c r="BL126" t="str">
        <f t="shared" si="137"/>
        <v>修身宝箱</v>
      </c>
      <c r="BM126" t="str">
        <f t="shared" si="138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692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22"/>
        <v>0</v>
      </c>
      <c r="AE127" s="31">
        <f t="shared" si="123"/>
        <v>0</v>
      </c>
      <c r="AF127" s="31">
        <f t="shared" si="124"/>
        <v>0</v>
      </c>
      <c r="AG127" s="31">
        <f t="shared" si="125"/>
        <v>0</v>
      </c>
      <c r="AH127" s="31">
        <f t="shared" si="113"/>
        <v>0</v>
      </c>
      <c r="AI127" s="18">
        <f t="shared" si="114"/>
        <v>0</v>
      </c>
      <c r="AJ127" s="18">
        <f t="shared" si="115"/>
        <v>0</v>
      </c>
      <c r="AK127" s="18">
        <v>0</v>
      </c>
      <c r="AL127" s="18">
        <f t="shared" si="141"/>
        <v>0</v>
      </c>
      <c r="AM127" s="18">
        <f t="shared" si="142"/>
        <v>0</v>
      </c>
      <c r="AN127" s="18">
        <f t="shared" si="143"/>
        <v>0</v>
      </c>
      <c r="AO127" s="18">
        <f t="shared" si="139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9"/>
        <v>8.5000000000000006E-2</v>
      </c>
      <c r="AU127" s="18">
        <f>INDEX(游戏节奏!$V$4:$V$13,挂机派遣!B127)</f>
        <v>19</v>
      </c>
      <c r="AV127" s="18">
        <f>INDEX(游戏节奏!$V$4:$V$13,挂机派遣!B127)</f>
        <v>19</v>
      </c>
      <c r="AW127" s="18">
        <f>INDEX(游戏节奏!$W$4:$W$13,挂机派遣!B127)</f>
        <v>18</v>
      </c>
      <c r="AX127" s="14">
        <v>14</v>
      </c>
      <c r="AY127" s="14">
        <v>17</v>
      </c>
      <c r="AZ127" s="14"/>
      <c r="BC127" s="18" t="s">
        <v>772</v>
      </c>
      <c r="BD127" s="18" t="str">
        <f t="shared" si="132"/>
        <v>1080/h</v>
      </c>
      <c r="BE127" s="18" t="s">
        <v>773</v>
      </c>
      <c r="BF127" s="18" t="str">
        <f t="shared" si="133"/>
        <v>1140/h</v>
      </c>
      <c r="BG127" s="18" t="s">
        <v>774</v>
      </c>
      <c r="BH127" s="18" t="str">
        <f t="shared" si="134"/>
        <v>1140/h</v>
      </c>
      <c r="BJ127" t="str">
        <f t="shared" si="135"/>
        <v>高级红</v>
      </c>
      <c r="BK127" t="str">
        <f t="shared" si="136"/>
        <v>0.6/h</v>
      </c>
      <c r="BL127" t="str">
        <f t="shared" si="137"/>
        <v>修身宝箱</v>
      </c>
      <c r="BM127" t="str">
        <f t="shared" si="138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683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22"/>
        <v>0</v>
      </c>
      <c r="AE128" s="31">
        <f t="shared" si="123"/>
        <v>0</v>
      </c>
      <c r="AF128" s="31">
        <f t="shared" si="124"/>
        <v>0</v>
      </c>
      <c r="AG128" s="31">
        <f t="shared" si="125"/>
        <v>0</v>
      </c>
      <c r="AH128" s="31">
        <f t="shared" si="113"/>
        <v>0</v>
      </c>
      <c r="AI128" s="18">
        <f t="shared" si="114"/>
        <v>0</v>
      </c>
      <c r="AJ128" s="18">
        <f t="shared" si="115"/>
        <v>0</v>
      </c>
      <c r="AK128" s="18">
        <v>0</v>
      </c>
      <c r="AL128" s="18">
        <f t="shared" si="141"/>
        <v>0</v>
      </c>
      <c r="AM128" s="18">
        <f t="shared" si="142"/>
        <v>0</v>
      </c>
      <c r="AN128" s="18">
        <f t="shared" si="143"/>
        <v>0</v>
      </c>
      <c r="AO128" s="18">
        <f t="shared" si="139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9"/>
        <v>9.0000000000000011E-2</v>
      </c>
      <c r="AU128" s="18">
        <f>INDEX(游戏节奏!$V$4:$V$13,挂机派遣!B128)</f>
        <v>19</v>
      </c>
      <c r="AV128" s="18">
        <f>INDEX(游戏节奏!$V$4:$V$13,挂机派遣!B128)</f>
        <v>19</v>
      </c>
      <c r="AW128" s="18">
        <f>INDEX(游戏节奏!$W$4:$W$13,挂机派遣!B128)</f>
        <v>18</v>
      </c>
      <c r="AX128" s="14">
        <v>15</v>
      </c>
      <c r="AY128" s="14">
        <v>17</v>
      </c>
      <c r="AZ128" s="14"/>
      <c r="BC128" s="18" t="s">
        <v>772</v>
      </c>
      <c r="BD128" s="18" t="str">
        <f t="shared" si="132"/>
        <v>1080/h</v>
      </c>
      <c r="BE128" s="18" t="s">
        <v>773</v>
      </c>
      <c r="BF128" s="18" t="str">
        <f t="shared" si="133"/>
        <v>1140/h</v>
      </c>
      <c r="BG128" s="18" t="s">
        <v>774</v>
      </c>
      <c r="BH128" s="18" t="str">
        <f t="shared" si="134"/>
        <v>1140/h</v>
      </c>
      <c r="BJ128" t="str">
        <f t="shared" si="135"/>
        <v>高级黄</v>
      </c>
      <c r="BK128" t="str">
        <f t="shared" si="136"/>
        <v>0.6/h</v>
      </c>
      <c r="BL128" t="str">
        <f t="shared" si="137"/>
        <v>修身宝箱</v>
      </c>
      <c r="BM128" t="str">
        <f t="shared" si="138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685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22"/>
        <v>0</v>
      </c>
      <c r="AE129" s="31">
        <f t="shared" si="123"/>
        <v>0</v>
      </c>
      <c r="AF129" s="31">
        <f t="shared" si="124"/>
        <v>0</v>
      </c>
      <c r="AG129" s="31">
        <f t="shared" si="125"/>
        <v>0</v>
      </c>
      <c r="AH129" s="31">
        <f t="shared" si="113"/>
        <v>0</v>
      </c>
      <c r="AI129" s="18">
        <f t="shared" si="114"/>
        <v>0</v>
      </c>
      <c r="AJ129" s="18">
        <f t="shared" si="115"/>
        <v>0</v>
      </c>
      <c r="AK129" s="18">
        <v>0</v>
      </c>
      <c r="AL129" s="18">
        <f t="shared" si="141"/>
        <v>0</v>
      </c>
      <c r="AM129" s="18">
        <f t="shared" si="142"/>
        <v>0</v>
      </c>
      <c r="AN129" s="18">
        <f t="shared" si="143"/>
        <v>0</v>
      </c>
      <c r="AO129" s="18">
        <f t="shared" si="139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9"/>
        <v>9.5000000000000001E-2</v>
      </c>
      <c r="AU129" s="18">
        <f>INDEX(游戏节奏!$V$4:$V$13,挂机派遣!B129)</f>
        <v>19</v>
      </c>
      <c r="AV129" s="18">
        <f>INDEX(游戏节奏!$V$4:$V$13,挂机派遣!B129)</f>
        <v>19</v>
      </c>
      <c r="AW129" s="18">
        <f>INDEX(游戏节奏!$W$4:$W$13,挂机派遣!B129)</f>
        <v>18</v>
      </c>
      <c r="AX129" s="14">
        <v>16</v>
      </c>
      <c r="AY129" s="14">
        <v>17</v>
      </c>
      <c r="AZ129" s="14"/>
      <c r="BC129" s="18" t="s">
        <v>772</v>
      </c>
      <c r="BD129" s="18" t="str">
        <f t="shared" si="132"/>
        <v>1080/h</v>
      </c>
      <c r="BE129" s="18" t="s">
        <v>773</v>
      </c>
      <c r="BF129" s="18" t="str">
        <f t="shared" si="133"/>
        <v>1140/h</v>
      </c>
      <c r="BG129" s="18" t="s">
        <v>774</v>
      </c>
      <c r="BH129" s="18" t="str">
        <f t="shared" si="134"/>
        <v>1140/h</v>
      </c>
      <c r="BJ129" t="str">
        <f t="shared" si="135"/>
        <v>高级三才宝箱</v>
      </c>
      <c r="BK129" t="str">
        <f t="shared" si="136"/>
        <v>0.6/h</v>
      </c>
      <c r="BL129" t="str">
        <f t="shared" si="137"/>
        <v>修身宝箱</v>
      </c>
      <c r="BM129" t="str">
        <f t="shared" si="138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693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22"/>
        <v>0</v>
      </c>
      <c r="AE130" s="31">
        <f t="shared" si="123"/>
        <v>0</v>
      </c>
      <c r="AF130" s="31">
        <f t="shared" si="124"/>
        <v>0</v>
      </c>
      <c r="AG130" s="31">
        <f t="shared" si="125"/>
        <v>0</v>
      </c>
      <c r="AH130" s="31">
        <f t="shared" si="113"/>
        <v>0</v>
      </c>
      <c r="AI130" s="18">
        <f t="shared" si="114"/>
        <v>0</v>
      </c>
      <c r="AJ130" s="18">
        <f t="shared" si="115"/>
        <v>0</v>
      </c>
      <c r="AK130" s="18">
        <v>0</v>
      </c>
      <c r="AL130" s="18">
        <f t="shared" si="141"/>
        <v>0</v>
      </c>
      <c r="AM130" s="18">
        <f t="shared" si="142"/>
        <v>0</v>
      </c>
      <c r="AN130" s="18">
        <f t="shared" si="143"/>
        <v>0</v>
      </c>
      <c r="AO130" s="18">
        <f t="shared" si="139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9"/>
        <v>0.1</v>
      </c>
      <c r="AU130" s="18">
        <f>INDEX(游戏节奏!$V$4:$V$13,挂机派遣!B130)</f>
        <v>19</v>
      </c>
      <c r="AV130" s="18">
        <f>INDEX(游戏节奏!$V$4:$V$13,挂机派遣!B130)</f>
        <v>19</v>
      </c>
      <c r="AW130" s="18">
        <f>INDEX(游戏节奏!$W$4:$W$13,挂机派遣!B130)</f>
        <v>18</v>
      </c>
      <c r="AX130" s="14">
        <v>16</v>
      </c>
      <c r="AY130" s="14">
        <v>17</v>
      </c>
      <c r="AZ130" s="14"/>
      <c r="BC130" s="18" t="s">
        <v>772</v>
      </c>
      <c r="BD130" s="18" t="str">
        <f t="shared" si="132"/>
        <v>1080/h</v>
      </c>
      <c r="BE130" s="18" t="s">
        <v>773</v>
      </c>
      <c r="BF130" s="18" t="str">
        <f t="shared" si="133"/>
        <v>1140/h</v>
      </c>
      <c r="BG130" s="18" t="s">
        <v>774</v>
      </c>
      <c r="BH130" s="18" t="str">
        <f t="shared" si="134"/>
        <v>1140/h</v>
      </c>
      <c r="BJ130" t="str">
        <f t="shared" si="135"/>
        <v>高级三才宝箱</v>
      </c>
      <c r="BK130" t="str">
        <f t="shared" si="136"/>
        <v>0.6/h</v>
      </c>
      <c r="BL130" t="str">
        <f t="shared" si="137"/>
        <v>修身宝箱</v>
      </c>
      <c r="BM130" t="str">
        <f t="shared" si="138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668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47">F131*C$2</f>
        <v>0</v>
      </c>
      <c r="AE131" s="31">
        <f t="shared" ref="AE131:AE145" si="148">G131*D$2</f>
        <v>0</v>
      </c>
      <c r="AF131" s="31">
        <f t="shared" ref="AF131:AF145" si="149">H131*E$2</f>
        <v>0</v>
      </c>
      <c r="AG131" s="31">
        <f t="shared" ref="AG131:AG145" si="150">I131*F$2</f>
        <v>0</v>
      </c>
      <c r="AH131" s="31">
        <f t="shared" ref="AH131:AH145" si="151">J131*G$2</f>
        <v>0</v>
      </c>
      <c r="AI131" s="18">
        <f t="shared" ref="AI131:AI145" si="152">J131*G$2</f>
        <v>0</v>
      </c>
      <c r="AJ131" s="18">
        <f t="shared" ref="AJ131:AJ145" si="153">J131*G$2</f>
        <v>0</v>
      </c>
      <c r="AK131" s="18">
        <v>1</v>
      </c>
      <c r="AL131" s="18">
        <f t="shared" ref="AL131:AL145" si="154">K131*H$2</f>
        <v>0</v>
      </c>
      <c r="AM131" s="18">
        <f t="shared" ref="AM131:AM145" si="155">K131*H$2</f>
        <v>0</v>
      </c>
      <c r="AN131" s="18">
        <f t="shared" ref="AN131:AN145" si="156">K131*H$2</f>
        <v>0</v>
      </c>
      <c r="AO131" s="18">
        <f t="shared" ref="AO131:AO145" si="157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8">L131*I$2</f>
        <v>0.2</v>
      </c>
      <c r="AT131" s="18">
        <f t="shared" ref="AT131:AT145" si="159">M131*J$2</f>
        <v>0.1</v>
      </c>
      <c r="AU131" s="18">
        <f>INDEX(游戏节奏!$V$4:$V$13,挂机派遣!B131)</f>
        <v>22</v>
      </c>
      <c r="AV131" s="18">
        <f>INDEX(游戏节奏!$V$4:$V$13,挂机派遣!B131)</f>
        <v>22</v>
      </c>
      <c r="AW131" s="18">
        <f>INDEX(游戏节奏!$W$4:$W$13,挂机派遣!B131)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669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47"/>
        <v>0</v>
      </c>
      <c r="AE132" s="31">
        <f t="shared" si="148"/>
        <v>0</v>
      </c>
      <c r="AF132" s="31">
        <f t="shared" si="149"/>
        <v>0</v>
      </c>
      <c r="AG132" s="31">
        <f t="shared" si="150"/>
        <v>0</v>
      </c>
      <c r="AH132" s="31">
        <f t="shared" si="151"/>
        <v>0</v>
      </c>
      <c r="AI132" s="18">
        <f t="shared" si="152"/>
        <v>0</v>
      </c>
      <c r="AJ132" s="18">
        <f t="shared" si="153"/>
        <v>0</v>
      </c>
      <c r="AK132" s="18">
        <v>2</v>
      </c>
      <c r="AL132" s="18">
        <f t="shared" si="154"/>
        <v>0</v>
      </c>
      <c r="AM132" s="18">
        <f t="shared" si="155"/>
        <v>0</v>
      </c>
      <c r="AN132" s="18">
        <f t="shared" si="156"/>
        <v>0</v>
      </c>
      <c r="AO132" s="18">
        <f t="shared" si="157"/>
        <v>0</v>
      </c>
      <c r="AP132" s="18">
        <v>0</v>
      </c>
      <c r="AQ132" s="18">
        <v>0</v>
      </c>
      <c r="AR132" s="18">
        <v>0</v>
      </c>
      <c r="AS132" s="18">
        <f t="shared" si="158"/>
        <v>0.2</v>
      </c>
      <c r="AT132" s="18">
        <f t="shared" si="159"/>
        <v>0.1</v>
      </c>
      <c r="AU132" s="18">
        <f>INDEX(游戏节奏!$V$4:$V$13,挂机派遣!B132)</f>
        <v>22</v>
      </c>
      <c r="AV132" s="18">
        <f>INDEX(游戏节奏!$V$4:$V$13,挂机派遣!B132)</f>
        <v>22</v>
      </c>
      <c r="AW132" s="18">
        <f>INDEX(游戏节奏!$W$4:$W$13,挂机派遣!B132)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665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47"/>
        <v>0</v>
      </c>
      <c r="AE133" s="31">
        <f t="shared" si="148"/>
        <v>0</v>
      </c>
      <c r="AF133" s="31">
        <f t="shared" si="149"/>
        <v>0</v>
      </c>
      <c r="AG133" s="31">
        <f t="shared" si="150"/>
        <v>0</v>
      </c>
      <c r="AH133" s="31">
        <f t="shared" si="151"/>
        <v>0</v>
      </c>
      <c r="AI133" s="18">
        <f t="shared" si="152"/>
        <v>0</v>
      </c>
      <c r="AJ133" s="18">
        <f t="shared" si="153"/>
        <v>0</v>
      </c>
      <c r="AK133" s="18">
        <v>3</v>
      </c>
      <c r="AL133" s="18">
        <f t="shared" si="154"/>
        <v>0</v>
      </c>
      <c r="AM133" s="18">
        <f t="shared" si="155"/>
        <v>0</v>
      </c>
      <c r="AN133" s="18">
        <f t="shared" si="156"/>
        <v>0</v>
      </c>
      <c r="AO133" s="18">
        <f t="shared" si="157"/>
        <v>0</v>
      </c>
      <c r="AP133" s="18">
        <v>0</v>
      </c>
      <c r="AQ133" s="18">
        <v>0</v>
      </c>
      <c r="AR133" s="18">
        <v>0</v>
      </c>
      <c r="AS133" s="18">
        <f t="shared" si="158"/>
        <v>0.2</v>
      </c>
      <c r="AT133" s="18">
        <f t="shared" si="159"/>
        <v>0.1</v>
      </c>
      <c r="AU133" s="18">
        <f>INDEX(游戏节奏!$V$4:$V$13,挂机派遣!B133)</f>
        <v>22</v>
      </c>
      <c r="AV133" s="18">
        <f>INDEX(游戏节奏!$V$4:$V$13,挂机派遣!B133)</f>
        <v>22</v>
      </c>
      <c r="AW133" s="18">
        <f>INDEX(游戏节奏!$W$4:$W$13,挂机派遣!B133)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671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47"/>
        <v>0</v>
      </c>
      <c r="AE134" s="31">
        <f t="shared" si="148"/>
        <v>0</v>
      </c>
      <c r="AF134" s="31">
        <f t="shared" si="149"/>
        <v>0</v>
      </c>
      <c r="AG134" s="31">
        <f t="shared" si="150"/>
        <v>0</v>
      </c>
      <c r="AH134" s="31">
        <f t="shared" si="151"/>
        <v>0</v>
      </c>
      <c r="AI134" s="18">
        <f t="shared" si="152"/>
        <v>0</v>
      </c>
      <c r="AJ134" s="18">
        <f t="shared" si="153"/>
        <v>0</v>
      </c>
      <c r="AK134" s="18">
        <v>4</v>
      </c>
      <c r="AL134" s="18">
        <f t="shared" si="154"/>
        <v>0</v>
      </c>
      <c r="AM134" s="18">
        <f t="shared" si="155"/>
        <v>0</v>
      </c>
      <c r="AN134" s="18">
        <f t="shared" si="156"/>
        <v>0</v>
      </c>
      <c r="AO134" s="18">
        <f t="shared" si="157"/>
        <v>0</v>
      </c>
      <c r="AP134" s="18">
        <v>0</v>
      </c>
      <c r="AQ134" s="18">
        <v>0</v>
      </c>
      <c r="AR134" s="18">
        <v>0</v>
      </c>
      <c r="AS134" s="18">
        <f t="shared" si="158"/>
        <v>0.2</v>
      </c>
      <c r="AT134" s="18">
        <f t="shared" si="159"/>
        <v>0.1</v>
      </c>
      <c r="AU134" s="18">
        <f>INDEX(游戏节奏!$V$4:$V$13,挂机派遣!B134)</f>
        <v>22</v>
      </c>
      <c r="AV134" s="18">
        <f>INDEX(游戏节奏!$V$4:$V$13,挂机派遣!B134)</f>
        <v>22</v>
      </c>
      <c r="AW134" s="18">
        <f>INDEX(游戏节奏!$W$4:$W$13,挂机派遣!B134)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674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47"/>
        <v>0</v>
      </c>
      <c r="AE135" s="31">
        <f t="shared" si="148"/>
        <v>0</v>
      </c>
      <c r="AF135" s="31">
        <f t="shared" si="149"/>
        <v>0</v>
      </c>
      <c r="AG135" s="31">
        <f t="shared" si="150"/>
        <v>0</v>
      </c>
      <c r="AH135" s="31">
        <f t="shared" si="151"/>
        <v>0</v>
      </c>
      <c r="AI135" s="18">
        <f t="shared" si="152"/>
        <v>0</v>
      </c>
      <c r="AJ135" s="18">
        <f t="shared" si="153"/>
        <v>0</v>
      </c>
      <c r="AK135" s="18">
        <v>5</v>
      </c>
      <c r="AL135" s="18">
        <f t="shared" si="154"/>
        <v>0</v>
      </c>
      <c r="AM135" s="18">
        <f t="shared" si="155"/>
        <v>0</v>
      </c>
      <c r="AN135" s="18">
        <f t="shared" si="156"/>
        <v>0</v>
      </c>
      <c r="AO135" s="18">
        <f t="shared" si="157"/>
        <v>0</v>
      </c>
      <c r="AP135" s="18">
        <v>0</v>
      </c>
      <c r="AQ135" s="18">
        <v>0</v>
      </c>
      <c r="AR135" s="18">
        <v>0</v>
      </c>
      <c r="AS135" s="18">
        <f t="shared" si="158"/>
        <v>0.2</v>
      </c>
      <c r="AT135" s="18">
        <f t="shared" si="159"/>
        <v>0.1</v>
      </c>
      <c r="AU135" s="18">
        <f>INDEX(游戏节奏!$V$4:$V$13,挂机派遣!B135)</f>
        <v>22</v>
      </c>
      <c r="AV135" s="18">
        <f>INDEX(游戏节奏!$V$4:$V$13,挂机派遣!B135)</f>
        <v>22</v>
      </c>
      <c r="AW135" s="18">
        <f>INDEX(游戏节奏!$W$4:$W$13,挂机派遣!B135)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675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47"/>
        <v>0</v>
      </c>
      <c r="AE136" s="31">
        <f t="shared" si="148"/>
        <v>0</v>
      </c>
      <c r="AF136" s="31">
        <f t="shared" si="149"/>
        <v>0</v>
      </c>
      <c r="AG136" s="31">
        <f t="shared" si="150"/>
        <v>0</v>
      </c>
      <c r="AH136" s="31">
        <f t="shared" si="151"/>
        <v>0</v>
      </c>
      <c r="AI136" s="18">
        <f t="shared" si="152"/>
        <v>0</v>
      </c>
      <c r="AJ136" s="18">
        <f t="shared" si="153"/>
        <v>0</v>
      </c>
      <c r="AK136" s="18">
        <v>6</v>
      </c>
      <c r="AL136" s="18">
        <f t="shared" si="154"/>
        <v>0</v>
      </c>
      <c r="AM136" s="18">
        <f t="shared" si="155"/>
        <v>0</v>
      </c>
      <c r="AN136" s="18">
        <f t="shared" si="156"/>
        <v>0</v>
      </c>
      <c r="AO136" s="18">
        <f t="shared" si="157"/>
        <v>0</v>
      </c>
      <c r="AP136" s="18">
        <v>0</v>
      </c>
      <c r="AQ136" s="18">
        <v>0</v>
      </c>
      <c r="AR136" s="18">
        <v>0</v>
      </c>
      <c r="AS136" s="18">
        <f t="shared" si="158"/>
        <v>0.2</v>
      </c>
      <c r="AT136" s="18">
        <f t="shared" si="159"/>
        <v>0.1</v>
      </c>
      <c r="AU136" s="18">
        <f>INDEX(游戏节奏!$V$4:$V$13,挂机派遣!B136)</f>
        <v>22</v>
      </c>
      <c r="AV136" s="18">
        <f>INDEX(游戏节奏!$V$4:$V$13,挂机派遣!B136)</f>
        <v>22</v>
      </c>
      <c r="AW136" s="18">
        <f>INDEX(游戏节奏!$W$4:$W$13,挂机派遣!B136)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676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47"/>
        <v>0</v>
      </c>
      <c r="AE137" s="31">
        <f t="shared" si="148"/>
        <v>0</v>
      </c>
      <c r="AF137" s="31">
        <f t="shared" si="149"/>
        <v>0</v>
      </c>
      <c r="AG137" s="31">
        <f t="shared" si="150"/>
        <v>0</v>
      </c>
      <c r="AH137" s="31">
        <f t="shared" si="151"/>
        <v>0</v>
      </c>
      <c r="AI137" s="18">
        <f t="shared" si="152"/>
        <v>0</v>
      </c>
      <c r="AJ137" s="18">
        <f t="shared" si="153"/>
        <v>0</v>
      </c>
      <c r="AK137" s="18">
        <v>7</v>
      </c>
      <c r="AL137" s="18">
        <f t="shared" si="154"/>
        <v>0</v>
      </c>
      <c r="AM137" s="18">
        <f t="shared" si="155"/>
        <v>0</v>
      </c>
      <c r="AN137" s="18">
        <f t="shared" si="156"/>
        <v>0</v>
      </c>
      <c r="AO137" s="18">
        <f t="shared" si="157"/>
        <v>0</v>
      </c>
      <c r="AP137" s="18">
        <v>0</v>
      </c>
      <c r="AQ137" s="18">
        <v>0</v>
      </c>
      <c r="AR137" s="18">
        <v>0</v>
      </c>
      <c r="AS137" s="18">
        <f t="shared" si="158"/>
        <v>0.2</v>
      </c>
      <c r="AT137" s="18">
        <f t="shared" si="159"/>
        <v>0.1</v>
      </c>
      <c r="AU137" s="18">
        <f>INDEX(游戏节奏!$V$4:$V$13,挂机派遣!B137)</f>
        <v>22</v>
      </c>
      <c r="AV137" s="18">
        <f>INDEX(游戏节奏!$V$4:$V$13,挂机派遣!B137)</f>
        <v>22</v>
      </c>
      <c r="AW137" s="18">
        <f>INDEX(游戏节奏!$W$4:$W$13,挂机派遣!B137)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679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47"/>
        <v>0</v>
      </c>
      <c r="AE138" s="31">
        <f t="shared" si="148"/>
        <v>0</v>
      </c>
      <c r="AF138" s="31">
        <f t="shared" si="149"/>
        <v>0</v>
      </c>
      <c r="AG138" s="31">
        <f t="shared" si="150"/>
        <v>0</v>
      </c>
      <c r="AH138" s="31">
        <f t="shared" si="151"/>
        <v>0</v>
      </c>
      <c r="AI138" s="18">
        <f t="shared" si="152"/>
        <v>0</v>
      </c>
      <c r="AJ138" s="18">
        <f t="shared" si="153"/>
        <v>0</v>
      </c>
      <c r="AK138" s="18">
        <v>8</v>
      </c>
      <c r="AL138" s="18">
        <f t="shared" si="154"/>
        <v>0</v>
      </c>
      <c r="AM138" s="18">
        <f t="shared" si="155"/>
        <v>0</v>
      </c>
      <c r="AN138" s="18">
        <f t="shared" si="156"/>
        <v>0</v>
      </c>
      <c r="AO138" s="18">
        <f t="shared" si="157"/>
        <v>0</v>
      </c>
      <c r="AP138" s="18">
        <v>0</v>
      </c>
      <c r="AQ138" s="18">
        <v>0</v>
      </c>
      <c r="AR138" s="18">
        <v>0</v>
      </c>
      <c r="AS138" s="18">
        <f t="shared" si="158"/>
        <v>0.2</v>
      </c>
      <c r="AT138" s="18">
        <f t="shared" si="159"/>
        <v>0.1</v>
      </c>
      <c r="AU138" s="18">
        <f>INDEX(游戏节奏!$V$4:$V$13,挂机派遣!B138)</f>
        <v>22</v>
      </c>
      <c r="AV138" s="18">
        <f>INDEX(游戏节奏!$V$4:$V$13,挂机派遣!B138)</f>
        <v>22</v>
      </c>
      <c r="AW138" s="18">
        <f>INDEX(游戏节奏!$W$4:$W$13,挂机派遣!B138)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680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47"/>
        <v>0</v>
      </c>
      <c r="AE139" s="31">
        <f t="shared" si="148"/>
        <v>0</v>
      </c>
      <c r="AF139" s="31">
        <f t="shared" si="149"/>
        <v>0</v>
      </c>
      <c r="AG139" s="31">
        <f t="shared" si="150"/>
        <v>0</v>
      </c>
      <c r="AH139" s="31">
        <f t="shared" si="151"/>
        <v>0</v>
      </c>
      <c r="AI139" s="18">
        <f t="shared" si="152"/>
        <v>0</v>
      </c>
      <c r="AJ139" s="18">
        <f t="shared" si="153"/>
        <v>0</v>
      </c>
      <c r="AK139" s="18">
        <v>9</v>
      </c>
      <c r="AL139" s="18">
        <f t="shared" si="154"/>
        <v>0</v>
      </c>
      <c r="AM139" s="18">
        <f t="shared" si="155"/>
        <v>0</v>
      </c>
      <c r="AN139" s="18">
        <f t="shared" si="156"/>
        <v>0</v>
      </c>
      <c r="AO139" s="18">
        <f t="shared" si="157"/>
        <v>0</v>
      </c>
      <c r="AP139" s="18">
        <v>0</v>
      </c>
      <c r="AQ139" s="18">
        <v>0</v>
      </c>
      <c r="AR139" s="18">
        <v>0</v>
      </c>
      <c r="AS139" s="18">
        <f t="shared" si="158"/>
        <v>0.2</v>
      </c>
      <c r="AT139" s="18">
        <f t="shared" si="159"/>
        <v>0.1</v>
      </c>
      <c r="AU139" s="18">
        <f>INDEX(游戏节奏!$V$4:$V$13,挂机派遣!B139)</f>
        <v>22</v>
      </c>
      <c r="AV139" s="18">
        <f>INDEX(游戏节奏!$V$4:$V$13,挂机派遣!B139)</f>
        <v>22</v>
      </c>
      <c r="AW139" s="18">
        <f>INDEX(游戏节奏!$W$4:$W$13,挂机派遣!B139)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677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47"/>
        <v>0</v>
      </c>
      <c r="AE140" s="31">
        <f t="shared" si="148"/>
        <v>0</v>
      </c>
      <c r="AF140" s="31">
        <f t="shared" si="149"/>
        <v>0</v>
      </c>
      <c r="AG140" s="31">
        <f t="shared" si="150"/>
        <v>0</v>
      </c>
      <c r="AH140" s="31">
        <f t="shared" si="151"/>
        <v>0</v>
      </c>
      <c r="AI140" s="18">
        <f t="shared" si="152"/>
        <v>0</v>
      </c>
      <c r="AJ140" s="18">
        <f t="shared" si="153"/>
        <v>0</v>
      </c>
      <c r="AK140" s="18">
        <v>10</v>
      </c>
      <c r="AL140" s="18">
        <f t="shared" si="154"/>
        <v>0</v>
      </c>
      <c r="AM140" s="18">
        <f t="shared" si="155"/>
        <v>0</v>
      </c>
      <c r="AN140" s="18">
        <f t="shared" si="156"/>
        <v>0</v>
      </c>
      <c r="AO140" s="18">
        <f t="shared" si="157"/>
        <v>0</v>
      </c>
      <c r="AP140" s="18">
        <v>0</v>
      </c>
      <c r="AQ140" s="18">
        <v>0</v>
      </c>
      <c r="AR140" s="18">
        <v>0</v>
      </c>
      <c r="AS140" s="18">
        <f t="shared" si="158"/>
        <v>0.2</v>
      </c>
      <c r="AT140" s="18">
        <f t="shared" si="159"/>
        <v>0.1</v>
      </c>
      <c r="AU140" s="18">
        <f>INDEX(游戏节奏!$V$4:$V$13,挂机派遣!B140)</f>
        <v>22</v>
      </c>
      <c r="AV140" s="18">
        <f>INDEX(游戏节奏!$V$4:$V$13,挂机派遣!B140)</f>
        <v>22</v>
      </c>
      <c r="AW140" s="18">
        <f>INDEX(游戏节奏!$W$4:$W$13,挂机派遣!B140)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678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47"/>
        <v>0</v>
      </c>
      <c r="AE141" s="31">
        <f t="shared" si="148"/>
        <v>0</v>
      </c>
      <c r="AF141" s="31">
        <f t="shared" si="149"/>
        <v>0</v>
      </c>
      <c r="AG141" s="31">
        <f t="shared" si="150"/>
        <v>0</v>
      </c>
      <c r="AH141" s="31">
        <f t="shared" si="151"/>
        <v>0</v>
      </c>
      <c r="AI141" s="18">
        <f t="shared" si="152"/>
        <v>0</v>
      </c>
      <c r="AJ141" s="18">
        <f t="shared" si="153"/>
        <v>0</v>
      </c>
      <c r="AK141" s="18">
        <v>11</v>
      </c>
      <c r="AL141" s="18">
        <f t="shared" si="154"/>
        <v>0</v>
      </c>
      <c r="AM141" s="18">
        <f t="shared" si="155"/>
        <v>0</v>
      </c>
      <c r="AN141" s="18">
        <f t="shared" si="156"/>
        <v>0</v>
      </c>
      <c r="AO141" s="18">
        <f t="shared" si="157"/>
        <v>0</v>
      </c>
      <c r="AP141" s="18">
        <v>0</v>
      </c>
      <c r="AQ141" s="18">
        <v>0</v>
      </c>
      <c r="AR141" s="18">
        <v>0</v>
      </c>
      <c r="AS141" s="18">
        <f t="shared" si="158"/>
        <v>0.2</v>
      </c>
      <c r="AT141" s="18">
        <f t="shared" si="159"/>
        <v>0.1</v>
      </c>
      <c r="AU141" s="18">
        <f>INDEX(游戏节奏!$V$4:$V$13,挂机派遣!B141)</f>
        <v>22</v>
      </c>
      <c r="AV141" s="18">
        <f>INDEX(游戏节奏!$V$4:$V$13,挂机派遣!B141)</f>
        <v>22</v>
      </c>
      <c r="AW141" s="18">
        <f>INDEX(游戏节奏!$W$4:$W$13,挂机派遣!B141)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692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47"/>
        <v>0</v>
      </c>
      <c r="AE142" s="31">
        <f t="shared" si="148"/>
        <v>0</v>
      </c>
      <c r="AF142" s="31">
        <f t="shared" si="149"/>
        <v>0</v>
      </c>
      <c r="AG142" s="31">
        <f t="shared" si="150"/>
        <v>0</v>
      </c>
      <c r="AH142" s="31">
        <f t="shared" si="151"/>
        <v>0</v>
      </c>
      <c r="AI142" s="18">
        <f t="shared" si="152"/>
        <v>0</v>
      </c>
      <c r="AJ142" s="18">
        <f t="shared" si="153"/>
        <v>0</v>
      </c>
      <c r="AK142" s="18">
        <v>12</v>
      </c>
      <c r="AL142" s="18">
        <f t="shared" si="154"/>
        <v>0</v>
      </c>
      <c r="AM142" s="18">
        <f t="shared" si="155"/>
        <v>0</v>
      </c>
      <c r="AN142" s="18">
        <f t="shared" si="156"/>
        <v>0</v>
      </c>
      <c r="AO142" s="18">
        <f t="shared" si="157"/>
        <v>0</v>
      </c>
      <c r="AP142" s="18">
        <v>0</v>
      </c>
      <c r="AQ142" s="18">
        <v>0</v>
      </c>
      <c r="AR142" s="18">
        <v>0</v>
      </c>
      <c r="AS142" s="18">
        <f t="shared" si="158"/>
        <v>0.2</v>
      </c>
      <c r="AT142" s="18">
        <f t="shared" si="159"/>
        <v>0.1</v>
      </c>
      <c r="AU142" s="18">
        <f>INDEX(游戏节奏!$V$4:$V$13,挂机派遣!B142)</f>
        <v>22</v>
      </c>
      <c r="AV142" s="18">
        <f>INDEX(游戏节奏!$V$4:$V$13,挂机派遣!B142)</f>
        <v>22</v>
      </c>
      <c r="AW142" s="18">
        <f>INDEX(游戏节奏!$W$4:$W$13,挂机派遣!B142)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683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47"/>
        <v>0</v>
      </c>
      <c r="AE143" s="31">
        <f t="shared" si="148"/>
        <v>0</v>
      </c>
      <c r="AF143" s="31">
        <f t="shared" si="149"/>
        <v>0</v>
      </c>
      <c r="AG143" s="31">
        <f t="shared" si="150"/>
        <v>0</v>
      </c>
      <c r="AH143" s="31">
        <f t="shared" si="151"/>
        <v>0</v>
      </c>
      <c r="AI143" s="18">
        <f t="shared" si="152"/>
        <v>0</v>
      </c>
      <c r="AJ143" s="18">
        <f t="shared" si="153"/>
        <v>0</v>
      </c>
      <c r="AK143" s="18">
        <v>13</v>
      </c>
      <c r="AL143" s="18">
        <f t="shared" si="154"/>
        <v>0</v>
      </c>
      <c r="AM143" s="18">
        <f t="shared" si="155"/>
        <v>0</v>
      </c>
      <c r="AN143" s="18">
        <f t="shared" si="156"/>
        <v>0</v>
      </c>
      <c r="AO143" s="18">
        <f t="shared" si="157"/>
        <v>0</v>
      </c>
      <c r="AP143" s="18">
        <v>0</v>
      </c>
      <c r="AQ143" s="18">
        <v>0</v>
      </c>
      <c r="AR143" s="18">
        <v>0</v>
      </c>
      <c r="AS143" s="18">
        <f t="shared" si="158"/>
        <v>0.2</v>
      </c>
      <c r="AT143" s="18">
        <f t="shared" si="159"/>
        <v>0.1</v>
      </c>
      <c r="AU143" s="18">
        <f>INDEX(游戏节奏!$V$4:$V$13,挂机派遣!B143)</f>
        <v>22</v>
      </c>
      <c r="AV143" s="18">
        <f>INDEX(游戏节奏!$V$4:$V$13,挂机派遣!B143)</f>
        <v>22</v>
      </c>
      <c r="AW143" s="18">
        <f>INDEX(游戏节奏!$W$4:$W$13,挂机派遣!B143)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685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47"/>
        <v>0</v>
      </c>
      <c r="AE144" s="31">
        <f t="shared" si="148"/>
        <v>0</v>
      </c>
      <c r="AF144" s="31">
        <f t="shared" si="149"/>
        <v>0</v>
      </c>
      <c r="AG144" s="31">
        <f t="shared" si="150"/>
        <v>0</v>
      </c>
      <c r="AH144" s="31">
        <f t="shared" si="151"/>
        <v>0</v>
      </c>
      <c r="AI144" s="18">
        <f t="shared" si="152"/>
        <v>0</v>
      </c>
      <c r="AJ144" s="18">
        <f t="shared" si="153"/>
        <v>0</v>
      </c>
      <c r="AK144" s="18">
        <v>14</v>
      </c>
      <c r="AL144" s="18">
        <f t="shared" si="154"/>
        <v>0</v>
      </c>
      <c r="AM144" s="18">
        <f t="shared" si="155"/>
        <v>0</v>
      </c>
      <c r="AN144" s="18">
        <f t="shared" si="156"/>
        <v>0</v>
      </c>
      <c r="AO144" s="18">
        <f t="shared" si="157"/>
        <v>0</v>
      </c>
      <c r="AP144" s="18">
        <v>0</v>
      </c>
      <c r="AQ144" s="18">
        <v>0</v>
      </c>
      <c r="AR144" s="18">
        <v>0</v>
      </c>
      <c r="AS144" s="18">
        <f t="shared" si="158"/>
        <v>0.2</v>
      </c>
      <c r="AT144" s="18">
        <f t="shared" si="159"/>
        <v>0.1</v>
      </c>
      <c r="AU144" s="18">
        <f>INDEX(游戏节奏!$V$4:$V$13,挂机派遣!B144)</f>
        <v>22</v>
      </c>
      <c r="AV144" s="18">
        <f>INDEX(游戏节奏!$V$4:$V$13,挂机派遣!B144)</f>
        <v>22</v>
      </c>
      <c r="AW144" s="18">
        <f>INDEX(游戏节奏!$W$4:$W$13,挂机派遣!B144)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693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47"/>
        <v>0</v>
      </c>
      <c r="AE145" s="31">
        <f t="shared" si="148"/>
        <v>0</v>
      </c>
      <c r="AF145" s="31">
        <f t="shared" si="149"/>
        <v>0</v>
      </c>
      <c r="AG145" s="31">
        <f t="shared" si="150"/>
        <v>0</v>
      </c>
      <c r="AH145" s="31">
        <f t="shared" si="151"/>
        <v>0</v>
      </c>
      <c r="AI145" s="18">
        <f t="shared" si="152"/>
        <v>0</v>
      </c>
      <c r="AJ145" s="18">
        <f t="shared" si="153"/>
        <v>0</v>
      </c>
      <c r="AK145" s="18">
        <v>15</v>
      </c>
      <c r="AL145" s="18">
        <f t="shared" si="154"/>
        <v>0</v>
      </c>
      <c r="AM145" s="18">
        <f t="shared" si="155"/>
        <v>0</v>
      </c>
      <c r="AN145" s="18">
        <f t="shared" si="156"/>
        <v>0</v>
      </c>
      <c r="AO145" s="18">
        <f t="shared" si="157"/>
        <v>0</v>
      </c>
      <c r="AP145" s="18">
        <v>0</v>
      </c>
      <c r="AQ145" s="18">
        <v>0</v>
      </c>
      <c r="AR145" s="18">
        <v>0</v>
      </c>
      <c r="AS145" s="18">
        <f t="shared" si="158"/>
        <v>0.2</v>
      </c>
      <c r="AT145" s="18">
        <f t="shared" si="159"/>
        <v>0.1</v>
      </c>
      <c r="AU145" s="18">
        <f>INDEX(游戏节奏!$V$4:$V$13,挂机派遣!B145)</f>
        <v>22</v>
      </c>
      <c r="AV145" s="18">
        <f>INDEX(游戏节奏!$V$4:$V$13,挂机派遣!B145)</f>
        <v>22</v>
      </c>
      <c r="AW145" s="18">
        <f>INDEX(游戏节奏!$W$4:$W$13,挂机派遣!B145)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J26" sqref="J26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53" t="s">
        <v>532</v>
      </c>
      <c r="B2" s="53"/>
      <c r="C2" s="53"/>
      <c r="D2" s="53"/>
      <c r="E2" s="53"/>
    </row>
    <row r="3" spans="1:23" ht="17.25" x14ac:dyDescent="0.2">
      <c r="A3" s="54" t="s">
        <v>533</v>
      </c>
      <c r="B3" s="55"/>
      <c r="C3" s="55"/>
      <c r="D3" s="55"/>
      <c r="E3" s="56"/>
      <c r="H3" s="13" t="s">
        <v>543</v>
      </c>
      <c r="I3" s="13" t="s">
        <v>544</v>
      </c>
      <c r="J3" s="13" t="s">
        <v>545</v>
      </c>
      <c r="K3" s="13" t="s">
        <v>549</v>
      </c>
      <c r="M3" s="29" t="s">
        <v>645</v>
      </c>
      <c r="N3" s="18">
        <f>SUM(金币汇总!Q6:Q105)</f>
        <v>3522565.8000000003</v>
      </c>
    </row>
    <row r="4" spans="1:23" ht="17.25" x14ac:dyDescent="0.2">
      <c r="A4" s="57"/>
      <c r="B4" s="58"/>
      <c r="C4" s="58"/>
      <c r="D4" s="58"/>
      <c r="E4" s="59"/>
      <c r="G4" s="17" t="s">
        <v>546</v>
      </c>
      <c r="H4" s="14">
        <v>40</v>
      </c>
      <c r="I4" s="14">
        <v>20</v>
      </c>
      <c r="J4" s="14">
        <v>5</v>
      </c>
      <c r="K4" s="14">
        <v>3</v>
      </c>
      <c r="M4" s="13" t="s">
        <v>646</v>
      </c>
      <c r="N4" s="13" t="s">
        <v>647</v>
      </c>
      <c r="O4" s="13" t="s">
        <v>648</v>
      </c>
    </row>
    <row r="5" spans="1:23" ht="16.5" x14ac:dyDescent="0.2">
      <c r="A5" s="57"/>
      <c r="B5" s="58"/>
      <c r="C5" s="58"/>
      <c r="D5" s="58"/>
      <c r="E5" s="59"/>
      <c r="G5" s="17" t="s">
        <v>547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57"/>
      <c r="B6" s="58"/>
      <c r="C6" s="58"/>
      <c r="D6" s="58"/>
      <c r="E6" s="59"/>
      <c r="M6" s="18">
        <f>INT(N3/O5*M5)</f>
        <v>78279</v>
      </c>
      <c r="N6" s="18">
        <f>INT(N3*N5/O5)</f>
        <v>313116</v>
      </c>
    </row>
    <row r="7" spans="1:23" x14ac:dyDescent="0.2">
      <c r="A7" s="57"/>
      <c r="B7" s="58"/>
      <c r="C7" s="58"/>
      <c r="D7" s="58"/>
      <c r="E7" s="59"/>
    </row>
    <row r="8" spans="1:23" x14ac:dyDescent="0.2">
      <c r="A8" s="57"/>
      <c r="B8" s="58"/>
      <c r="C8" s="58"/>
      <c r="D8" s="58"/>
      <c r="E8" s="59"/>
    </row>
    <row r="9" spans="1:23" x14ac:dyDescent="0.2">
      <c r="A9" s="57"/>
      <c r="B9" s="58"/>
      <c r="C9" s="58"/>
      <c r="D9" s="58"/>
      <c r="E9" s="59"/>
    </row>
    <row r="10" spans="1:23" ht="17.25" thickBot="1" x14ac:dyDescent="0.25">
      <c r="A10" s="60"/>
      <c r="B10" s="61"/>
      <c r="C10" s="61"/>
      <c r="D10" s="61"/>
      <c r="E10" s="62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53" t="s">
        <v>548</v>
      </c>
      <c r="Q11" s="53"/>
      <c r="R11" s="53"/>
      <c r="S11" s="53"/>
      <c r="U11">
        <f>SUM(U13:U17)</f>
        <v>27</v>
      </c>
    </row>
    <row r="12" spans="1:23" ht="17.25" x14ac:dyDescent="0.2">
      <c r="A12" s="13" t="s">
        <v>534</v>
      </c>
      <c r="B12" s="13" t="s">
        <v>537</v>
      </c>
      <c r="C12" s="13" t="s">
        <v>393</v>
      </c>
      <c r="D12" s="13" t="s">
        <v>411</v>
      </c>
      <c r="E12" s="13" t="s">
        <v>539</v>
      </c>
      <c r="F12" s="13" t="s">
        <v>540</v>
      </c>
      <c r="G12" s="13" t="s">
        <v>541</v>
      </c>
      <c r="H12" s="13" t="s">
        <v>542</v>
      </c>
      <c r="I12" s="13" t="s">
        <v>613</v>
      </c>
      <c r="K12" s="13" t="s">
        <v>539</v>
      </c>
      <c r="L12" s="13" t="s">
        <v>540</v>
      </c>
      <c r="M12" s="13" t="s">
        <v>541</v>
      </c>
      <c r="N12" s="13" t="s">
        <v>542</v>
      </c>
      <c r="P12" s="13" t="s">
        <v>539</v>
      </c>
      <c r="Q12" s="13" t="s">
        <v>540</v>
      </c>
      <c r="R12" s="13" t="s">
        <v>541</v>
      </c>
      <c r="S12" s="13" t="s">
        <v>542</v>
      </c>
      <c r="U12" s="13" t="s">
        <v>652</v>
      </c>
      <c r="V12" s="13" t="s">
        <v>653</v>
      </c>
      <c r="W12" s="13" t="s">
        <v>654</v>
      </c>
    </row>
    <row r="13" spans="1:23" ht="16.5" x14ac:dyDescent="0.2">
      <c r="A13" s="14" t="s">
        <v>535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2900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5800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11600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23200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34800</v>
      </c>
    </row>
    <row r="18" spans="1:28" ht="16.5" x14ac:dyDescent="0.2">
      <c r="A18" s="14" t="s">
        <v>536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538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1257.9751291371724</v>
      </c>
    </row>
    <row r="32" spans="1:28" ht="17.25" x14ac:dyDescent="0.2">
      <c r="J32" s="13" t="s">
        <v>554</v>
      </c>
      <c r="K32" s="13" t="s">
        <v>557</v>
      </c>
      <c r="L32" s="13" t="s">
        <v>555</v>
      </c>
      <c r="M32" s="13" t="s">
        <v>558</v>
      </c>
      <c r="N32" s="13" t="s">
        <v>556</v>
      </c>
      <c r="O32" s="13" t="s">
        <v>559</v>
      </c>
      <c r="P32" s="13" t="s">
        <v>553</v>
      </c>
      <c r="Q32" s="13" t="s">
        <v>560</v>
      </c>
      <c r="R32" s="13" t="s">
        <v>563</v>
      </c>
      <c r="S32" s="13" t="s">
        <v>564</v>
      </c>
      <c r="T32" s="13" t="s">
        <v>561</v>
      </c>
      <c r="U32" s="13" t="s">
        <v>565</v>
      </c>
      <c r="V32" s="13" t="s">
        <v>566</v>
      </c>
      <c r="W32" s="13" t="s">
        <v>562</v>
      </c>
      <c r="X32" s="13" t="s">
        <v>565</v>
      </c>
      <c r="Y32" s="13" t="s">
        <v>566</v>
      </c>
      <c r="Z32" s="13" t="s">
        <v>649</v>
      </c>
      <c r="AA32" s="13" t="s">
        <v>650</v>
      </c>
      <c r="AB32" s="13" t="s">
        <v>651</v>
      </c>
    </row>
    <row r="33" spans="10:28" ht="16.5" x14ac:dyDescent="0.2">
      <c r="J33" s="14" t="s">
        <v>316</v>
      </c>
      <c r="K33" s="14">
        <v>1000</v>
      </c>
      <c r="L33" s="14" t="s">
        <v>567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1250</v>
      </c>
    </row>
    <row r="34" spans="10:28" ht="16.5" x14ac:dyDescent="0.2">
      <c r="J34" s="14" t="s">
        <v>316</v>
      </c>
      <c r="K34" s="14">
        <v>2000</v>
      </c>
      <c r="L34" s="14" t="s">
        <v>550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2500</v>
      </c>
    </row>
    <row r="35" spans="10:28" ht="16.5" x14ac:dyDescent="0.2">
      <c r="J35" s="14" t="s">
        <v>316</v>
      </c>
      <c r="K35" s="14">
        <v>3000</v>
      </c>
      <c r="L35" s="14" t="s">
        <v>550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3750</v>
      </c>
    </row>
    <row r="36" spans="10:28" ht="16.5" x14ac:dyDescent="0.2">
      <c r="J36" s="14" t="s">
        <v>316</v>
      </c>
      <c r="K36" s="14">
        <v>4000</v>
      </c>
      <c r="L36" s="14" t="s">
        <v>550</v>
      </c>
      <c r="M36" s="14">
        <v>20</v>
      </c>
      <c r="N36" s="14" t="s">
        <v>551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5050</v>
      </c>
    </row>
    <row r="37" spans="10:28" ht="16.5" x14ac:dyDescent="0.2">
      <c r="J37" s="14" t="s">
        <v>316</v>
      </c>
      <c r="K37" s="14">
        <v>5000</v>
      </c>
      <c r="L37" s="14" t="s">
        <v>550</v>
      </c>
      <c r="M37" s="14">
        <v>25</v>
      </c>
      <c r="N37" s="14" t="s">
        <v>551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6300</v>
      </c>
    </row>
    <row r="38" spans="10:28" ht="16.5" x14ac:dyDescent="0.2">
      <c r="J38" s="14" t="s">
        <v>316</v>
      </c>
      <c r="K38" s="14">
        <v>6000</v>
      </c>
      <c r="L38" s="14" t="s">
        <v>550</v>
      </c>
      <c r="M38" s="14">
        <v>45</v>
      </c>
      <c r="N38" s="14" t="s">
        <v>551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7500</v>
      </c>
    </row>
    <row r="39" spans="10:28" ht="16.5" x14ac:dyDescent="0.2">
      <c r="J39" s="14" t="s">
        <v>316</v>
      </c>
      <c r="K39" s="14">
        <v>7000</v>
      </c>
      <c r="L39" s="14" t="s">
        <v>551</v>
      </c>
      <c r="M39" s="14">
        <v>4</v>
      </c>
      <c r="N39" s="14" t="s">
        <v>552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8800</v>
      </c>
    </row>
    <row r="40" spans="10:28" ht="16.5" x14ac:dyDescent="0.2">
      <c r="J40" s="14" t="s">
        <v>316</v>
      </c>
      <c r="K40" s="14">
        <v>8000</v>
      </c>
      <c r="L40" s="14" t="s">
        <v>551</v>
      </c>
      <c r="M40" s="14">
        <v>5</v>
      </c>
      <c r="N40" s="14" t="s">
        <v>552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10100</v>
      </c>
    </row>
    <row r="41" spans="10:28" ht="16.5" x14ac:dyDescent="0.2">
      <c r="J41" s="14" t="s">
        <v>316</v>
      </c>
      <c r="K41" s="14">
        <v>9000</v>
      </c>
      <c r="L41" s="14" t="s">
        <v>551</v>
      </c>
      <c r="M41" s="14">
        <v>7</v>
      </c>
      <c r="N41" s="14" t="s">
        <v>552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11300</v>
      </c>
    </row>
    <row r="42" spans="10:28" ht="16.5" x14ac:dyDescent="0.2">
      <c r="J42" s="14" t="s">
        <v>316</v>
      </c>
      <c r="K42" s="14">
        <v>10000</v>
      </c>
      <c r="L42" s="14" t="s">
        <v>551</v>
      </c>
      <c r="M42" s="14">
        <v>8</v>
      </c>
      <c r="N42" s="14" t="s">
        <v>552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12600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topLeftCell="A2" workbookViewId="0">
      <selection activeCell="K19" sqref="K19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4" width="9.125" customWidth="1"/>
    <col min="5" max="6" width="9.875" customWidth="1"/>
    <col min="8" max="8" width="16.75" customWidth="1"/>
  </cols>
  <sheetData>
    <row r="3" spans="1:8" ht="17.25" x14ac:dyDescent="0.2">
      <c r="A3" s="13" t="s">
        <v>500</v>
      </c>
      <c r="B3" s="13" t="s">
        <v>502</v>
      </c>
      <c r="C3" s="13" t="s">
        <v>501</v>
      </c>
      <c r="D3" s="13" t="s">
        <v>809</v>
      </c>
      <c r="E3" s="13" t="s">
        <v>504</v>
      </c>
      <c r="F3" s="13" t="s">
        <v>505</v>
      </c>
      <c r="G3" s="13" t="s">
        <v>529</v>
      </c>
      <c r="H3" s="13" t="s">
        <v>415</v>
      </c>
    </row>
    <row r="4" spans="1:8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/>
      <c r="E4" s="18" t="str">
        <f>G4&amp;"中级"</f>
        <v>火中级</v>
      </c>
      <c r="F4" s="18" t="str">
        <f>G4&amp;"高级"</f>
        <v>火高级</v>
      </c>
      <c r="G4" s="14" t="s">
        <v>507</v>
      </c>
      <c r="H4" s="14" t="str">
        <f>G4&amp;"修身材料"</f>
        <v>火修身材料</v>
      </c>
    </row>
    <row r="5" spans="1:8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/>
      <c r="E5" s="18" t="str">
        <f t="shared" ref="E5:E39" si="0">G5&amp;"中级"</f>
        <v>雷中级</v>
      </c>
      <c r="F5" s="18" t="str">
        <f t="shared" ref="F5:F39" si="1">G5&amp;"高级"</f>
        <v>雷高级</v>
      </c>
      <c r="G5" s="14" t="s">
        <v>506</v>
      </c>
      <c r="H5" s="14" t="str">
        <f t="shared" ref="H5:H39" si="2">G5&amp;"修身材料"</f>
        <v>雷修身材料</v>
      </c>
    </row>
    <row r="6" spans="1:8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/>
      <c r="E6" s="18" t="str">
        <f t="shared" si="0"/>
        <v>水中级</v>
      </c>
      <c r="F6" s="18" t="str">
        <f t="shared" si="1"/>
        <v>水高级</v>
      </c>
      <c r="G6" s="14" t="s">
        <v>810</v>
      </c>
      <c r="H6" s="14" t="str">
        <f t="shared" si="2"/>
        <v>水修身材料</v>
      </c>
    </row>
    <row r="7" spans="1:8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/>
      <c r="E7" s="18" t="str">
        <f t="shared" si="0"/>
        <v>土中级</v>
      </c>
      <c r="F7" s="18" t="str">
        <f t="shared" si="1"/>
        <v>土高级</v>
      </c>
      <c r="G7" s="14" t="s">
        <v>508</v>
      </c>
      <c r="H7" s="14" t="str">
        <f t="shared" si="2"/>
        <v>土修身材料</v>
      </c>
    </row>
    <row r="8" spans="1:8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/>
      <c r="E8" s="18" t="str">
        <f t="shared" si="0"/>
        <v>水中级</v>
      </c>
      <c r="F8" s="18" t="str">
        <f t="shared" si="1"/>
        <v>水高级</v>
      </c>
      <c r="G8" s="14" t="s">
        <v>810</v>
      </c>
      <c r="H8" s="14" t="str">
        <f t="shared" si="2"/>
        <v>水修身材料</v>
      </c>
    </row>
    <row r="9" spans="1:8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/>
      <c r="E9" s="18" t="str">
        <f t="shared" si="0"/>
        <v>火中级</v>
      </c>
      <c r="F9" s="18" t="str">
        <f t="shared" si="1"/>
        <v>火高级</v>
      </c>
      <c r="G9" s="14" t="s">
        <v>507</v>
      </c>
      <c r="H9" s="14" t="str">
        <f t="shared" si="2"/>
        <v>火修身材料</v>
      </c>
    </row>
    <row r="10" spans="1:8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/>
      <c r="E10" s="18" t="str">
        <f t="shared" si="0"/>
        <v>火中级</v>
      </c>
      <c r="F10" s="18" t="str">
        <f t="shared" si="1"/>
        <v>火高级</v>
      </c>
      <c r="G10" s="14" t="s">
        <v>509</v>
      </c>
      <c r="H10" s="14" t="str">
        <f t="shared" si="2"/>
        <v>火修身材料</v>
      </c>
    </row>
    <row r="11" spans="1:8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/>
      <c r="E11" s="18" t="str">
        <f t="shared" si="0"/>
        <v>土中级</v>
      </c>
      <c r="F11" s="18" t="str">
        <f t="shared" si="1"/>
        <v>土高级</v>
      </c>
      <c r="G11" s="14" t="s">
        <v>508</v>
      </c>
      <c r="H11" s="14" t="str">
        <f t="shared" si="2"/>
        <v>土修身材料</v>
      </c>
    </row>
    <row r="12" spans="1:8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/>
      <c r="E12" s="18" t="str">
        <f t="shared" si="0"/>
        <v>雷中级</v>
      </c>
      <c r="F12" s="18" t="str">
        <f t="shared" si="1"/>
        <v>雷高级</v>
      </c>
      <c r="G12" s="14" t="s">
        <v>525</v>
      </c>
      <c r="H12" s="14" t="str">
        <f t="shared" si="2"/>
        <v>雷修身材料</v>
      </c>
    </row>
    <row r="13" spans="1:8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/>
      <c r="E13" s="18" t="str">
        <f t="shared" si="0"/>
        <v>雷中级</v>
      </c>
      <c r="F13" s="18" t="str">
        <f t="shared" si="1"/>
        <v>雷高级</v>
      </c>
      <c r="G13" s="14" t="s">
        <v>512</v>
      </c>
      <c r="H13" s="14" t="str">
        <f t="shared" si="2"/>
        <v>雷修身材料</v>
      </c>
    </row>
    <row r="14" spans="1:8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/>
      <c r="E14" s="18" t="str">
        <f t="shared" si="0"/>
        <v>风中级</v>
      </c>
      <c r="F14" s="18" t="str">
        <f t="shared" si="1"/>
        <v>风高级</v>
      </c>
      <c r="G14" s="14" t="s">
        <v>511</v>
      </c>
      <c r="H14" s="14" t="str">
        <f t="shared" si="2"/>
        <v>风修身材料</v>
      </c>
    </row>
    <row r="15" spans="1:8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/>
      <c r="E15" s="18" t="str">
        <f t="shared" si="0"/>
        <v>雷中级</v>
      </c>
      <c r="F15" s="18" t="str">
        <f t="shared" si="1"/>
        <v>雷高级</v>
      </c>
      <c r="G15" s="14" t="s">
        <v>512</v>
      </c>
      <c r="H15" s="14" t="str">
        <f t="shared" si="2"/>
        <v>雷修身材料</v>
      </c>
    </row>
    <row r="16" spans="1:8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/>
      <c r="E16" s="18" t="str">
        <f t="shared" si="0"/>
        <v>水中级</v>
      </c>
      <c r="F16" s="18" t="str">
        <f t="shared" si="1"/>
        <v>水高级</v>
      </c>
      <c r="G16" s="14" t="s">
        <v>810</v>
      </c>
      <c r="H16" s="14" t="str">
        <f t="shared" si="2"/>
        <v>水修身材料</v>
      </c>
    </row>
    <row r="17" spans="1:8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/>
      <c r="E17" s="18" t="str">
        <f t="shared" si="0"/>
        <v>风中级</v>
      </c>
      <c r="F17" s="18" t="str">
        <f t="shared" si="1"/>
        <v>风高级</v>
      </c>
      <c r="G17" s="14" t="s">
        <v>513</v>
      </c>
      <c r="H17" s="14" t="str">
        <f t="shared" si="2"/>
        <v>风修身材料</v>
      </c>
    </row>
    <row r="18" spans="1:8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2</v>
      </c>
      <c r="D18" s="18"/>
      <c r="E18" s="18" t="str">
        <f t="shared" si="0"/>
        <v>风中级</v>
      </c>
      <c r="F18" s="18" t="str">
        <f t="shared" si="1"/>
        <v>风高级</v>
      </c>
      <c r="G18" s="14" t="s">
        <v>514</v>
      </c>
      <c r="H18" s="14" t="str">
        <f t="shared" si="2"/>
        <v>风修身材料</v>
      </c>
    </row>
    <row r="19" spans="1:8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/>
      <c r="E19" s="18" t="str">
        <f t="shared" si="0"/>
        <v>水中级</v>
      </c>
      <c r="F19" s="18" t="str">
        <f t="shared" si="1"/>
        <v>水高级</v>
      </c>
      <c r="G19" s="14" t="s">
        <v>810</v>
      </c>
      <c r="H19" s="14" t="str">
        <f t="shared" si="2"/>
        <v>水修身材料</v>
      </c>
    </row>
    <row r="20" spans="1:8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/>
      <c r="E20" s="18" t="str">
        <f t="shared" si="0"/>
        <v>火中级</v>
      </c>
      <c r="F20" s="18" t="str">
        <f t="shared" si="1"/>
        <v>火高级</v>
      </c>
      <c r="G20" s="14" t="s">
        <v>515</v>
      </c>
      <c r="H20" s="14" t="str">
        <f t="shared" si="2"/>
        <v>火修身材料</v>
      </c>
    </row>
    <row r="21" spans="1:8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/>
      <c r="E21" s="18" t="str">
        <f t="shared" si="0"/>
        <v>火中级</v>
      </c>
      <c r="F21" s="18" t="str">
        <f t="shared" si="1"/>
        <v>火高级</v>
      </c>
      <c r="G21" s="14" t="s">
        <v>516</v>
      </c>
      <c r="H21" s="14" t="str">
        <f t="shared" si="2"/>
        <v>火修身材料</v>
      </c>
    </row>
    <row r="22" spans="1:8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/>
      <c r="E22" s="18" t="str">
        <f t="shared" si="0"/>
        <v>雷中级</v>
      </c>
      <c r="F22" s="18" t="str">
        <f t="shared" si="1"/>
        <v>雷高级</v>
      </c>
      <c r="G22" s="14" t="s">
        <v>517</v>
      </c>
      <c r="H22" s="14" t="str">
        <f t="shared" si="2"/>
        <v>雷修身材料</v>
      </c>
    </row>
    <row r="23" spans="1:8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/>
      <c r="E23" s="18" t="str">
        <f t="shared" si="0"/>
        <v>水中级</v>
      </c>
      <c r="F23" s="18" t="str">
        <f t="shared" si="1"/>
        <v>水高级</v>
      </c>
      <c r="G23" s="14" t="s">
        <v>810</v>
      </c>
      <c r="H23" s="14" t="str">
        <f t="shared" si="2"/>
        <v>水修身材料</v>
      </c>
    </row>
    <row r="24" spans="1:8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/>
      <c r="E24" s="18" t="str">
        <f t="shared" si="0"/>
        <v>土中级</v>
      </c>
      <c r="F24" s="18" t="str">
        <f t="shared" si="1"/>
        <v>土高级</v>
      </c>
      <c r="G24" s="14" t="s">
        <v>518</v>
      </c>
      <c r="H24" s="14" t="str">
        <f t="shared" si="2"/>
        <v>土修身材料</v>
      </c>
    </row>
    <row r="25" spans="1:8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/>
      <c r="E25" s="18" t="str">
        <f t="shared" si="0"/>
        <v>火中级</v>
      </c>
      <c r="F25" s="18" t="str">
        <f t="shared" si="1"/>
        <v>火高级</v>
      </c>
      <c r="G25" s="14" t="s">
        <v>519</v>
      </c>
      <c r="H25" s="14" t="str">
        <f t="shared" si="2"/>
        <v>火修身材料</v>
      </c>
    </row>
    <row r="26" spans="1:8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/>
      <c r="E26" s="18" t="str">
        <f t="shared" si="0"/>
        <v>火中级</v>
      </c>
      <c r="F26" s="18" t="str">
        <f t="shared" si="1"/>
        <v>火高级</v>
      </c>
      <c r="G26" s="14" t="s">
        <v>520</v>
      </c>
      <c r="H26" s="14" t="str">
        <f t="shared" si="2"/>
        <v>火修身材料</v>
      </c>
    </row>
    <row r="27" spans="1:8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/>
      <c r="E27" s="18" t="str">
        <f t="shared" si="0"/>
        <v>雷中级</v>
      </c>
      <c r="F27" s="18" t="str">
        <f t="shared" si="1"/>
        <v>雷高级</v>
      </c>
      <c r="G27" s="14" t="s">
        <v>522</v>
      </c>
      <c r="H27" s="14" t="str">
        <f t="shared" si="2"/>
        <v>雷修身材料</v>
      </c>
    </row>
    <row r="28" spans="1:8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/>
      <c r="E28" s="18" t="str">
        <f t="shared" si="0"/>
        <v>风中级</v>
      </c>
      <c r="F28" s="18" t="str">
        <f t="shared" si="1"/>
        <v>风高级</v>
      </c>
      <c r="G28" s="14" t="s">
        <v>521</v>
      </c>
      <c r="H28" s="14" t="str">
        <f t="shared" si="2"/>
        <v>风修身材料</v>
      </c>
    </row>
    <row r="29" spans="1:8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/>
      <c r="E29" s="18" t="str">
        <f t="shared" si="0"/>
        <v>水中级</v>
      </c>
      <c r="F29" s="18" t="str">
        <f t="shared" si="1"/>
        <v>水高级</v>
      </c>
      <c r="G29" s="14" t="s">
        <v>810</v>
      </c>
      <c r="H29" s="14" t="str">
        <f t="shared" si="2"/>
        <v>水修身材料</v>
      </c>
    </row>
    <row r="30" spans="1:8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/>
      <c r="E30" s="18" t="str">
        <f t="shared" si="0"/>
        <v>火中级</v>
      </c>
      <c r="F30" s="18" t="str">
        <f t="shared" si="1"/>
        <v>火高级</v>
      </c>
      <c r="G30" s="14" t="s">
        <v>520</v>
      </c>
      <c r="H30" s="14" t="str">
        <f t="shared" si="2"/>
        <v>火修身材料</v>
      </c>
    </row>
    <row r="31" spans="1:8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/>
      <c r="E31" s="18" t="str">
        <f t="shared" si="0"/>
        <v>土中级</v>
      </c>
      <c r="F31" s="18" t="str">
        <f t="shared" si="1"/>
        <v>土高级</v>
      </c>
      <c r="G31" s="14" t="s">
        <v>523</v>
      </c>
      <c r="H31" s="14" t="str">
        <f t="shared" si="2"/>
        <v>土修身材料</v>
      </c>
    </row>
    <row r="32" spans="1:8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/>
      <c r="E32" s="18" t="str">
        <f t="shared" si="0"/>
        <v>雷中级</v>
      </c>
      <c r="F32" s="18" t="str">
        <f t="shared" si="1"/>
        <v>雷高级</v>
      </c>
      <c r="G32" s="14" t="s">
        <v>524</v>
      </c>
      <c r="H32" s="14" t="str">
        <f t="shared" si="2"/>
        <v>雷修身材料</v>
      </c>
    </row>
    <row r="33" spans="1:8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/>
      <c r="E33" s="18" t="str">
        <f t="shared" si="0"/>
        <v>风中级</v>
      </c>
      <c r="F33" s="18" t="str">
        <f t="shared" si="1"/>
        <v>风高级</v>
      </c>
      <c r="G33" s="14" t="s">
        <v>510</v>
      </c>
      <c r="H33" s="14" t="str">
        <f t="shared" si="2"/>
        <v>风修身材料</v>
      </c>
    </row>
    <row r="34" spans="1:8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/>
      <c r="E34" s="18" t="str">
        <f t="shared" si="0"/>
        <v>土中级</v>
      </c>
      <c r="F34" s="18" t="str">
        <f t="shared" si="1"/>
        <v>土高级</v>
      </c>
      <c r="G34" s="14" t="s">
        <v>526</v>
      </c>
      <c r="H34" s="14" t="str">
        <f t="shared" si="2"/>
        <v>土修身材料</v>
      </c>
    </row>
    <row r="35" spans="1:8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/>
      <c r="E35" s="18" t="str">
        <f t="shared" si="0"/>
        <v>风中级</v>
      </c>
      <c r="F35" s="18" t="str">
        <f t="shared" si="1"/>
        <v>风高级</v>
      </c>
      <c r="G35" s="14" t="s">
        <v>527</v>
      </c>
      <c r="H35" s="14" t="str">
        <f t="shared" si="2"/>
        <v>风修身材料</v>
      </c>
    </row>
    <row r="36" spans="1:8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/>
      <c r="E36" s="18" t="str">
        <f t="shared" si="0"/>
        <v>火中级</v>
      </c>
      <c r="F36" s="18" t="str">
        <f t="shared" si="1"/>
        <v>火高级</v>
      </c>
      <c r="G36" s="14" t="s">
        <v>509</v>
      </c>
      <c r="H36" s="14" t="str">
        <f t="shared" si="2"/>
        <v>火修身材料</v>
      </c>
    </row>
    <row r="37" spans="1:8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/>
      <c r="E37" s="18" t="str">
        <f t="shared" si="0"/>
        <v>火中级</v>
      </c>
      <c r="F37" s="18" t="str">
        <f t="shared" si="1"/>
        <v>火高级</v>
      </c>
      <c r="G37" s="14" t="s">
        <v>520</v>
      </c>
      <c r="H37" s="14" t="str">
        <f t="shared" si="2"/>
        <v>火修身材料</v>
      </c>
    </row>
    <row r="38" spans="1:8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/>
      <c r="E38" s="18" t="str">
        <f t="shared" si="0"/>
        <v>雷中级</v>
      </c>
      <c r="F38" s="18" t="str">
        <f t="shared" si="1"/>
        <v>雷高级</v>
      </c>
      <c r="G38" s="14" t="s">
        <v>528</v>
      </c>
      <c r="H38" s="14" t="str">
        <f t="shared" si="2"/>
        <v>雷修身材料</v>
      </c>
    </row>
    <row r="39" spans="1:8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/>
      <c r="E39" s="18" t="str">
        <f t="shared" si="0"/>
        <v>风中级</v>
      </c>
      <c r="F39" s="18" t="str">
        <f t="shared" si="1"/>
        <v>风高级</v>
      </c>
      <c r="G39" s="14" t="s">
        <v>521</v>
      </c>
      <c r="H39" s="14" t="str">
        <f t="shared" si="2"/>
        <v>风修身材料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游戏节奏</vt:lpstr>
      <vt:lpstr>卡牌值</vt:lpstr>
      <vt:lpstr>队伍经验</vt:lpstr>
      <vt:lpstr>神器与芦花古楼</vt:lpstr>
      <vt:lpstr>章节</vt:lpstr>
      <vt:lpstr>挂机派遣</vt:lpstr>
      <vt:lpstr>单人BOSS-专属武器</vt:lpstr>
      <vt:lpstr>卡牌</vt:lpstr>
      <vt:lpstr>抽卡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2019-03-15T07:28:04Z</dcterms:modified>
</cp:coreProperties>
</file>