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文档说明" sheetId="10" r:id="rId1"/>
    <sheet name="属性表" sheetId="46" r:id="rId2"/>
    <sheet name="属性投放" sheetId="43" r:id="rId3"/>
    <sheet name="职业设计" sheetId="47" r:id="rId4"/>
    <sheet name="羁绊之力" sheetId="44" r:id="rId5"/>
    <sheet name="关卡思路" sheetId="36" state="hidden" r:id="rId6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7" l="1"/>
  <c r="H8" i="47"/>
  <c r="V8" i="47" s="1"/>
  <c r="V7" i="47"/>
  <c r="V9" i="47"/>
  <c r="V10" i="47"/>
  <c r="V11" i="47"/>
  <c r="V12" i="47"/>
  <c r="V13" i="47"/>
  <c r="V14" i="47"/>
  <c r="V15" i="47"/>
  <c r="V16" i="47"/>
  <c r="V17" i="47"/>
  <c r="V6" i="47"/>
  <c r="H11" i="47"/>
  <c r="H10" i="47"/>
  <c r="H9" i="47"/>
  <c r="S2" i="47" l="1"/>
  <c r="U2" i="47"/>
  <c r="P7" i="47"/>
  <c r="Q7" i="47"/>
  <c r="R7" i="47"/>
  <c r="P8" i="47"/>
  <c r="Q8" i="47"/>
  <c r="R8" i="47"/>
  <c r="P9" i="47"/>
  <c r="Q9" i="47"/>
  <c r="R9" i="47"/>
  <c r="P10" i="47"/>
  <c r="Q10" i="47"/>
  <c r="R10" i="47"/>
  <c r="P11" i="47"/>
  <c r="Q11" i="47"/>
  <c r="R11" i="47"/>
  <c r="P12" i="47"/>
  <c r="Q12" i="47"/>
  <c r="R12" i="47"/>
  <c r="P13" i="47"/>
  <c r="Q13" i="47"/>
  <c r="R13" i="47"/>
  <c r="P14" i="47"/>
  <c r="Q14" i="47"/>
  <c r="R14" i="47"/>
  <c r="P15" i="47"/>
  <c r="Q15" i="47"/>
  <c r="R15" i="47"/>
  <c r="P16" i="47"/>
  <c r="Q16" i="47"/>
  <c r="R16" i="47"/>
  <c r="P17" i="47"/>
  <c r="Q17" i="47"/>
  <c r="R17" i="47"/>
  <c r="R6" i="47"/>
  <c r="Q6" i="47"/>
  <c r="P6" i="47"/>
  <c r="E25" i="43"/>
  <c r="M7" i="47"/>
  <c r="S7" i="47" s="1"/>
  <c r="N7" i="47"/>
  <c r="T7" i="47" s="1"/>
  <c r="M8" i="47"/>
  <c r="S8" i="47" s="1"/>
  <c r="N8" i="47"/>
  <c r="M9" i="47"/>
  <c r="N9" i="47"/>
  <c r="T9" i="47" s="1"/>
  <c r="M10" i="47"/>
  <c r="S10" i="47" s="1"/>
  <c r="N10" i="47"/>
  <c r="M11" i="47"/>
  <c r="S11" i="47" s="1"/>
  <c r="N11" i="47"/>
  <c r="T11" i="47" s="1"/>
  <c r="M12" i="47"/>
  <c r="S12" i="47" s="1"/>
  <c r="N12" i="47"/>
  <c r="M13" i="47"/>
  <c r="N13" i="47"/>
  <c r="T13" i="47" s="1"/>
  <c r="M14" i="47"/>
  <c r="S14" i="47" s="1"/>
  <c r="N14" i="47"/>
  <c r="M15" i="47"/>
  <c r="S15" i="47" s="1"/>
  <c r="N15" i="47"/>
  <c r="T15" i="47" s="1"/>
  <c r="M16" i="47"/>
  <c r="S16" i="47" s="1"/>
  <c r="N16" i="47"/>
  <c r="M17" i="47"/>
  <c r="N17" i="47"/>
  <c r="T17" i="47" s="1"/>
  <c r="N6" i="47"/>
  <c r="M6" i="47"/>
  <c r="C36" i="43"/>
  <c r="D36" i="43"/>
  <c r="B36" i="43"/>
  <c r="N6" i="43"/>
  <c r="N7" i="43"/>
  <c r="N8" i="43"/>
  <c r="N9" i="43"/>
  <c r="N10" i="43"/>
  <c r="N11" i="43"/>
  <c r="N12" i="43"/>
  <c r="N13" i="43"/>
  <c r="N5" i="43"/>
  <c r="D26" i="43"/>
  <c r="C26" i="43"/>
  <c r="B26" i="4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T6" i="47" l="1"/>
  <c r="S17" i="47"/>
  <c r="S13" i="47"/>
  <c r="U13" i="47" s="1"/>
  <c r="L13" i="47" s="1"/>
  <c r="S9" i="47"/>
  <c r="U9" i="47" s="1"/>
  <c r="L9" i="47" s="1"/>
  <c r="S6" i="47"/>
  <c r="T14" i="47"/>
  <c r="T16" i="47"/>
  <c r="U16" i="47" s="1"/>
  <c r="L16" i="47" s="1"/>
  <c r="T12" i="47"/>
  <c r="U12" i="47" s="1"/>
  <c r="L12" i="47" s="1"/>
  <c r="T10" i="47"/>
  <c r="U10" i="47" s="1"/>
  <c r="L10" i="47" s="1"/>
  <c r="I10" i="47" s="1"/>
  <c r="T8" i="47"/>
  <c r="U17" i="47"/>
  <c r="L17" i="47" s="1"/>
  <c r="U15" i="47"/>
  <c r="L15" i="47" s="1"/>
  <c r="U7" i="47"/>
  <c r="L7" i="47" s="1"/>
  <c r="U6" i="47"/>
  <c r="L6" i="47" s="1"/>
  <c r="U11" i="47"/>
  <c r="L11" i="47" s="1"/>
  <c r="I11" i="47" s="1"/>
  <c r="U14" i="47"/>
  <c r="L14" i="47" s="1"/>
  <c r="I14" i="47" s="1"/>
  <c r="U8" i="47"/>
  <c r="L8" i="47" s="1"/>
  <c r="O6" i="47" l="1"/>
  <c r="I13" i="47"/>
  <c r="O13" i="47"/>
  <c r="I9" i="47"/>
  <c r="O9" i="47"/>
  <c r="I7" i="47"/>
  <c r="O7" i="47"/>
  <c r="I17" i="47"/>
  <c r="O17" i="47"/>
  <c r="I8" i="47"/>
  <c r="O8" i="47"/>
  <c r="I16" i="47"/>
  <c r="O16" i="47"/>
  <c r="I12" i="47"/>
  <c r="O12" i="47"/>
  <c r="I15" i="47"/>
  <c r="O15" i="47"/>
  <c r="O11" i="47"/>
  <c r="O10" i="47"/>
  <c r="O14" i="47"/>
  <c r="B12" i="44"/>
  <c r="F35" i="43" l="1"/>
  <c r="G35" i="43"/>
  <c r="H35" i="43"/>
  <c r="I35" i="43"/>
  <c r="J35" i="43"/>
  <c r="K35" i="43"/>
  <c r="L35" i="43"/>
  <c r="M35" i="43"/>
  <c r="E35" i="43"/>
  <c r="C16" i="44"/>
  <c r="C17" i="44"/>
  <c r="C18" i="44"/>
  <c r="C19" i="44"/>
  <c r="C20" i="44"/>
  <c r="C21" i="44"/>
  <c r="C22" i="44"/>
  <c r="C23" i="44"/>
  <c r="C24" i="44"/>
  <c r="C25" i="44"/>
  <c r="C26" i="44"/>
  <c r="C15" i="44"/>
  <c r="J5" i="44"/>
  <c r="J6" i="44"/>
  <c r="J7" i="44"/>
  <c r="J8" i="44"/>
  <c r="J9" i="44"/>
  <c r="H5" i="44"/>
  <c r="H6" i="44"/>
  <c r="H7" i="44"/>
  <c r="H8" i="44"/>
  <c r="H9" i="44"/>
  <c r="J4" i="44"/>
  <c r="H4" i="44"/>
  <c r="D24" i="44" l="1"/>
  <c r="D19" i="44"/>
  <c r="D20" i="44"/>
  <c r="D25" i="44"/>
  <c r="D26" i="44"/>
  <c r="D23" i="44"/>
  <c r="D18" i="44"/>
  <c r="D16" i="44"/>
  <c r="D17" i="44"/>
  <c r="B22" i="43"/>
  <c r="C18" i="43"/>
  <c r="C19" i="43"/>
  <c r="C17" i="43"/>
  <c r="G5" i="43"/>
  <c r="J4" i="43"/>
  <c r="K4" i="43"/>
  <c r="I4" i="43"/>
  <c r="G6" i="43"/>
  <c r="G7" i="43"/>
  <c r="G8" i="43"/>
  <c r="G9" i="43"/>
  <c r="G10" i="43"/>
  <c r="G11" i="43"/>
  <c r="G12" i="43"/>
  <c r="E9" i="43"/>
  <c r="H9" i="43" s="1"/>
  <c r="E10" i="43"/>
  <c r="H10" i="43" s="1"/>
  <c r="E11" i="43"/>
  <c r="H11" i="43" s="1"/>
  <c r="E12" i="43"/>
  <c r="H12" i="43" s="1"/>
  <c r="E8" i="43"/>
  <c r="H8" i="43" s="1"/>
  <c r="E7" i="43"/>
  <c r="H7" i="43" s="1"/>
  <c r="E6" i="43"/>
  <c r="H6" i="43" s="1"/>
  <c r="E5" i="43"/>
  <c r="H5" i="43" s="1"/>
  <c r="E4" i="43"/>
  <c r="J5" i="43" l="1"/>
  <c r="J6" i="43" s="1"/>
  <c r="J7" i="43" s="1"/>
  <c r="J8" i="43" s="1"/>
  <c r="J9" i="43" s="1"/>
  <c r="J10" i="43" s="1"/>
  <c r="J11" i="43" s="1"/>
  <c r="J12" i="43" s="1"/>
  <c r="J13" i="43" s="1"/>
  <c r="C25" i="43" s="1"/>
  <c r="K5" i="43"/>
  <c r="K6" i="43"/>
  <c r="K7" i="43" s="1"/>
  <c r="K8" i="43" s="1"/>
  <c r="K9" i="43" s="1"/>
  <c r="K10" i="43" s="1"/>
  <c r="E23" i="44"/>
  <c r="F23" i="44"/>
  <c r="E19" i="44"/>
  <c r="F19" i="44"/>
  <c r="F17" i="44"/>
  <c r="E17" i="44"/>
  <c r="F26" i="44"/>
  <c r="E26" i="44"/>
  <c r="F24" i="44"/>
  <c r="E24" i="44"/>
  <c r="F16" i="44"/>
  <c r="E16" i="44"/>
  <c r="F25" i="44"/>
  <c r="E25" i="44"/>
  <c r="E18" i="44"/>
  <c r="F18" i="44"/>
  <c r="F20" i="44"/>
  <c r="E20" i="44"/>
  <c r="K11" i="43"/>
  <c r="K12" i="43" s="1"/>
  <c r="K13" i="43" s="1"/>
  <c r="D25" i="43" s="1"/>
  <c r="D32" i="43" l="1"/>
  <c r="D35" i="43" s="1"/>
  <c r="D21" i="44" s="1"/>
  <c r="E21" i="44" s="1"/>
  <c r="D27" i="43"/>
  <c r="C32" i="43"/>
  <c r="C35" i="43" s="1"/>
  <c r="D22" i="44" s="1"/>
  <c r="F22" i="44" s="1"/>
  <c r="C27" i="43"/>
  <c r="F21" i="44"/>
  <c r="C5" i="43"/>
  <c r="C6" i="43"/>
  <c r="C7" i="43"/>
  <c r="C8" i="43"/>
  <c r="C9" i="43"/>
  <c r="C10" i="43"/>
  <c r="C11" i="43"/>
  <c r="C12" i="43"/>
  <c r="F12" i="43" s="1"/>
  <c r="C4" i="43"/>
  <c r="L4" i="43" s="1"/>
  <c r="M4" i="43" s="1"/>
  <c r="E22" i="44" l="1"/>
  <c r="F7" i="43"/>
  <c r="F10" i="43"/>
  <c r="F6" i="43"/>
  <c r="F9" i="43"/>
  <c r="F5" i="43"/>
  <c r="I5" i="43" s="1"/>
  <c r="L5" i="43" s="1"/>
  <c r="M5" i="43" s="1"/>
  <c r="F8" i="43"/>
  <c r="F11" i="43"/>
  <c r="I6" i="43" l="1"/>
  <c r="I7" i="43" l="1"/>
  <c r="L6" i="43"/>
  <c r="M6" i="43" s="1"/>
  <c r="I8" i="43" l="1"/>
  <c r="L7" i="43"/>
  <c r="M7" i="43" s="1"/>
  <c r="I9" i="43" l="1"/>
  <c r="L8" i="43"/>
  <c r="M8" i="43" s="1"/>
  <c r="I10" i="43" l="1"/>
  <c r="L9" i="43"/>
  <c r="M9" i="43" s="1"/>
  <c r="L10" i="43" l="1"/>
  <c r="M10" i="43" s="1"/>
  <c r="I11" i="43"/>
  <c r="I12" i="43" l="1"/>
  <c r="L11" i="43"/>
  <c r="M11" i="43" s="1"/>
  <c r="L12" i="43" l="1"/>
  <c r="M12" i="43" s="1"/>
  <c r="I13" i="43"/>
  <c r="B25" i="43" s="1"/>
  <c r="B32" i="43" l="1"/>
  <c r="B35" i="43" s="1"/>
  <c r="D15" i="44" s="1"/>
  <c r="F15" i="44" s="1"/>
  <c r="B27" i="43"/>
  <c r="E15" i="44" l="1"/>
</calcChain>
</file>

<file path=xl/sharedStrings.xml><?xml version="1.0" encoding="utf-8"?>
<sst xmlns="http://schemas.openxmlformats.org/spreadsheetml/2006/main" count="322" uniqueCount="244">
  <si>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</si>
  <si>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</si>
  <si>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</si>
  <si>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</si>
  <si>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</si>
  <si>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</si>
  <si>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</si>
  <si>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</si>
  <si>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</si>
  <si>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</si>
  <si>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</si>
  <si>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</si>
  <si>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</si>
  <si>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</si>
  <si>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</si>
  <si>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</si>
  <si>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</si>
  <si>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</si>
  <si>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</si>
  <si>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</si>
  <si>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</si>
  <si>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</si>
  <si>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</si>
  <si>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</si>
  <si>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</si>
  <si>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</si>
  <si>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</si>
  <si>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</si>
  <si>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</si>
  <si>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增加羁绊之力和命运之门。图鉴改为搜集。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</si>
  <si>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</si>
  <si>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</si>
  <si>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</si>
  <si>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</si>
  <si>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Atk.base</t>
    <phoneticPr fontId="2" type="noConversion"/>
  </si>
  <si>
    <t>Def.base</t>
    <phoneticPr fontId="2" type="noConversion"/>
  </si>
  <si>
    <t>HP.base</t>
    <phoneticPr fontId="2" type="noConversion"/>
  </si>
  <si>
    <t>lv</t>
    <phoneticPr fontId="2" type="noConversion"/>
  </si>
  <si>
    <t>地狱道基础属性</t>
    <phoneticPr fontId="2" type="noConversion"/>
  </si>
  <si>
    <t>总值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</si>
  <si>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</si>
  <si>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</si>
  <si>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</si>
  <si>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</si>
  <si>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稀有度</t>
    <phoneticPr fontId="2" type="noConversion"/>
  </si>
  <si>
    <t>属性系数</t>
    <phoneticPr fontId="2" type="noConversion"/>
  </si>
  <si>
    <t>星级</t>
    <phoneticPr fontId="2" type="noConversion"/>
  </si>
  <si>
    <t>属性系数</t>
    <phoneticPr fontId="2" type="noConversion"/>
  </si>
  <si>
    <t>升星碎片</t>
    <phoneticPr fontId="2" type="noConversion"/>
  </si>
  <si>
    <t>满坑</t>
    <phoneticPr fontId="2" type="noConversion"/>
  </si>
  <si>
    <t>总属性系数</t>
    <phoneticPr fontId="2" type="noConversion"/>
  </si>
  <si>
    <t>Atk</t>
    <phoneticPr fontId="2" type="noConversion"/>
  </si>
  <si>
    <t>Def.base</t>
    <phoneticPr fontId="2" type="noConversion"/>
  </si>
  <si>
    <t>Def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</si>
  <si>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</si>
  <si>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</si>
  <si>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</si>
  <si>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</si>
  <si>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羁绊之力</t>
    <phoneticPr fontId="2" type="noConversion"/>
  </si>
  <si>
    <t>Pct</t>
    <phoneticPr fontId="2" type="noConversion"/>
  </si>
  <si>
    <t>BsPct</t>
    <phoneticPr fontId="2" type="noConversion"/>
  </si>
  <si>
    <t>属性位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</si>
  <si>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</si>
  <si>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</si>
  <si>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</si>
  <si>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</si>
  <si>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水</t>
    <phoneticPr fontId="2" type="noConversion"/>
  </si>
  <si>
    <t>奥</t>
    <phoneticPr fontId="2" type="noConversion"/>
  </si>
  <si>
    <t>攻</t>
    <phoneticPr fontId="2" type="noConversion"/>
  </si>
  <si>
    <t>攻%</t>
  </si>
  <si>
    <t>血</t>
    <phoneticPr fontId="2" type="noConversion"/>
  </si>
  <si>
    <t>防%</t>
  </si>
  <si>
    <t>血%</t>
  </si>
  <si>
    <t>爆伤</t>
    <phoneticPr fontId="2" type="noConversion"/>
  </si>
  <si>
    <t>攻击属性</t>
    <phoneticPr fontId="2" type="noConversion"/>
  </si>
  <si>
    <t>防御属性</t>
    <phoneticPr fontId="2" type="noConversion"/>
  </si>
  <si>
    <t>暴击</t>
    <phoneticPr fontId="2" type="noConversion"/>
  </si>
  <si>
    <t>效果命中</t>
    <phoneticPr fontId="2" type="noConversion"/>
  </si>
  <si>
    <t>血</t>
    <phoneticPr fontId="2" type="noConversion"/>
  </si>
  <si>
    <t>防</t>
    <phoneticPr fontId="2" type="noConversion"/>
  </si>
  <si>
    <t>格</t>
    <phoneticPr fontId="2" type="noConversion"/>
  </si>
  <si>
    <t>攻%</t>
    <phoneticPr fontId="2" type="noConversion"/>
  </si>
  <si>
    <t>血%</t>
    <phoneticPr fontId="2" type="noConversion"/>
  </si>
  <si>
    <t>防%</t>
    <phoneticPr fontId="2" type="noConversion"/>
  </si>
  <si>
    <t>攻</t>
    <phoneticPr fontId="2" type="noConversion"/>
  </si>
  <si>
    <t>效果抵抗</t>
    <phoneticPr fontId="2" type="noConversion"/>
  </si>
  <si>
    <t>忽略防御</t>
    <phoneticPr fontId="2" type="noConversion"/>
  </si>
  <si>
    <t>属性2</t>
  </si>
  <si>
    <t>属性3</t>
  </si>
  <si>
    <t>羁绊之力属性类型投放</t>
    <phoneticPr fontId="2" type="noConversion"/>
  </si>
  <si>
    <t>必给属性</t>
    <phoneticPr fontId="2" type="noConversion"/>
  </si>
  <si>
    <t>防%</t>
    <phoneticPr fontId="2" type="noConversion"/>
  </si>
  <si>
    <t>血%</t>
    <phoneticPr fontId="2" type="noConversion"/>
  </si>
  <si>
    <t>攻%</t>
    <phoneticPr fontId="2" type="noConversion"/>
  </si>
  <si>
    <t>暴击</t>
    <phoneticPr fontId="2" type="noConversion"/>
  </si>
  <si>
    <t>效果抵抗</t>
    <phoneticPr fontId="2" type="noConversion"/>
  </si>
  <si>
    <t>爆伤</t>
    <phoneticPr fontId="2" type="noConversion"/>
  </si>
  <si>
    <t>效果命中</t>
    <phoneticPr fontId="2" type="noConversion"/>
  </si>
  <si>
    <t>效果抵抗</t>
    <phoneticPr fontId="2" type="noConversion"/>
  </si>
  <si>
    <t>忽略防御</t>
    <phoneticPr fontId="2" type="noConversion"/>
  </si>
  <si>
    <t>数量</t>
    <phoneticPr fontId="2" type="noConversion"/>
  </si>
  <si>
    <t>防</t>
    <phoneticPr fontId="2" type="noConversion"/>
  </si>
  <si>
    <t>防</t>
    <phoneticPr fontId="2" type="noConversion"/>
  </si>
  <si>
    <t>血</t>
    <phoneticPr fontId="2" type="noConversion"/>
  </si>
  <si>
    <t>格</t>
    <phoneticPr fontId="2" type="noConversion"/>
  </si>
  <si>
    <t>属性1</t>
    <phoneticPr fontId="2" type="noConversion"/>
  </si>
  <si>
    <t>属性名</t>
    <phoneticPr fontId="2" type="noConversion"/>
  </si>
  <si>
    <t>作用</t>
    <phoneticPr fontId="2" type="noConversion"/>
  </si>
  <si>
    <t>数量</t>
    <phoneticPr fontId="2" type="noConversion"/>
  </si>
  <si>
    <t>每级成长</t>
    <phoneticPr fontId="2" type="noConversion"/>
  </si>
  <si>
    <t>攻击</t>
    <phoneticPr fontId="2" type="noConversion"/>
  </si>
  <si>
    <t>防御</t>
    <phoneticPr fontId="2" type="noConversion"/>
  </si>
  <si>
    <t>总等级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</si>
  <si>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</si>
  <si>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</si>
  <si>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</si>
  <si>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Crit</t>
    <phoneticPr fontId="2" type="noConversion"/>
  </si>
  <si>
    <t>CritHit</t>
    <phoneticPr fontId="2" type="noConversion"/>
  </si>
  <si>
    <t>EffectHit</t>
    <phoneticPr fontId="2" type="noConversion"/>
  </si>
  <si>
    <t>EffectResist</t>
    <phoneticPr fontId="2" type="noConversion"/>
  </si>
  <si>
    <t>Block</t>
    <phoneticPr fontId="2" type="noConversion"/>
  </si>
  <si>
    <t>DefIgnore</t>
    <phoneticPr fontId="2" type="noConversion"/>
  </si>
  <si>
    <t>标准</t>
    <phoneticPr fontId="2" type="noConversion"/>
  </si>
  <si>
    <t>属性投放</t>
    <phoneticPr fontId="2" type="noConversion"/>
  </si>
  <si>
    <t>特殊等级</t>
    <phoneticPr fontId="2" type="noConversion"/>
  </si>
  <si>
    <t>职业属性分配</t>
    <phoneticPr fontId="2" type="noConversion"/>
  </si>
  <si>
    <t>大类型</t>
    <phoneticPr fontId="2" type="noConversion"/>
  </si>
  <si>
    <t>小类型</t>
    <phoneticPr fontId="2" type="noConversion"/>
  </si>
  <si>
    <t>我要防御</t>
    <phoneticPr fontId="2" type="noConversion"/>
  </si>
  <si>
    <t>堆血</t>
    <phoneticPr fontId="2" type="noConversion"/>
  </si>
  <si>
    <t>堆防</t>
    <phoneticPr fontId="2" type="noConversion"/>
  </si>
  <si>
    <t>暴击暴伤</t>
    <phoneticPr fontId="2" type="noConversion"/>
  </si>
  <si>
    <t>堆穿透</t>
    <phoneticPr fontId="2" type="noConversion"/>
  </si>
  <si>
    <t>纯堆爆</t>
    <phoneticPr fontId="2" type="noConversion"/>
  </si>
  <si>
    <t>单体攻击</t>
    <phoneticPr fontId="2" type="noConversion"/>
  </si>
  <si>
    <t>堆命中</t>
    <phoneticPr fontId="2" type="noConversion"/>
  </si>
  <si>
    <t>堆攻</t>
    <phoneticPr fontId="2" type="noConversion"/>
  </si>
  <si>
    <t>堆命中</t>
    <phoneticPr fontId="2" type="noConversion"/>
  </si>
  <si>
    <t>狂战型</t>
    <phoneticPr fontId="2" type="noConversion"/>
  </si>
  <si>
    <t>攻血抗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</si>
  <si>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</si>
  <si>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</si>
  <si>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</si>
  <si>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天生暴</t>
    <phoneticPr fontId="2" type="noConversion"/>
  </si>
  <si>
    <t>天生格</t>
    <phoneticPr fontId="2" type="noConversion"/>
  </si>
  <si>
    <t>战力系数</t>
    <phoneticPr fontId="2" type="noConversion"/>
  </si>
  <si>
    <t>防御投放</t>
    <phoneticPr fontId="2" type="noConversion"/>
  </si>
  <si>
    <t>堆格挡</t>
    <phoneticPr fontId="2" type="noConversion"/>
  </si>
  <si>
    <t>天生穿透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</si>
  <si>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</si>
  <si>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</si>
  <si>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</si>
  <si>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</si>
  <si>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</si>
  <si>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</si>
  <si>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</si>
  <si>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</si>
  <si>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</si>
  <si>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</si>
  <si>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</si>
  <si>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</si>
  <si>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</si>
  <si>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</si>
  <si>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</si>
  <si>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</si>
  <si>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</si>
  <si>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</si>
  <si>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</si>
  <si>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</si>
  <si>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</si>
  <si>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</si>
  <si>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</si>
  <si>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</si>
  <si>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</si>
  <si>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</si>
  <si>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</si>
  <si>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</si>
  <si>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</si>
  <si>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</si>
  <si>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</si>
  <si>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</si>
  <si>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</si>
  <si>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</si>
  <si>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</si>
  <si>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</si>
  <si>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</si>
  <si>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</si>
  <si>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</si>
  <si>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</si>
  <si>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</si>
  <si>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</si>
  <si>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</si>
  <si>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</si>
  <si>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</si>
  <si>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</si>
  <si>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</si>
  <si>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</si>
  <si>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</si>
  <si>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</si>
  <si>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</si>
  <si>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</si>
  <si>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</si>
  <si>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</si>
  <si>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</si>
  <si>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</si>
  <si>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</si>
  <si>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</si>
  <si>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</si>
  <si>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</si>
  <si>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</si>
  <si>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</si>
  <si>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</si>
  <si>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</si>
  <si>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</si>
  <si>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</si>
  <si>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</si>
  <si>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</si>
  <si>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</si>
  <si>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投放</t>
    <phoneticPr fontId="2" type="noConversion"/>
  </si>
  <si>
    <t>战力</t>
    <phoneticPr fontId="2" type="noConversion"/>
  </si>
  <si>
    <t>总战力</t>
    <phoneticPr fontId="2" type="noConversion"/>
  </si>
  <si>
    <t>血量投放</t>
    <phoneticPr fontId="2" type="noConversion"/>
  </si>
  <si>
    <t>辅助型</t>
    <phoneticPr fontId="2" type="noConversion"/>
  </si>
  <si>
    <t>攻击治疗</t>
    <phoneticPr fontId="2" type="noConversion"/>
  </si>
  <si>
    <t>生命护盾</t>
    <phoneticPr fontId="2" type="noConversion"/>
  </si>
  <si>
    <t>群体攻击</t>
    <phoneticPr fontId="2" type="noConversion"/>
  </si>
  <si>
    <t>控制型</t>
    <phoneticPr fontId="2" type="noConversion"/>
  </si>
  <si>
    <t>生存系数</t>
    <phoneticPr fontId="2" type="noConversion"/>
  </si>
  <si>
    <t>额外</t>
    <phoneticPr fontId="2" type="noConversion"/>
  </si>
  <si>
    <t>额外</t>
    <phoneticPr fontId="2" type="noConversion"/>
  </si>
  <si>
    <t>血量</t>
    <phoneticPr fontId="2" type="noConversion"/>
  </si>
  <si>
    <t>防御</t>
    <phoneticPr fontId="2" type="noConversion"/>
  </si>
  <si>
    <t>卡牌属性</t>
    <phoneticPr fontId="2" type="noConversion"/>
  </si>
  <si>
    <t>羁绊之力</t>
    <phoneticPr fontId="2" type="noConversion"/>
  </si>
  <si>
    <t>攻击力系数</t>
    <phoneticPr fontId="2" type="noConversion"/>
  </si>
  <si>
    <t>有效生命</t>
    <phoneticPr fontId="2" type="noConversion"/>
  </si>
  <si>
    <t>战力</t>
    <phoneticPr fontId="2" type="noConversion"/>
  </si>
  <si>
    <t>生存力</t>
    <phoneticPr fontId="2" type="noConversion"/>
  </si>
  <si>
    <t>总投放</t>
    <phoneticPr fontId="2" type="noConversion"/>
  </si>
  <si>
    <t>标准生存</t>
    <phoneticPr fontId="2" type="noConversion"/>
  </si>
  <si>
    <t>标准攻击</t>
    <phoneticPr fontId="2" type="noConversion"/>
  </si>
  <si>
    <t>攻击</t>
    <phoneticPr fontId="2" type="noConversion"/>
  </si>
  <si>
    <t>天生暴伤</t>
    <phoneticPr fontId="2" type="noConversion"/>
  </si>
  <si>
    <t>战力修正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</si>
</sst>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_);[Red]\(0\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8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1" fillId="7" borderId="4" xfId="7">
      <alignment horizontal="center" vertical="center" wrapText="1"/>
    </xf>
    <xf numFmtId="9" fontId="7" fillId="0" borderId="4" xfId="4" applyNumberFormat="1">
      <alignment vertical="top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76" fontId="1" fillId="7" borderId="4" xfId="7" applyNumberFormat="1">
      <alignment horizontal="center" vertical="center" wrapText="1"/>
    </xf>
    <xf numFmtId="10" fontId="1" fillId="7" borderId="4" xfId="7" applyNumberForma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3" fillId="0" borderId="0" xfId="12">
      <alignment horizontal="center" vertical="center"/>
    </xf>
    <xf numFmtId="0" fontId="3" fillId="0" borderId="0" xfId="12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7" fillId="0" borderId="4" xfId="4" applyAlignment="1">
      <alignment horizontal="left" vertical="center" wrapText="1"/>
    </xf>
    <xf numFmtId="0" fontId="8" fillId="0" borderId="3" xfId="3" applyAlignment="1">
      <alignment horizontal="center" vertical="center"/>
    </xf>
    <xf numFmtId="177" fontId="1" fillId="7" borderId="4" xfId="7" applyNumberFormat="1">
      <alignment horizontal="center" vertical="center" wrapText="1"/>
    </xf>
    <xf numFmtId="0" fontId="5" fillId="8" borderId="4" xfId="8" applyFont="1">
      <alignment horizontal="center" vertical="center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7" fillId="0" borderId="23" xfId="4" applyBorder="1" applyAlignment="1">
      <alignment horizontal="left" vertical="center" wrapText="1"/>
    </xf>
    <xf numFmtId="0" fontId="7" fillId="0" borderId="24" xfId="4" applyBorder="1" applyAlignment="1">
      <alignment horizontal="left" vertical="center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22" xfId="4" applyBorder="1" applyAlignment="1">
      <alignment horizontal="left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26</v>
      </c>
      <c r="C2" s="41"/>
      <c r="D2" s="41"/>
      <c r="E2" s="42"/>
    </row>
    <row r="3" spans="2:5" ht="35.1" customHeight="1" x14ac:dyDescent="0.2">
      <c r="B3" s="2" t="s">
        <v>0</v>
      </c>
      <c r="C3" s="3" t="s">
        <v>11</v>
      </c>
      <c r="D3" s="43" t="s">
        <v>1</v>
      </c>
      <c r="E3" s="45" t="s">
        <v>27</v>
      </c>
    </row>
    <row r="4" spans="2:5" ht="35.1" customHeight="1" x14ac:dyDescent="0.2">
      <c r="B4" s="2" t="s">
        <v>2</v>
      </c>
      <c r="C4" s="3" t="s">
        <v>12</v>
      </c>
      <c r="D4" s="44"/>
      <c r="E4" s="46"/>
    </row>
    <row r="5" spans="2:5" ht="35.1" customHeight="1" x14ac:dyDescent="0.2">
      <c r="B5" s="4" t="s">
        <v>3</v>
      </c>
      <c r="C5" s="47" t="s">
        <v>28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43494</v>
      </c>
      <c r="C8" s="8" t="s">
        <v>10</v>
      </c>
      <c r="D8" s="33" t="s">
        <v>8</v>
      </c>
      <c r="E8" s="34"/>
    </row>
    <row r="9" spans="2:5" x14ac:dyDescent="0.2">
      <c r="B9" s="7">
        <v>43495</v>
      </c>
      <c r="C9" s="8" t="s">
        <v>10</v>
      </c>
      <c r="D9" s="33" t="s">
        <v>29</v>
      </c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9" sqref="E2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5" t="s">
        <v>149</v>
      </c>
      <c r="B1" s="25" t="s">
        <v>150</v>
      </c>
      <c r="C1" s="25" t="s">
        <v>151</v>
      </c>
      <c r="D1" s="25" t="s">
        <v>152</v>
      </c>
      <c r="E1" s="25" t="s">
        <v>153</v>
      </c>
      <c r="F1" s="25" t="s">
        <v>154</v>
      </c>
      <c r="G1" s="25" t="s">
        <v>155</v>
      </c>
      <c r="H1" s="26" t="s">
        <v>156</v>
      </c>
    </row>
    <row r="2" spans="1:8" x14ac:dyDescent="0.2">
      <c r="A2" t="s">
        <v>157</v>
      </c>
      <c r="B2" t="s">
        <v>158</v>
      </c>
      <c r="C2" t="s">
        <v>158</v>
      </c>
      <c r="D2" t="s">
        <v>159</v>
      </c>
      <c r="E2" t="s">
        <v>160</v>
      </c>
      <c r="F2" t="s">
        <v>161</v>
      </c>
      <c r="G2" t="s">
        <v>157</v>
      </c>
      <c r="H2" t="s">
        <v>160</v>
      </c>
    </row>
    <row r="3" spans="1:8" x14ac:dyDescent="0.2">
      <c r="A3" s="27" t="s">
        <v>162</v>
      </c>
      <c r="B3" s="27" t="s">
        <v>163</v>
      </c>
      <c r="C3" s="27" t="s">
        <v>164</v>
      </c>
      <c r="D3" s="27" t="s">
        <v>165</v>
      </c>
      <c r="E3" s="27" t="s">
        <v>166</v>
      </c>
      <c r="F3" s="27" t="s">
        <v>167</v>
      </c>
      <c r="G3" s="27" t="s">
        <v>168</v>
      </c>
      <c r="H3" s="27" t="s">
        <v>169</v>
      </c>
    </row>
    <row r="4" spans="1:8" ht="16.5" x14ac:dyDescent="0.2">
      <c r="A4" s="16">
        <v>1</v>
      </c>
      <c r="B4" s="16" t="s">
        <v>170</v>
      </c>
      <c r="C4" s="28" t="s">
        <v>171</v>
      </c>
      <c r="D4" s="28" t="b">
        <v>0</v>
      </c>
      <c r="E4" s="28" t="str">
        <f>C4&amp;" +%d"</f>
        <v>基础攻击 +%d</v>
      </c>
      <c r="F4" s="28">
        <v>1</v>
      </c>
      <c r="G4" s="28">
        <v>10</v>
      </c>
      <c r="H4" s="28" t="s">
        <v>172</v>
      </c>
    </row>
    <row r="5" spans="1:8" ht="16.5" x14ac:dyDescent="0.2">
      <c r="A5" s="16">
        <v>2</v>
      </c>
      <c r="B5" s="16" t="s">
        <v>173</v>
      </c>
      <c r="C5" s="28" t="s">
        <v>174</v>
      </c>
      <c r="D5" s="28" t="b">
        <v>0</v>
      </c>
      <c r="E5" s="28" t="str">
        <f t="shared" ref="E5:E19" si="0">C5&amp;" +%d"</f>
        <v>基础防御 +%d</v>
      </c>
      <c r="F5" s="28">
        <v>1</v>
      </c>
      <c r="G5" s="28">
        <v>20</v>
      </c>
      <c r="H5" s="28" t="s">
        <v>175</v>
      </c>
    </row>
    <row r="6" spans="1:8" ht="16.5" x14ac:dyDescent="0.2">
      <c r="A6" s="16">
        <v>3</v>
      </c>
      <c r="B6" s="28" t="s">
        <v>176</v>
      </c>
      <c r="C6" s="28" t="s">
        <v>177</v>
      </c>
      <c r="D6" s="28" t="b">
        <v>0</v>
      </c>
      <c r="E6" s="28" t="str">
        <f t="shared" si="0"/>
        <v>基础生命 +%d</v>
      </c>
      <c r="F6" s="28">
        <v>1</v>
      </c>
      <c r="G6" s="28">
        <v>1</v>
      </c>
      <c r="H6" s="28" t="s">
        <v>178</v>
      </c>
    </row>
    <row r="7" spans="1:8" ht="16.5" x14ac:dyDescent="0.2">
      <c r="A7" s="16">
        <v>4</v>
      </c>
      <c r="B7" s="16" t="s">
        <v>179</v>
      </c>
      <c r="C7" s="16" t="s">
        <v>180</v>
      </c>
      <c r="D7" s="28" t="b">
        <v>0</v>
      </c>
      <c r="E7" s="28" t="str">
        <f>C7&amp;" +%f%%"</f>
        <v>暴击率 +%f%%</v>
      </c>
      <c r="F7" s="28">
        <v>100</v>
      </c>
      <c r="G7" s="28">
        <v>100000</v>
      </c>
      <c r="H7" s="28" t="s">
        <v>181</v>
      </c>
    </row>
    <row r="8" spans="1:8" ht="16.5" x14ac:dyDescent="0.2">
      <c r="A8" s="16">
        <v>5</v>
      </c>
      <c r="B8" s="28" t="s">
        <v>182</v>
      </c>
      <c r="C8" s="16" t="s">
        <v>183</v>
      </c>
      <c r="D8" s="28" t="b">
        <v>0</v>
      </c>
      <c r="E8" s="28" t="str">
        <f t="shared" ref="E8:E18" si="1">C8&amp;" +%f%%"</f>
        <v>暴击伤害 +%f%%</v>
      </c>
      <c r="F8" s="28">
        <v>100</v>
      </c>
      <c r="G8" s="28">
        <v>50000</v>
      </c>
      <c r="H8" s="28" t="s">
        <v>184</v>
      </c>
    </row>
    <row r="9" spans="1:8" ht="16.5" x14ac:dyDescent="0.2">
      <c r="A9" s="16">
        <v>6</v>
      </c>
      <c r="B9" s="16" t="s">
        <v>185</v>
      </c>
      <c r="C9" s="16" t="s">
        <v>186</v>
      </c>
      <c r="D9" s="28" t="b">
        <v>0</v>
      </c>
      <c r="E9" s="28" t="str">
        <f t="shared" si="1"/>
        <v>效果命中 +%f%%</v>
      </c>
      <c r="F9" s="28">
        <v>100</v>
      </c>
      <c r="G9" s="28">
        <v>75000</v>
      </c>
      <c r="H9" s="28" t="s">
        <v>187</v>
      </c>
    </row>
    <row r="10" spans="1:8" ht="15.75" customHeight="1" x14ac:dyDescent="0.2">
      <c r="A10" s="16">
        <v>7</v>
      </c>
      <c r="B10" s="28" t="s">
        <v>188</v>
      </c>
      <c r="C10" s="16" t="s">
        <v>189</v>
      </c>
      <c r="D10" s="28" t="b">
        <v>0</v>
      </c>
      <c r="E10" s="28" t="str">
        <f t="shared" si="1"/>
        <v>效果抵抗 +%f%%</v>
      </c>
      <c r="F10" s="28">
        <v>100</v>
      </c>
      <c r="G10" s="28">
        <v>75000</v>
      </c>
      <c r="H10" s="28" t="s">
        <v>190</v>
      </c>
    </row>
    <row r="11" spans="1:8" ht="18" customHeight="1" x14ac:dyDescent="0.2">
      <c r="A11" s="16">
        <v>8</v>
      </c>
      <c r="B11" s="16" t="s">
        <v>191</v>
      </c>
      <c r="C11" s="16" t="s">
        <v>192</v>
      </c>
      <c r="D11" s="28" t="b">
        <v>1</v>
      </c>
      <c r="E11" s="28" t="str">
        <f t="shared" si="1"/>
        <v>攻击百分比加成 +%f%%</v>
      </c>
      <c r="F11" s="28">
        <v>100</v>
      </c>
      <c r="G11" s="28">
        <v>0</v>
      </c>
      <c r="H11" s="28" t="s">
        <v>193</v>
      </c>
    </row>
    <row r="12" spans="1:8" ht="18" customHeight="1" x14ac:dyDescent="0.2">
      <c r="A12" s="16">
        <v>9</v>
      </c>
      <c r="B12" s="16" t="s">
        <v>194</v>
      </c>
      <c r="C12" s="16" t="s">
        <v>195</v>
      </c>
      <c r="D12" s="28" t="b">
        <v>1</v>
      </c>
      <c r="E12" s="28" t="str">
        <f t="shared" si="1"/>
        <v>防御百分比加成 +%f%%</v>
      </c>
      <c r="F12" s="28">
        <v>100</v>
      </c>
      <c r="G12" s="28">
        <v>0</v>
      </c>
      <c r="H12" s="28" t="s">
        <v>196</v>
      </c>
    </row>
    <row r="13" spans="1:8" ht="18" customHeight="1" x14ac:dyDescent="0.2">
      <c r="A13" s="16">
        <v>10</v>
      </c>
      <c r="B13" s="16" t="s">
        <v>197</v>
      </c>
      <c r="C13" s="16" t="s">
        <v>198</v>
      </c>
      <c r="D13" s="28" t="b">
        <v>1</v>
      </c>
      <c r="E13" s="28" t="str">
        <f t="shared" si="1"/>
        <v>生命百分比加成 +%f%%</v>
      </c>
      <c r="F13" s="28">
        <v>100</v>
      </c>
      <c r="G13" s="28">
        <v>0</v>
      </c>
      <c r="H13" s="28" t="s">
        <v>199</v>
      </c>
    </row>
    <row r="14" spans="1:8" ht="16.5" x14ac:dyDescent="0.2">
      <c r="A14" s="16">
        <v>11</v>
      </c>
      <c r="B14" s="28" t="s">
        <v>200</v>
      </c>
      <c r="C14" s="28" t="s">
        <v>201</v>
      </c>
      <c r="D14" s="28" t="b">
        <v>1</v>
      </c>
      <c r="E14" s="28" t="str">
        <f t="shared" si="1"/>
        <v>攻击 +%f%%</v>
      </c>
      <c r="F14" s="28">
        <v>100</v>
      </c>
      <c r="G14" s="28">
        <v>0</v>
      </c>
      <c r="H14" s="28" t="s">
        <v>202</v>
      </c>
    </row>
    <row r="15" spans="1:8" ht="16.5" x14ac:dyDescent="0.2">
      <c r="A15" s="16">
        <v>12</v>
      </c>
      <c r="B15" s="28" t="s">
        <v>203</v>
      </c>
      <c r="C15" s="28" t="s">
        <v>204</v>
      </c>
      <c r="D15" s="28" t="b">
        <v>1</v>
      </c>
      <c r="E15" s="28" t="str">
        <f t="shared" si="1"/>
        <v>防御 +%f%%</v>
      </c>
      <c r="F15" s="28">
        <v>100</v>
      </c>
      <c r="G15" s="28">
        <v>0</v>
      </c>
      <c r="H15" s="28" t="s">
        <v>205</v>
      </c>
    </row>
    <row r="16" spans="1:8" ht="16.5" x14ac:dyDescent="0.2">
      <c r="A16" s="16">
        <v>13</v>
      </c>
      <c r="B16" s="28" t="s">
        <v>206</v>
      </c>
      <c r="C16" s="28" t="s">
        <v>207</v>
      </c>
      <c r="D16" s="28" t="b">
        <v>1</v>
      </c>
      <c r="E16" s="28" t="str">
        <f t="shared" si="1"/>
        <v>生命 +%f%%</v>
      </c>
      <c r="F16" s="28">
        <v>100</v>
      </c>
      <c r="G16" s="28">
        <v>0</v>
      </c>
      <c r="H16" s="28" t="s">
        <v>208</v>
      </c>
    </row>
    <row r="17" spans="1:8" ht="16.5" x14ac:dyDescent="0.2">
      <c r="A17" s="16">
        <v>14</v>
      </c>
      <c r="B17" s="28" t="s">
        <v>209</v>
      </c>
      <c r="C17" s="28" t="s">
        <v>210</v>
      </c>
      <c r="D17" s="28" t="b">
        <v>0</v>
      </c>
      <c r="E17" s="28" t="str">
        <f t="shared" si="1"/>
        <v>格挡 +%f%%</v>
      </c>
      <c r="F17" s="28">
        <v>100</v>
      </c>
      <c r="G17" s="28">
        <v>0</v>
      </c>
      <c r="H17" s="28" t="s">
        <v>211</v>
      </c>
    </row>
    <row r="18" spans="1:8" ht="16.5" x14ac:dyDescent="0.2">
      <c r="A18" s="16">
        <v>15</v>
      </c>
      <c r="B18" s="28" t="s">
        <v>212</v>
      </c>
      <c r="C18" s="28" t="s">
        <v>213</v>
      </c>
      <c r="D18" s="28" t="b">
        <v>0</v>
      </c>
      <c r="E18" s="28" t="str">
        <f t="shared" si="1"/>
        <v>穿透 +%f%%</v>
      </c>
      <c r="F18" s="28">
        <v>100</v>
      </c>
      <c r="G18" s="28">
        <v>100000</v>
      </c>
      <c r="H18" s="28" t="s">
        <v>214</v>
      </c>
    </row>
    <row r="19" spans="1:8" ht="16.5" x14ac:dyDescent="0.2">
      <c r="A19" s="16">
        <v>16</v>
      </c>
      <c r="B19" s="16" t="s">
        <v>215</v>
      </c>
      <c r="C19" s="28" t="s">
        <v>216</v>
      </c>
      <c r="D19" s="28" t="b">
        <v>1</v>
      </c>
      <c r="E19" s="28" t="str">
        <f t="shared" si="0"/>
        <v>防御基值 +%d</v>
      </c>
      <c r="F19" s="28">
        <v>1</v>
      </c>
      <c r="G19" s="28">
        <v>0</v>
      </c>
      <c r="H19" s="28" t="s">
        <v>217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opLeftCell="A2" workbookViewId="0">
      <selection activeCell="Q22" sqref="Q22"/>
    </sheetView>
  </sheetViews>
  <sheetFormatPr defaultRowHeight="14.25" x14ac:dyDescent="0.2"/>
  <cols>
    <col min="5" max="5" width="9.875" customWidth="1"/>
    <col min="9" max="9" width="9.625" customWidth="1"/>
    <col min="10" max="10" width="9.75" customWidth="1"/>
    <col min="11" max="11" width="9.625" customWidth="1"/>
    <col min="12" max="12" width="9.5" customWidth="1"/>
    <col min="13" max="13" width="9.625" customWidth="1"/>
  </cols>
  <sheetData>
    <row r="2" spans="1:14" ht="20.25" x14ac:dyDescent="0.2">
      <c r="A2" s="55" t="s">
        <v>38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ht="17.25" x14ac:dyDescent="0.2">
      <c r="A3" s="13" t="s">
        <v>30</v>
      </c>
      <c r="B3" s="13" t="s">
        <v>37</v>
      </c>
      <c r="C3" s="13" t="s">
        <v>31</v>
      </c>
      <c r="D3" s="13" t="s">
        <v>32</v>
      </c>
      <c r="E3" s="13" t="s">
        <v>33</v>
      </c>
      <c r="F3" s="13" t="s">
        <v>34</v>
      </c>
      <c r="G3" s="13" t="s">
        <v>35</v>
      </c>
      <c r="H3" s="13" t="s">
        <v>36</v>
      </c>
      <c r="I3" s="13" t="s">
        <v>34</v>
      </c>
      <c r="J3" s="13" t="s">
        <v>52</v>
      </c>
      <c r="K3" s="13" t="s">
        <v>36</v>
      </c>
      <c r="L3" s="13" t="s">
        <v>59</v>
      </c>
      <c r="M3" s="13" t="s">
        <v>60</v>
      </c>
      <c r="N3" s="13" t="s">
        <v>142</v>
      </c>
    </row>
    <row r="4" spans="1:14" ht="16.5" x14ac:dyDescent="0.2">
      <c r="A4" s="16">
        <v>0</v>
      </c>
      <c r="B4" s="16">
        <v>15</v>
      </c>
      <c r="C4" s="16">
        <f>D4*2</f>
        <v>10</v>
      </c>
      <c r="D4" s="16">
        <v>5</v>
      </c>
      <c r="E4" s="16">
        <f>D4*10</f>
        <v>50</v>
      </c>
      <c r="F4" s="16">
        <v>20</v>
      </c>
      <c r="G4" s="16">
        <v>0</v>
      </c>
      <c r="H4" s="16">
        <v>120</v>
      </c>
      <c r="I4" s="16">
        <f>F4</f>
        <v>20</v>
      </c>
      <c r="J4" s="16">
        <f>G4</f>
        <v>0</v>
      </c>
      <c r="K4" s="16">
        <f>H4</f>
        <v>120</v>
      </c>
      <c r="L4" s="16">
        <f t="shared" ref="L4:L12" si="0">C4/I4</f>
        <v>0.5</v>
      </c>
      <c r="M4" s="16">
        <f>(1+L4)*(1+L4)</f>
        <v>2.25</v>
      </c>
      <c r="N4" s="16">
        <v>100</v>
      </c>
    </row>
    <row r="5" spans="1:14" ht="16.5" x14ac:dyDescent="0.2">
      <c r="A5" s="16">
        <v>1</v>
      </c>
      <c r="B5" s="16">
        <v>30</v>
      </c>
      <c r="C5" s="16">
        <f t="shared" ref="C5:C12" si="1">D5*2</f>
        <v>14</v>
      </c>
      <c r="D5" s="16">
        <v>7</v>
      </c>
      <c r="E5" s="16">
        <f>D5*11</f>
        <v>77</v>
      </c>
      <c r="F5" s="18">
        <f>INT(C5*($B5-$B4)*0.1)</f>
        <v>21</v>
      </c>
      <c r="G5" s="18">
        <f>INT(D5*($B5-$B4)*0.1)</f>
        <v>10</v>
      </c>
      <c r="H5" s="18">
        <f>INT(E5*($B5-$B4)*0.1)</f>
        <v>115</v>
      </c>
      <c r="I5" s="18">
        <f>I4+C4*($B4-1)+F5</f>
        <v>181</v>
      </c>
      <c r="J5" s="18">
        <f>J4+D4*($B4-1)+G5</f>
        <v>80</v>
      </c>
      <c r="K5" s="18">
        <f>K4+E4*($B4-1)+H5</f>
        <v>935</v>
      </c>
      <c r="L5" s="16">
        <f t="shared" si="0"/>
        <v>7.7348066298342538E-2</v>
      </c>
      <c r="M5" s="16">
        <f t="shared" ref="M5:M12" si="2">(1+L5)*(1+L5)</f>
        <v>1.160678855956778</v>
      </c>
      <c r="N5" s="16">
        <f>ROUND((N$4+J5)*1.5/50,0)*50</f>
        <v>250</v>
      </c>
    </row>
    <row r="6" spans="1:14" ht="16.5" x14ac:dyDescent="0.2">
      <c r="A6" s="16">
        <v>2</v>
      </c>
      <c r="B6" s="16">
        <v>40</v>
      </c>
      <c r="C6" s="16">
        <f t="shared" si="1"/>
        <v>20</v>
      </c>
      <c r="D6" s="16">
        <v>10</v>
      </c>
      <c r="E6" s="16">
        <f>D6*12</f>
        <v>120</v>
      </c>
      <c r="F6" s="18">
        <f t="shared" ref="F6:F12" si="3">C6*($B6-$B5)*0.2</f>
        <v>40</v>
      </c>
      <c r="G6" s="18">
        <f t="shared" ref="G6:G12" si="4">D6*($B6-$B5)*0.2</f>
        <v>20</v>
      </c>
      <c r="H6" s="18">
        <f t="shared" ref="H6:H12" si="5">E6*($B6-$B5)*0.2</f>
        <v>240</v>
      </c>
      <c r="I6" s="18">
        <f>I5+C5*($B5-$B4)+F6</f>
        <v>431</v>
      </c>
      <c r="J6" s="18">
        <f>J5+D5*($B5-$B4)+G6</f>
        <v>205</v>
      </c>
      <c r="K6" s="18">
        <f>K5+E5*($B5-$B4)+H6</f>
        <v>2330</v>
      </c>
      <c r="L6" s="16">
        <f t="shared" si="0"/>
        <v>4.6403712296983757E-2</v>
      </c>
      <c r="M6" s="16">
        <f t="shared" si="2"/>
        <v>1.094960729108909</v>
      </c>
      <c r="N6" s="16">
        <f t="shared" ref="N6:N13" si="6">ROUND((N$4+J6)*1.5/50,0)*50</f>
        <v>450</v>
      </c>
    </row>
    <row r="7" spans="1:14" ht="16.5" x14ac:dyDescent="0.2">
      <c r="A7" s="16">
        <v>3</v>
      </c>
      <c r="B7" s="16">
        <v>50</v>
      </c>
      <c r="C7" s="16">
        <f t="shared" si="1"/>
        <v>24</v>
      </c>
      <c r="D7" s="16">
        <v>12</v>
      </c>
      <c r="E7" s="16">
        <f>D7*13</f>
        <v>156</v>
      </c>
      <c r="F7" s="18">
        <f t="shared" si="3"/>
        <v>48</v>
      </c>
      <c r="G7" s="18">
        <f t="shared" si="4"/>
        <v>24</v>
      </c>
      <c r="H7" s="18">
        <f t="shared" si="5"/>
        <v>312</v>
      </c>
      <c r="I7" s="18">
        <f t="shared" ref="I7:I12" si="7">I6+C6*($B6-$B5)+F7</f>
        <v>679</v>
      </c>
      <c r="J7" s="18">
        <f t="shared" ref="J7:J12" si="8">J6+D6*($B6-$B5)+G7</f>
        <v>329</v>
      </c>
      <c r="K7" s="18">
        <f t="shared" ref="K7:K12" si="9">K6+E6*($B6-$B5)+H7</f>
        <v>3842</v>
      </c>
      <c r="L7" s="16">
        <f t="shared" si="0"/>
        <v>3.5346097201767304E-2</v>
      </c>
      <c r="M7" s="16">
        <f t="shared" si="2"/>
        <v>1.0719415409909316</v>
      </c>
      <c r="N7" s="16">
        <f t="shared" si="6"/>
        <v>650</v>
      </c>
    </row>
    <row r="8" spans="1:14" ht="16.5" x14ac:dyDescent="0.2">
      <c r="A8" s="16">
        <v>4</v>
      </c>
      <c r="B8" s="16">
        <v>60</v>
      </c>
      <c r="C8" s="16">
        <f t="shared" si="1"/>
        <v>30</v>
      </c>
      <c r="D8" s="16">
        <v>15</v>
      </c>
      <c r="E8" s="16">
        <f>D8*15</f>
        <v>225</v>
      </c>
      <c r="F8" s="18">
        <f t="shared" si="3"/>
        <v>60</v>
      </c>
      <c r="G8" s="18">
        <f t="shared" si="4"/>
        <v>30</v>
      </c>
      <c r="H8" s="18">
        <f t="shared" si="5"/>
        <v>450</v>
      </c>
      <c r="I8" s="18">
        <f t="shared" si="7"/>
        <v>979</v>
      </c>
      <c r="J8" s="18">
        <f t="shared" si="8"/>
        <v>479</v>
      </c>
      <c r="K8" s="18">
        <f t="shared" si="9"/>
        <v>5852</v>
      </c>
      <c r="L8" s="16">
        <f t="shared" si="0"/>
        <v>3.0643513789581207E-2</v>
      </c>
      <c r="M8" s="16">
        <f t="shared" si="2"/>
        <v>1.0622260525165348</v>
      </c>
      <c r="N8" s="16">
        <f t="shared" si="6"/>
        <v>850</v>
      </c>
    </row>
    <row r="9" spans="1:14" ht="16.5" x14ac:dyDescent="0.2">
      <c r="A9" s="16">
        <v>5</v>
      </c>
      <c r="B9" s="16">
        <v>70</v>
      </c>
      <c r="C9" s="16">
        <f t="shared" si="1"/>
        <v>34</v>
      </c>
      <c r="D9" s="16">
        <v>17</v>
      </c>
      <c r="E9" s="16">
        <f>D9*15</f>
        <v>255</v>
      </c>
      <c r="F9" s="18">
        <f t="shared" si="3"/>
        <v>68</v>
      </c>
      <c r="G9" s="18">
        <f t="shared" si="4"/>
        <v>34</v>
      </c>
      <c r="H9" s="18">
        <f t="shared" si="5"/>
        <v>510</v>
      </c>
      <c r="I9" s="18">
        <f t="shared" si="7"/>
        <v>1347</v>
      </c>
      <c r="J9" s="18">
        <f t="shared" si="8"/>
        <v>663</v>
      </c>
      <c r="K9" s="18">
        <f t="shared" si="9"/>
        <v>8612</v>
      </c>
      <c r="L9" s="16">
        <f t="shared" si="0"/>
        <v>2.5241276911655532E-2</v>
      </c>
      <c r="M9" s="16">
        <f t="shared" si="2"/>
        <v>1.0511196758834418</v>
      </c>
      <c r="N9" s="16">
        <f t="shared" si="6"/>
        <v>1150</v>
      </c>
    </row>
    <row r="10" spans="1:14" ht="16.5" x14ac:dyDescent="0.2">
      <c r="A10" s="16">
        <v>6</v>
      </c>
      <c r="B10" s="16">
        <v>80</v>
      </c>
      <c r="C10" s="16">
        <f t="shared" si="1"/>
        <v>40</v>
      </c>
      <c r="D10" s="16">
        <v>20</v>
      </c>
      <c r="E10" s="16">
        <f>D10*15</f>
        <v>300</v>
      </c>
      <c r="F10" s="18">
        <f t="shared" si="3"/>
        <v>80</v>
      </c>
      <c r="G10" s="18">
        <f t="shared" si="4"/>
        <v>40</v>
      </c>
      <c r="H10" s="18">
        <f t="shared" si="5"/>
        <v>600</v>
      </c>
      <c r="I10" s="18">
        <f t="shared" si="7"/>
        <v>1767</v>
      </c>
      <c r="J10" s="18">
        <f t="shared" si="8"/>
        <v>873</v>
      </c>
      <c r="K10" s="18">
        <f t="shared" si="9"/>
        <v>11762</v>
      </c>
      <c r="L10" s="16">
        <f t="shared" si="0"/>
        <v>2.2637238256932653E-2</v>
      </c>
      <c r="M10" s="16">
        <f t="shared" si="2"/>
        <v>1.0457869210697663</v>
      </c>
      <c r="N10" s="16">
        <f t="shared" si="6"/>
        <v>1450</v>
      </c>
    </row>
    <row r="11" spans="1:14" ht="16.5" x14ac:dyDescent="0.2">
      <c r="A11" s="16">
        <v>7</v>
      </c>
      <c r="B11" s="16">
        <v>90</v>
      </c>
      <c r="C11" s="16">
        <f t="shared" si="1"/>
        <v>50</v>
      </c>
      <c r="D11" s="16">
        <v>25</v>
      </c>
      <c r="E11" s="16">
        <f>D11*15</f>
        <v>375</v>
      </c>
      <c r="F11" s="18">
        <f t="shared" si="3"/>
        <v>100</v>
      </c>
      <c r="G11" s="18">
        <f t="shared" si="4"/>
        <v>50</v>
      </c>
      <c r="H11" s="18">
        <f t="shared" si="5"/>
        <v>750</v>
      </c>
      <c r="I11" s="18">
        <f t="shared" si="7"/>
        <v>2267</v>
      </c>
      <c r="J11" s="18">
        <f t="shared" si="8"/>
        <v>1123</v>
      </c>
      <c r="K11" s="18">
        <f t="shared" si="9"/>
        <v>15512</v>
      </c>
      <c r="L11" s="16">
        <f t="shared" si="0"/>
        <v>2.2055580061755623E-2</v>
      </c>
      <c r="M11" s="16">
        <f t="shared" si="2"/>
        <v>1.0445976087353719</v>
      </c>
      <c r="N11" s="16">
        <f t="shared" si="6"/>
        <v>1850</v>
      </c>
    </row>
    <row r="12" spans="1:14" ht="16.5" x14ac:dyDescent="0.2">
      <c r="A12" s="16">
        <v>8</v>
      </c>
      <c r="B12" s="16">
        <v>100</v>
      </c>
      <c r="C12" s="16">
        <f t="shared" si="1"/>
        <v>60</v>
      </c>
      <c r="D12" s="16">
        <v>30</v>
      </c>
      <c r="E12" s="16">
        <f>D12*15</f>
        <v>450</v>
      </c>
      <c r="F12" s="18">
        <f t="shared" si="3"/>
        <v>120</v>
      </c>
      <c r="G12" s="18">
        <f t="shared" si="4"/>
        <v>60</v>
      </c>
      <c r="H12" s="18">
        <f t="shared" si="5"/>
        <v>900</v>
      </c>
      <c r="I12" s="18">
        <f t="shared" si="7"/>
        <v>2887</v>
      </c>
      <c r="J12" s="18">
        <f t="shared" si="8"/>
        <v>1433</v>
      </c>
      <c r="K12" s="18">
        <f t="shared" si="9"/>
        <v>20162</v>
      </c>
      <c r="L12" s="16">
        <f t="shared" si="0"/>
        <v>2.0782819535850365E-2</v>
      </c>
      <c r="M12" s="16">
        <f t="shared" si="2"/>
        <v>1.0419975646595605</v>
      </c>
      <c r="N12" s="16">
        <f t="shared" si="6"/>
        <v>2300</v>
      </c>
    </row>
    <row r="13" spans="1:14" ht="16.5" x14ac:dyDescent="0.2">
      <c r="A13" s="16" t="s">
        <v>39</v>
      </c>
      <c r="B13" s="16"/>
      <c r="C13" s="16"/>
      <c r="D13" s="16"/>
      <c r="E13" s="16"/>
      <c r="F13" s="16"/>
      <c r="G13" s="16"/>
      <c r="H13" s="16"/>
      <c r="I13" s="18">
        <f>I12+C12*($B12-$B11)+F13</f>
        <v>3487</v>
      </c>
      <c r="J13" s="18">
        <f>J12+D12*($B12-$B11)+G13</f>
        <v>1733</v>
      </c>
      <c r="K13" s="18">
        <f>K12+E12*($B12-$B11)+H13</f>
        <v>24662</v>
      </c>
      <c r="L13" s="16"/>
      <c r="M13" s="16"/>
      <c r="N13" s="16">
        <f t="shared" si="6"/>
        <v>2750</v>
      </c>
    </row>
    <row r="15" spans="1:14" ht="17.25" x14ac:dyDescent="0.2">
      <c r="A15" s="13" t="s">
        <v>44</v>
      </c>
      <c r="B15" s="13" t="s">
        <v>45</v>
      </c>
      <c r="C15" s="13" t="s">
        <v>49</v>
      </c>
      <c r="E15" s="13" t="s">
        <v>46</v>
      </c>
      <c r="F15" s="13" t="s">
        <v>47</v>
      </c>
      <c r="G15" s="13" t="s">
        <v>48</v>
      </c>
    </row>
    <row r="16" spans="1:14" ht="16.5" x14ac:dyDescent="0.2">
      <c r="A16" s="16" t="s">
        <v>40</v>
      </c>
      <c r="B16" s="16">
        <v>0.7</v>
      </c>
      <c r="C16" s="16"/>
      <c r="E16" s="16">
        <v>1</v>
      </c>
      <c r="F16" s="16">
        <v>1</v>
      </c>
      <c r="G16" s="16">
        <v>20</v>
      </c>
    </row>
    <row r="17" spans="1:13" ht="16.5" x14ac:dyDescent="0.2">
      <c r="A17" s="16" t="s">
        <v>41</v>
      </c>
      <c r="B17" s="16">
        <v>1</v>
      </c>
      <c r="C17" s="16">
        <f>SUM($G$16:$G$20)</f>
        <v>300</v>
      </c>
      <c r="E17" s="16">
        <v>2</v>
      </c>
      <c r="F17" s="16">
        <v>1.1000000000000001</v>
      </c>
      <c r="G17" s="16">
        <v>30</v>
      </c>
    </row>
    <row r="18" spans="1:13" ht="16.5" x14ac:dyDescent="0.2">
      <c r="A18" s="16" t="s">
        <v>42</v>
      </c>
      <c r="B18" s="16">
        <v>1.1000000000000001</v>
      </c>
      <c r="C18" s="16">
        <f>SUM($G$16:$G$20)</f>
        <v>300</v>
      </c>
      <c r="E18" s="16">
        <v>3</v>
      </c>
      <c r="F18" s="16">
        <v>1.2</v>
      </c>
      <c r="G18" s="16">
        <v>50</v>
      </c>
    </row>
    <row r="19" spans="1:13" ht="16.5" x14ac:dyDescent="0.2">
      <c r="A19" s="16" t="s">
        <v>43</v>
      </c>
      <c r="B19" s="16">
        <v>1.25</v>
      </c>
      <c r="C19" s="16">
        <f>SUM($G$16:$G$20)</f>
        <v>300</v>
      </c>
      <c r="E19" s="16">
        <v>4</v>
      </c>
      <c r="F19" s="16">
        <v>1.35</v>
      </c>
      <c r="G19" s="16">
        <v>80</v>
      </c>
    </row>
    <row r="20" spans="1:13" ht="16.5" x14ac:dyDescent="0.2">
      <c r="E20" s="16">
        <v>5</v>
      </c>
      <c r="F20" s="16">
        <v>1.5</v>
      </c>
      <c r="G20" s="16">
        <v>120</v>
      </c>
    </row>
    <row r="22" spans="1:13" ht="33" x14ac:dyDescent="0.2">
      <c r="A22" s="17" t="s">
        <v>50</v>
      </c>
      <c r="B22" s="15">
        <f>B19*F20</f>
        <v>1.875</v>
      </c>
    </row>
    <row r="24" spans="1:13" ht="17.25" x14ac:dyDescent="0.2">
      <c r="B24" s="13" t="s">
        <v>51</v>
      </c>
      <c r="C24" s="13" t="s">
        <v>53</v>
      </c>
      <c r="D24" s="13" t="s">
        <v>54</v>
      </c>
      <c r="E24" s="13" t="s">
        <v>235</v>
      </c>
    </row>
    <row r="25" spans="1:13" x14ac:dyDescent="0.2">
      <c r="A25" s="20" t="s">
        <v>218</v>
      </c>
      <c r="B25" s="18">
        <f>INT(I13*$B$22)</f>
        <v>6538</v>
      </c>
      <c r="C25" s="18">
        <f>INT(J13*$B$22)</f>
        <v>3249</v>
      </c>
      <c r="D25" s="18">
        <f>INT(K13*$B$22)</f>
        <v>46241</v>
      </c>
      <c r="E25" s="31">
        <f>D25*(1+C25/$N$13)</f>
        <v>100872.63963636364</v>
      </c>
    </row>
    <row r="26" spans="1:13" x14ac:dyDescent="0.2">
      <c r="A26" s="20" t="s">
        <v>219</v>
      </c>
      <c r="B26" s="18">
        <f>属性表!G4</f>
        <v>10</v>
      </c>
      <c r="C26" s="18">
        <f>属性表!G5</f>
        <v>20</v>
      </c>
      <c r="D26" s="18">
        <f>属性表!G6</f>
        <v>1</v>
      </c>
      <c r="E26" s="18"/>
    </row>
    <row r="27" spans="1:13" x14ac:dyDescent="0.2">
      <c r="A27" s="20" t="s">
        <v>220</v>
      </c>
      <c r="B27" s="18">
        <f>B26*B25</f>
        <v>65380</v>
      </c>
      <c r="C27" s="18">
        <f t="shared" ref="C27:D27" si="10">C26*C25</f>
        <v>64980</v>
      </c>
      <c r="D27" s="18">
        <f t="shared" si="10"/>
        <v>46241</v>
      </c>
      <c r="E27" s="18"/>
    </row>
    <row r="30" spans="1:13" ht="20.25" x14ac:dyDescent="0.2">
      <c r="A30" s="55" t="s">
        <v>123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ht="17.25" x14ac:dyDescent="0.2">
      <c r="B31" s="13" t="s">
        <v>55</v>
      </c>
      <c r="C31" s="13" t="s">
        <v>56</v>
      </c>
      <c r="D31" s="13" t="s">
        <v>57</v>
      </c>
      <c r="E31" s="13" t="s">
        <v>113</v>
      </c>
      <c r="F31" s="13" t="s">
        <v>114</v>
      </c>
      <c r="G31" s="13" t="s">
        <v>115</v>
      </c>
      <c r="H31" s="13" t="s">
        <v>116</v>
      </c>
      <c r="I31" s="13" t="s">
        <v>117</v>
      </c>
      <c r="J31" s="13" t="s">
        <v>118</v>
      </c>
      <c r="K31" s="13" t="s">
        <v>119</v>
      </c>
      <c r="L31" s="13" t="s">
        <v>120</v>
      </c>
      <c r="M31" s="13" t="s">
        <v>121</v>
      </c>
    </row>
    <row r="32" spans="1:13" ht="16.5" x14ac:dyDescent="0.2">
      <c r="A32" s="20" t="s">
        <v>122</v>
      </c>
      <c r="B32" s="18">
        <f>B25</f>
        <v>6538</v>
      </c>
      <c r="C32" s="18">
        <f>C25</f>
        <v>3249</v>
      </c>
      <c r="D32" s="18">
        <f>D25</f>
        <v>46241</v>
      </c>
      <c r="E32" s="19">
        <v>1</v>
      </c>
      <c r="F32" s="19">
        <v>1</v>
      </c>
      <c r="G32" s="19">
        <v>1</v>
      </c>
      <c r="H32" s="19">
        <v>1</v>
      </c>
      <c r="I32" s="19">
        <v>2</v>
      </c>
      <c r="J32" s="19">
        <v>1.5</v>
      </c>
      <c r="K32" s="19">
        <v>1.5</v>
      </c>
      <c r="L32" s="19">
        <v>1</v>
      </c>
      <c r="M32" s="19">
        <v>1</v>
      </c>
    </row>
    <row r="33" spans="1:13" ht="16.5" x14ac:dyDescent="0.2">
      <c r="A33" s="20" t="s">
        <v>58</v>
      </c>
      <c r="B33" s="19">
        <v>0.31</v>
      </c>
      <c r="C33" s="19">
        <v>0.31</v>
      </c>
      <c r="D33" s="19">
        <v>0.31</v>
      </c>
      <c r="E33" s="19">
        <v>0.35</v>
      </c>
      <c r="F33" s="19">
        <v>0.35</v>
      </c>
      <c r="G33" s="19">
        <v>0.35</v>
      </c>
      <c r="H33" s="19">
        <v>0.35</v>
      </c>
      <c r="I33" s="19">
        <v>0.35</v>
      </c>
      <c r="J33" s="19">
        <v>0.35</v>
      </c>
      <c r="K33" s="19">
        <v>0.35</v>
      </c>
      <c r="L33" s="19">
        <v>0.35</v>
      </c>
      <c r="M33" s="19">
        <v>0.35</v>
      </c>
    </row>
    <row r="34" spans="1:13" ht="16.5" x14ac:dyDescent="0.2">
      <c r="A34" s="20" t="s">
        <v>228</v>
      </c>
      <c r="B34" s="19">
        <v>0.5</v>
      </c>
      <c r="C34" s="19">
        <v>0.5</v>
      </c>
      <c r="D34" s="19">
        <v>0.5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">
      <c r="A35" s="20" t="s">
        <v>58</v>
      </c>
      <c r="B35" s="18">
        <f>INT(B33*B32)</f>
        <v>2026</v>
      </c>
      <c r="C35" s="18">
        <f>INT(C33*C32)</f>
        <v>1007</v>
      </c>
      <c r="D35" s="18">
        <f>INT(D33*D32)</f>
        <v>14334</v>
      </c>
      <c r="E35" s="22">
        <f>E33*E32</f>
        <v>0.35</v>
      </c>
      <c r="F35" s="22">
        <f t="shared" ref="F35:M35" si="11">F33*F32</f>
        <v>0.35</v>
      </c>
      <c r="G35" s="22">
        <f t="shared" si="11"/>
        <v>0.35</v>
      </c>
      <c r="H35" s="22">
        <f t="shared" si="11"/>
        <v>0.35</v>
      </c>
      <c r="I35" s="22">
        <f t="shared" si="11"/>
        <v>0.7</v>
      </c>
      <c r="J35" s="22">
        <f t="shared" si="11"/>
        <v>0.52499999999999991</v>
      </c>
      <c r="K35" s="22">
        <f t="shared" si="11"/>
        <v>0.52499999999999991</v>
      </c>
      <c r="L35" s="22">
        <f t="shared" si="11"/>
        <v>0.35</v>
      </c>
      <c r="M35" s="22">
        <f t="shared" si="11"/>
        <v>0.35</v>
      </c>
    </row>
    <row r="36" spans="1:13" x14ac:dyDescent="0.2">
      <c r="A36" s="20" t="s">
        <v>229</v>
      </c>
      <c r="B36" s="18">
        <f>B32*B34</f>
        <v>3269</v>
      </c>
      <c r="C36" s="18">
        <f t="shared" ref="C36:D36" si="12">C32*C34</f>
        <v>1624.5</v>
      </c>
      <c r="D36" s="18">
        <f t="shared" si="12"/>
        <v>23120.5</v>
      </c>
      <c r="E36" s="18"/>
      <c r="F36" s="18"/>
      <c r="G36" s="18"/>
      <c r="H36" s="18"/>
      <c r="I36" s="18"/>
      <c r="J36" s="18"/>
      <c r="K36" s="18"/>
      <c r="L36" s="18"/>
      <c r="M36" s="18"/>
    </row>
    <row r="39" spans="1:13" ht="22.5" customHeight="1" x14ac:dyDescent="0.2">
      <c r="A39" s="56" t="s">
        <v>125</v>
      </c>
      <c r="B39" s="56"/>
      <c r="C39" s="56"/>
      <c r="D39" s="56"/>
      <c r="E39" s="56"/>
      <c r="F39" s="56"/>
      <c r="G39" s="56"/>
      <c r="H39" s="56"/>
      <c r="I39" s="56"/>
      <c r="J39" s="21"/>
      <c r="K39" s="21"/>
      <c r="L39" s="21"/>
      <c r="M39" s="21"/>
    </row>
    <row r="40" spans="1:13" ht="17.25" x14ac:dyDescent="0.2">
      <c r="A40" s="13" t="s">
        <v>126</v>
      </c>
      <c r="B40" s="13" t="s">
        <v>127</v>
      </c>
      <c r="C40" s="13" t="s">
        <v>143</v>
      </c>
      <c r="D40" s="13" t="s">
        <v>144</v>
      </c>
      <c r="E40" s="24" t="s">
        <v>148</v>
      </c>
      <c r="F40" s="13" t="s">
        <v>145</v>
      </c>
      <c r="G40" s="13" t="s">
        <v>221</v>
      </c>
      <c r="H40" s="13" t="s">
        <v>146</v>
      </c>
      <c r="I40" s="24" t="s">
        <v>227</v>
      </c>
      <c r="J40" s="21"/>
      <c r="K40" s="21"/>
      <c r="L40" s="21"/>
      <c r="M40" s="21"/>
    </row>
    <row r="41" spans="1:13" ht="16.5" x14ac:dyDescent="0.2">
      <c r="A41" s="53" t="s">
        <v>128</v>
      </c>
      <c r="B41" s="16" t="s">
        <v>129</v>
      </c>
      <c r="C41" s="16"/>
      <c r="D41" s="16"/>
      <c r="E41" s="16"/>
      <c r="F41" s="16"/>
      <c r="G41" s="16">
        <v>2</v>
      </c>
      <c r="H41" s="16">
        <v>1.5</v>
      </c>
      <c r="I41" s="16"/>
    </row>
    <row r="42" spans="1:13" ht="16.5" x14ac:dyDescent="0.2">
      <c r="A42" s="57"/>
      <c r="B42" s="16" t="s">
        <v>130</v>
      </c>
      <c r="C42" s="16"/>
      <c r="D42" s="16"/>
      <c r="E42" s="16"/>
      <c r="F42" s="16"/>
      <c r="G42" s="16">
        <v>1.5</v>
      </c>
      <c r="H42" s="16">
        <v>2</v>
      </c>
      <c r="I42" s="16"/>
    </row>
    <row r="43" spans="1:13" ht="16.5" x14ac:dyDescent="0.2">
      <c r="A43" s="54"/>
      <c r="B43" s="16" t="s">
        <v>147</v>
      </c>
      <c r="C43" s="19"/>
      <c r="D43" s="16"/>
      <c r="E43" s="16"/>
      <c r="F43" s="16"/>
      <c r="G43" s="16">
        <v>1.5</v>
      </c>
      <c r="H43" s="16">
        <v>1.5</v>
      </c>
      <c r="I43" s="16"/>
    </row>
    <row r="44" spans="1:13" ht="16.5" x14ac:dyDescent="0.2">
      <c r="A44" s="53" t="s">
        <v>134</v>
      </c>
      <c r="B44" s="16" t="s">
        <v>131</v>
      </c>
      <c r="C44" s="16"/>
      <c r="D44" s="16"/>
      <c r="E44" s="16"/>
      <c r="F44" s="16"/>
      <c r="G44" s="16">
        <v>0.5</v>
      </c>
      <c r="H44" s="16">
        <v>0.35</v>
      </c>
      <c r="I44" s="16"/>
    </row>
    <row r="45" spans="1:13" ht="16.5" x14ac:dyDescent="0.2">
      <c r="A45" s="57"/>
      <c r="B45" s="16" t="s">
        <v>132</v>
      </c>
      <c r="C45" s="16"/>
      <c r="D45" s="16"/>
      <c r="E45" s="16"/>
      <c r="F45" s="16"/>
      <c r="G45" s="16">
        <v>0.8</v>
      </c>
      <c r="H45" s="16">
        <v>0.5</v>
      </c>
      <c r="I45" s="16"/>
    </row>
    <row r="46" spans="1:13" ht="16.5" x14ac:dyDescent="0.2">
      <c r="A46" s="54"/>
      <c r="B46" s="16" t="s">
        <v>133</v>
      </c>
      <c r="C46" s="19"/>
      <c r="D46" s="16"/>
      <c r="E46" s="16"/>
      <c r="F46" s="16"/>
      <c r="G46" s="16">
        <v>0.5</v>
      </c>
      <c r="H46" s="16">
        <v>0.35</v>
      </c>
      <c r="I46" s="16"/>
    </row>
    <row r="47" spans="1:13" ht="16.5" x14ac:dyDescent="0.2">
      <c r="A47" s="53" t="s">
        <v>225</v>
      </c>
      <c r="B47" s="16" t="s">
        <v>135</v>
      </c>
      <c r="C47" s="16"/>
      <c r="D47" s="16"/>
      <c r="E47" s="16"/>
      <c r="F47" s="16"/>
      <c r="G47" s="16">
        <v>1</v>
      </c>
      <c r="H47" s="16">
        <v>0.5</v>
      </c>
      <c r="I47" s="16"/>
    </row>
    <row r="48" spans="1:13" ht="16.5" x14ac:dyDescent="0.2">
      <c r="A48" s="54"/>
      <c r="B48" s="16" t="s">
        <v>136</v>
      </c>
      <c r="C48" s="16"/>
      <c r="D48" s="16"/>
      <c r="E48" s="16"/>
      <c r="F48" s="16"/>
      <c r="G48" s="16">
        <v>0.5</v>
      </c>
      <c r="H48" s="16">
        <v>0.25</v>
      </c>
      <c r="I48" s="16"/>
    </row>
    <row r="49" spans="1:9" ht="16.5" x14ac:dyDescent="0.2">
      <c r="A49" s="29" t="s">
        <v>226</v>
      </c>
      <c r="B49" s="16" t="s">
        <v>137</v>
      </c>
      <c r="C49" s="16"/>
      <c r="D49" s="16"/>
      <c r="E49" s="16"/>
      <c r="F49" s="16"/>
      <c r="G49" s="16">
        <v>1.5</v>
      </c>
      <c r="H49" s="16">
        <v>0.5</v>
      </c>
      <c r="I49" s="16"/>
    </row>
    <row r="50" spans="1:9" ht="16.5" x14ac:dyDescent="0.2">
      <c r="A50" s="29" t="s">
        <v>138</v>
      </c>
      <c r="B50" s="16" t="s">
        <v>139</v>
      </c>
      <c r="C50" s="16"/>
      <c r="D50" s="16"/>
      <c r="E50" s="16"/>
      <c r="F50" s="16"/>
      <c r="G50" s="16">
        <v>1</v>
      </c>
      <c r="H50" s="16">
        <v>1</v>
      </c>
      <c r="I50" s="16"/>
    </row>
    <row r="51" spans="1:9" ht="16.5" x14ac:dyDescent="0.2">
      <c r="A51" s="53" t="s">
        <v>222</v>
      </c>
      <c r="B51" s="16" t="s">
        <v>223</v>
      </c>
      <c r="C51" s="16"/>
      <c r="D51" s="16"/>
      <c r="E51" s="16"/>
      <c r="F51" s="16"/>
      <c r="G51" s="16">
        <v>0.8</v>
      </c>
      <c r="H51" s="16">
        <v>0.5</v>
      </c>
      <c r="I51" s="16"/>
    </row>
    <row r="52" spans="1:9" ht="16.5" customHeight="1" x14ac:dyDescent="0.2">
      <c r="A52" s="54"/>
      <c r="B52" s="16" t="s">
        <v>224</v>
      </c>
      <c r="C52" s="16"/>
      <c r="D52" s="16"/>
      <c r="E52" s="16"/>
      <c r="F52" s="16"/>
      <c r="G52" s="16">
        <v>1.5</v>
      </c>
      <c r="H52" s="16">
        <v>0.35</v>
      </c>
      <c r="I52" s="16"/>
    </row>
  </sheetData>
  <mergeCells count="7">
    <mergeCell ref="A47:A48"/>
    <mergeCell ref="A51:A52"/>
    <mergeCell ref="A2:N2"/>
    <mergeCell ref="A39:I39"/>
    <mergeCell ref="A30:M30"/>
    <mergeCell ref="A41:A43"/>
    <mergeCell ref="A44:A4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"/>
  <sheetViews>
    <sheetView tabSelected="1" workbookViewId="0">
      <selection activeCell="I21" sqref="I21"/>
    </sheetView>
  </sheetViews>
  <sheetFormatPr defaultRowHeight="14.25" x14ac:dyDescent="0.2"/>
  <cols>
    <col min="3" max="3" width="9" style="27"/>
    <col min="7" max="7" width="9" style="27"/>
    <col min="8" max="8" width="9" style="27" customWidth="1"/>
    <col min="9" max="9" width="9.625" customWidth="1"/>
    <col min="12" max="12" width="12.375" bestFit="1" customWidth="1"/>
    <col min="15" max="15" width="9" style="27"/>
    <col min="19" max="19" width="9.625" customWidth="1"/>
    <col min="21" max="21" width="12.125" bestFit="1" customWidth="1"/>
    <col min="22" max="22" width="9.625" customWidth="1"/>
  </cols>
  <sheetData>
    <row r="2" spans="1:25" ht="17.25" x14ac:dyDescent="0.2">
      <c r="R2" s="32" t="s">
        <v>240</v>
      </c>
      <c r="S2" s="18">
        <f>属性投放!B32+属性投放!B36</f>
        <v>9807</v>
      </c>
      <c r="T2" s="32" t="s">
        <v>239</v>
      </c>
      <c r="U2" s="18">
        <f>((属性投放!$C$32+属性投放!$C$35)/属性投放!$N$13+1)*(属性投放!$D$32+属性投放!$D$35)</f>
        <v>154323.07272727272</v>
      </c>
    </row>
    <row r="3" spans="1:25" ht="20.25" x14ac:dyDescent="0.2">
      <c r="A3" s="55" t="s">
        <v>125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1:25" s="27" customFormat="1" ht="23.2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56" t="s">
        <v>232</v>
      </c>
      <c r="M4" s="56"/>
      <c r="N4" s="56"/>
      <c r="O4" s="56"/>
      <c r="P4" s="55" t="s">
        <v>233</v>
      </c>
      <c r="Q4" s="55"/>
      <c r="R4" s="55"/>
      <c r="S4" s="55" t="s">
        <v>238</v>
      </c>
      <c r="T4" s="55"/>
      <c r="U4" s="55"/>
      <c r="V4" s="55"/>
    </row>
    <row r="5" spans="1:25" ht="17.25" x14ac:dyDescent="0.2">
      <c r="A5" s="13" t="s">
        <v>126</v>
      </c>
      <c r="B5" s="13" t="s">
        <v>127</v>
      </c>
      <c r="C5" s="13" t="s">
        <v>162</v>
      </c>
      <c r="D5" s="13" t="s">
        <v>143</v>
      </c>
      <c r="E5" s="13" t="s">
        <v>144</v>
      </c>
      <c r="F5" s="24" t="s">
        <v>148</v>
      </c>
      <c r="G5" s="24" t="s">
        <v>242</v>
      </c>
      <c r="H5" s="24" t="s">
        <v>243</v>
      </c>
      <c r="I5" s="13" t="s">
        <v>234</v>
      </c>
      <c r="J5" s="13" t="s">
        <v>221</v>
      </c>
      <c r="K5" s="13" t="s">
        <v>146</v>
      </c>
      <c r="L5" s="24" t="s">
        <v>110</v>
      </c>
      <c r="M5" s="24" t="s">
        <v>231</v>
      </c>
      <c r="N5" s="24" t="s">
        <v>230</v>
      </c>
      <c r="O5" s="24" t="s">
        <v>236</v>
      </c>
      <c r="P5" s="24" t="s">
        <v>110</v>
      </c>
      <c r="Q5" s="24" t="s">
        <v>231</v>
      </c>
      <c r="R5" s="24" t="s">
        <v>230</v>
      </c>
      <c r="S5" s="13" t="s">
        <v>231</v>
      </c>
      <c r="T5" s="13" t="s">
        <v>230</v>
      </c>
      <c r="U5" s="13" t="s">
        <v>237</v>
      </c>
      <c r="V5" s="13" t="s">
        <v>241</v>
      </c>
    </row>
    <row r="6" spans="1:25" ht="16.5" x14ac:dyDescent="0.2">
      <c r="A6" s="53" t="s">
        <v>128</v>
      </c>
      <c r="B6" s="16" t="s">
        <v>129</v>
      </c>
      <c r="C6" s="16">
        <v>1</v>
      </c>
      <c r="D6" s="16"/>
      <c r="E6" s="16"/>
      <c r="F6" s="16"/>
      <c r="G6" s="16"/>
      <c r="H6" s="19">
        <v>1</v>
      </c>
      <c r="I6" s="18">
        <f>L6/属性投放!$B$25</f>
        <v>0.66289385133068213</v>
      </c>
      <c r="J6" s="16">
        <v>1.5</v>
      </c>
      <c r="K6" s="16">
        <v>1.25</v>
      </c>
      <c r="L6" s="18">
        <f>V6-P6</f>
        <v>4334</v>
      </c>
      <c r="M6" s="18">
        <f>INT(属性投放!$C$32*K6)</f>
        <v>4061</v>
      </c>
      <c r="N6" s="18">
        <f>INT(属性投放!$D$32*J6)</f>
        <v>69361</v>
      </c>
      <c r="O6" s="18">
        <f>L6*10+M6*20+N6</f>
        <v>193921</v>
      </c>
      <c r="P6" s="18">
        <f>属性投放!B$35</f>
        <v>2026</v>
      </c>
      <c r="Q6" s="18">
        <f>属性投放!C$35</f>
        <v>1007</v>
      </c>
      <c r="R6" s="18">
        <f>属性投放!D$35</f>
        <v>14334</v>
      </c>
      <c r="S6" s="18">
        <f>(M6+Q6)</f>
        <v>5068</v>
      </c>
      <c r="T6" s="18">
        <f>(N6+R6)</f>
        <v>83695</v>
      </c>
      <c r="U6" s="18">
        <f>T6*(1+S6/属性投放!$N$13)</f>
        <v>237937.27636363634</v>
      </c>
      <c r="V6" s="18">
        <f>INT($S$2*$U$2/U6*H6)</f>
        <v>6360</v>
      </c>
      <c r="Y6" s="27"/>
    </row>
    <row r="7" spans="1:25" ht="16.5" x14ac:dyDescent="0.2">
      <c r="A7" s="57"/>
      <c r="B7" s="16" t="s">
        <v>130</v>
      </c>
      <c r="C7" s="16">
        <v>2</v>
      </c>
      <c r="D7" s="16"/>
      <c r="E7" s="16"/>
      <c r="F7" s="16"/>
      <c r="G7" s="16"/>
      <c r="H7" s="19">
        <v>1</v>
      </c>
      <c r="I7" s="18">
        <f>L7/属性投放!$B$25</f>
        <v>0.70816763536249616</v>
      </c>
      <c r="J7" s="16">
        <v>1.2</v>
      </c>
      <c r="K7" s="16">
        <v>1.6</v>
      </c>
      <c r="L7" s="18">
        <f t="shared" ref="L7:L17" si="0">V7-P7</f>
        <v>4630</v>
      </c>
      <c r="M7" s="18">
        <f>INT(属性投放!$C$32*K7)</f>
        <v>5198</v>
      </c>
      <c r="N7" s="18">
        <f>INT(属性投放!$D$32*J7)</f>
        <v>55489</v>
      </c>
      <c r="O7" s="18">
        <f t="shared" ref="O7:O17" si="1">L7*10+M7*20+N7</f>
        <v>205749</v>
      </c>
      <c r="P7" s="18">
        <f>属性投放!B$35</f>
        <v>2026</v>
      </c>
      <c r="Q7" s="18">
        <f>属性投放!C$35</f>
        <v>1007</v>
      </c>
      <c r="R7" s="18">
        <f>属性投放!D$35</f>
        <v>14334</v>
      </c>
      <c r="S7" s="18">
        <f t="shared" ref="S7:S17" si="2">(M7+Q7)</f>
        <v>6205</v>
      </c>
      <c r="T7" s="18">
        <f t="shared" ref="T7:T17" si="3">(N7+R7)</f>
        <v>69823</v>
      </c>
      <c r="U7" s="18">
        <f>T7*(1+S7/属性投放!$N$13)</f>
        <v>227369.07818181819</v>
      </c>
      <c r="V7" s="18">
        <f t="shared" ref="V7:V17" si="4">INT($S$2*$U$2/U7*H7)</f>
        <v>6656</v>
      </c>
      <c r="X7" s="27"/>
      <c r="Y7" s="27"/>
    </row>
    <row r="8" spans="1:25" ht="16.5" x14ac:dyDescent="0.2">
      <c r="A8" s="54"/>
      <c r="B8" s="16" t="s">
        <v>147</v>
      </c>
      <c r="C8" s="16">
        <v>3</v>
      </c>
      <c r="D8" s="19"/>
      <c r="E8" s="19">
        <v>0.2</v>
      </c>
      <c r="F8" s="16"/>
      <c r="G8" s="16"/>
      <c r="H8" s="19">
        <f>1-E8*0.5</f>
        <v>0.9</v>
      </c>
      <c r="I8" s="18">
        <f>L8/属性投放!$B$25</f>
        <v>0.70602630773936981</v>
      </c>
      <c r="J8" s="16">
        <v>1.25</v>
      </c>
      <c r="K8" s="16">
        <v>1.25</v>
      </c>
      <c r="L8" s="18">
        <f t="shared" si="0"/>
        <v>4616</v>
      </c>
      <c r="M8" s="18">
        <f>INT(属性投放!$C$32*K8)</f>
        <v>4061</v>
      </c>
      <c r="N8" s="18">
        <f>INT(属性投放!$D$32*J8)</f>
        <v>57801</v>
      </c>
      <c r="O8" s="18">
        <f t="shared" si="1"/>
        <v>185181</v>
      </c>
      <c r="P8" s="18">
        <f>属性投放!B$35</f>
        <v>2026</v>
      </c>
      <c r="Q8" s="18">
        <f>属性投放!C$35</f>
        <v>1007</v>
      </c>
      <c r="R8" s="18">
        <f>属性投放!D$35</f>
        <v>14334</v>
      </c>
      <c r="S8" s="18">
        <f t="shared" si="2"/>
        <v>5068</v>
      </c>
      <c r="T8" s="18">
        <f t="shared" si="3"/>
        <v>72135</v>
      </c>
      <c r="U8" s="18">
        <f>T8*(1+S8/属性投放!$N$13)</f>
        <v>205073.24727272725</v>
      </c>
      <c r="V8" s="18">
        <f t="shared" si="4"/>
        <v>6642</v>
      </c>
      <c r="X8" s="27"/>
      <c r="Y8" s="27"/>
    </row>
    <row r="9" spans="1:25" ht="16.5" x14ac:dyDescent="0.2">
      <c r="A9" s="53" t="s">
        <v>134</v>
      </c>
      <c r="B9" s="16" t="s">
        <v>131</v>
      </c>
      <c r="C9" s="16">
        <v>4</v>
      </c>
      <c r="D9" s="19">
        <v>0.1</v>
      </c>
      <c r="E9" s="16"/>
      <c r="F9" s="16"/>
      <c r="G9" s="16"/>
      <c r="H9" s="19">
        <f>1/(1+D9)</f>
        <v>0.90909090909090906</v>
      </c>
      <c r="I9" s="18">
        <f>L9/属性投放!$B$25</f>
        <v>1.8617314163352707</v>
      </c>
      <c r="J9" s="16">
        <v>0.7</v>
      </c>
      <c r="K9" s="16">
        <v>0.6</v>
      </c>
      <c r="L9" s="18">
        <f t="shared" si="0"/>
        <v>12172</v>
      </c>
      <c r="M9" s="18">
        <f>INT(属性投放!$C$32*K9)</f>
        <v>1949</v>
      </c>
      <c r="N9" s="18">
        <f>INT(属性投放!$D$32*J9)</f>
        <v>32368</v>
      </c>
      <c r="O9" s="18">
        <f t="shared" si="1"/>
        <v>193068</v>
      </c>
      <c r="P9" s="18">
        <f>属性投放!B$35</f>
        <v>2026</v>
      </c>
      <c r="Q9" s="18">
        <f>属性投放!C$35</f>
        <v>1007</v>
      </c>
      <c r="R9" s="18">
        <f>属性投放!D$35</f>
        <v>14334</v>
      </c>
      <c r="S9" s="18">
        <f t="shared" si="2"/>
        <v>2956</v>
      </c>
      <c r="T9" s="18">
        <f t="shared" si="3"/>
        <v>46702</v>
      </c>
      <c r="U9" s="18">
        <f>T9*(1+S9/属性投放!$N$13)</f>
        <v>96902.404363636364</v>
      </c>
      <c r="V9" s="18">
        <f t="shared" si="4"/>
        <v>14198</v>
      </c>
      <c r="X9" s="27"/>
      <c r="Y9" s="27"/>
    </row>
    <row r="10" spans="1:25" ht="16.5" x14ac:dyDescent="0.2">
      <c r="A10" s="57"/>
      <c r="B10" s="16" t="s">
        <v>132</v>
      </c>
      <c r="C10" s="16">
        <v>5</v>
      </c>
      <c r="D10" s="16"/>
      <c r="E10" s="16"/>
      <c r="F10" s="19">
        <v>0.1</v>
      </c>
      <c r="G10" s="19"/>
      <c r="H10" s="19">
        <f>1/(1+F10)</f>
        <v>0.90909090909090906</v>
      </c>
      <c r="I10" s="18">
        <f>L10/属性投放!$B$25</f>
        <v>1.4050168247170389</v>
      </c>
      <c r="J10" s="16">
        <v>0.9</v>
      </c>
      <c r="K10" s="16">
        <v>0.7</v>
      </c>
      <c r="L10" s="18">
        <f t="shared" si="0"/>
        <v>9186</v>
      </c>
      <c r="M10" s="18">
        <f>INT(属性投放!$C$32*K10)</f>
        <v>2274</v>
      </c>
      <c r="N10" s="18">
        <f>INT(属性投放!$D$32*J10)</f>
        <v>41616</v>
      </c>
      <c r="O10" s="18">
        <f t="shared" si="1"/>
        <v>178956</v>
      </c>
      <c r="P10" s="18">
        <f>属性投放!B$35</f>
        <v>2026</v>
      </c>
      <c r="Q10" s="18">
        <f>属性投放!C$35</f>
        <v>1007</v>
      </c>
      <c r="R10" s="18">
        <f>属性投放!D$35</f>
        <v>14334</v>
      </c>
      <c r="S10" s="18">
        <f t="shared" si="2"/>
        <v>3281</v>
      </c>
      <c r="T10" s="18">
        <f t="shared" si="3"/>
        <v>55950</v>
      </c>
      <c r="U10" s="18">
        <f>T10*(1+S10/属性投放!$N$13)</f>
        <v>122703.43636363636</v>
      </c>
      <c r="V10" s="18">
        <f t="shared" si="4"/>
        <v>11212</v>
      </c>
      <c r="X10" s="27"/>
      <c r="Y10" s="27"/>
    </row>
    <row r="11" spans="1:25" ht="16.5" x14ac:dyDescent="0.2">
      <c r="A11" s="54"/>
      <c r="B11" s="16" t="s">
        <v>133</v>
      </c>
      <c r="C11" s="16">
        <v>6</v>
      </c>
      <c r="D11" s="19"/>
      <c r="E11" s="16"/>
      <c r="F11" s="16"/>
      <c r="G11" s="19">
        <v>0.5</v>
      </c>
      <c r="H11" s="19">
        <f>(0.75*1+0.25*1.5)/(0.75*1+0.25*(1.5+G11))</f>
        <v>0.9</v>
      </c>
      <c r="I11" s="18">
        <f>L11/属性投放!$B$25</f>
        <v>1.8400122361578464</v>
      </c>
      <c r="J11" s="16">
        <v>0.7</v>
      </c>
      <c r="K11" s="16">
        <v>0.6</v>
      </c>
      <c r="L11" s="18">
        <f t="shared" si="0"/>
        <v>12030</v>
      </c>
      <c r="M11" s="18">
        <f>INT(属性投放!$C$32*K11)</f>
        <v>1949</v>
      </c>
      <c r="N11" s="18">
        <f>INT(属性投放!$D$32*J11)</f>
        <v>32368</v>
      </c>
      <c r="O11" s="18">
        <f t="shared" si="1"/>
        <v>191648</v>
      </c>
      <c r="P11" s="18">
        <f>属性投放!B$35</f>
        <v>2026</v>
      </c>
      <c r="Q11" s="18">
        <f>属性投放!C$35</f>
        <v>1007</v>
      </c>
      <c r="R11" s="18">
        <f>属性投放!D$35</f>
        <v>14334</v>
      </c>
      <c r="S11" s="18">
        <f t="shared" si="2"/>
        <v>2956</v>
      </c>
      <c r="T11" s="18">
        <f t="shared" si="3"/>
        <v>46702</v>
      </c>
      <c r="U11" s="18">
        <f>T11*(1+S11/属性投放!$N$13)</f>
        <v>96902.404363636364</v>
      </c>
      <c r="V11" s="18">
        <f t="shared" si="4"/>
        <v>14056</v>
      </c>
      <c r="X11" s="27"/>
      <c r="Y11" s="27"/>
    </row>
    <row r="12" spans="1:25" ht="16.5" x14ac:dyDescent="0.2">
      <c r="A12" s="53" t="s">
        <v>225</v>
      </c>
      <c r="B12" s="16" t="s">
        <v>135</v>
      </c>
      <c r="C12" s="16">
        <v>7</v>
      </c>
      <c r="D12" s="16"/>
      <c r="E12" s="16"/>
      <c r="F12" s="16"/>
      <c r="G12" s="16"/>
      <c r="H12" s="19">
        <v>1</v>
      </c>
      <c r="I12" s="18">
        <f>L12/属性投放!$B$25</f>
        <v>1.4325481798715203</v>
      </c>
      <c r="J12" s="16">
        <v>1</v>
      </c>
      <c r="K12" s="16">
        <v>0.7</v>
      </c>
      <c r="L12" s="18">
        <f t="shared" si="0"/>
        <v>9366</v>
      </c>
      <c r="M12" s="18">
        <f>INT(属性投放!$C$32*K12)</f>
        <v>2274</v>
      </c>
      <c r="N12" s="18">
        <f>INT(属性投放!$D$32*J12)</f>
        <v>46241</v>
      </c>
      <c r="O12" s="18">
        <f t="shared" si="1"/>
        <v>185381</v>
      </c>
      <c r="P12" s="18">
        <f>属性投放!B$35</f>
        <v>2026</v>
      </c>
      <c r="Q12" s="18">
        <f>属性投放!C$35</f>
        <v>1007</v>
      </c>
      <c r="R12" s="18">
        <f>属性投放!D$35</f>
        <v>14334</v>
      </c>
      <c r="S12" s="18">
        <f t="shared" si="2"/>
        <v>3281</v>
      </c>
      <c r="T12" s="18">
        <f t="shared" si="3"/>
        <v>60575</v>
      </c>
      <c r="U12" s="18">
        <f>T12*(1+S12/属性投放!$N$13)</f>
        <v>132846.48181818181</v>
      </c>
      <c r="V12" s="18">
        <f t="shared" si="4"/>
        <v>11392</v>
      </c>
      <c r="X12" s="27"/>
      <c r="Y12" s="27"/>
    </row>
    <row r="13" spans="1:25" ht="16.5" x14ac:dyDescent="0.2">
      <c r="A13" s="54"/>
      <c r="B13" s="16" t="s">
        <v>136</v>
      </c>
      <c r="C13" s="16">
        <v>8</v>
      </c>
      <c r="D13" s="16"/>
      <c r="E13" s="16"/>
      <c r="F13" s="16"/>
      <c r="G13" s="16"/>
      <c r="H13" s="19">
        <v>1</v>
      </c>
      <c r="I13" s="18">
        <f>L13/属性投放!$B$25</f>
        <v>2.2231569287243804</v>
      </c>
      <c r="J13" s="16">
        <v>0.7</v>
      </c>
      <c r="K13" s="16">
        <v>0.5</v>
      </c>
      <c r="L13" s="18">
        <f t="shared" si="0"/>
        <v>14535</v>
      </c>
      <c r="M13" s="18">
        <f>INT(属性投放!$C$32*K13)</f>
        <v>1624</v>
      </c>
      <c r="N13" s="18">
        <f>INT(属性投放!$D$32*J13)</f>
        <v>32368</v>
      </c>
      <c r="O13" s="18">
        <f t="shared" si="1"/>
        <v>210198</v>
      </c>
      <c r="P13" s="18">
        <f>属性投放!B$35</f>
        <v>2026</v>
      </c>
      <c r="Q13" s="18">
        <f>属性投放!C$35</f>
        <v>1007</v>
      </c>
      <c r="R13" s="18">
        <f>属性投放!D$35</f>
        <v>14334</v>
      </c>
      <c r="S13" s="18">
        <f t="shared" si="2"/>
        <v>2631</v>
      </c>
      <c r="T13" s="18">
        <f t="shared" si="3"/>
        <v>46702</v>
      </c>
      <c r="U13" s="18">
        <f>T13*(1+S13/属性投放!$N$13)</f>
        <v>91383.077090909093</v>
      </c>
      <c r="V13" s="18">
        <f t="shared" si="4"/>
        <v>16561</v>
      </c>
      <c r="X13" s="27"/>
      <c r="Y13" s="27"/>
    </row>
    <row r="14" spans="1:25" ht="16.5" x14ac:dyDescent="0.2">
      <c r="A14" s="29" t="s">
        <v>226</v>
      </c>
      <c r="B14" s="16" t="s">
        <v>137</v>
      </c>
      <c r="C14" s="16">
        <v>9</v>
      </c>
      <c r="D14" s="16"/>
      <c r="E14" s="16"/>
      <c r="F14" s="16"/>
      <c r="G14" s="16"/>
      <c r="H14" s="19">
        <v>1</v>
      </c>
      <c r="I14" s="18">
        <f>L14/属性投放!$B$25</f>
        <v>1.1532578770266138</v>
      </c>
      <c r="J14" s="16">
        <v>1.25</v>
      </c>
      <c r="K14" s="16">
        <v>0.7</v>
      </c>
      <c r="L14" s="18">
        <f t="shared" si="0"/>
        <v>7540</v>
      </c>
      <c r="M14" s="18">
        <f>INT(属性投放!$C$32*K14)</f>
        <v>2274</v>
      </c>
      <c r="N14" s="18">
        <f>INT(属性投放!$D$32*J14)</f>
        <v>57801</v>
      </c>
      <c r="O14" s="18">
        <f t="shared" si="1"/>
        <v>178681</v>
      </c>
      <c r="P14" s="18">
        <f>属性投放!B$35</f>
        <v>2026</v>
      </c>
      <c r="Q14" s="18">
        <f>属性投放!C$35</f>
        <v>1007</v>
      </c>
      <c r="R14" s="18">
        <f>属性投放!D$35</f>
        <v>14334</v>
      </c>
      <c r="S14" s="18">
        <f t="shared" si="2"/>
        <v>3281</v>
      </c>
      <c r="T14" s="18">
        <f t="shared" si="3"/>
        <v>72135</v>
      </c>
      <c r="U14" s="18">
        <f>T14*(1+S14/属性投放!$N$13)</f>
        <v>158198.61272727273</v>
      </c>
      <c r="V14" s="18">
        <f t="shared" si="4"/>
        <v>9566</v>
      </c>
      <c r="X14" s="27"/>
      <c r="Y14" s="27"/>
    </row>
    <row r="15" spans="1:25" ht="16.5" x14ac:dyDescent="0.2">
      <c r="A15" s="29" t="s">
        <v>138</v>
      </c>
      <c r="B15" s="16" t="s">
        <v>139</v>
      </c>
      <c r="C15" s="16">
        <v>10</v>
      </c>
      <c r="D15" s="16"/>
      <c r="E15" s="16"/>
      <c r="F15" s="16"/>
      <c r="G15" s="16"/>
      <c r="H15" s="19">
        <v>1</v>
      </c>
      <c r="I15" s="18">
        <f>L15/属性投放!$B$25</f>
        <v>1.1901193025390027</v>
      </c>
      <c r="J15" s="16">
        <v>1</v>
      </c>
      <c r="K15" s="16">
        <v>1</v>
      </c>
      <c r="L15" s="18">
        <f t="shared" si="0"/>
        <v>7781</v>
      </c>
      <c r="M15" s="18">
        <f>INT(属性投放!$C$32*K15)</f>
        <v>3249</v>
      </c>
      <c r="N15" s="18">
        <f>INT(属性投放!$D$32*J15)</f>
        <v>46241</v>
      </c>
      <c r="O15" s="18">
        <f t="shared" si="1"/>
        <v>189031</v>
      </c>
      <c r="P15" s="18">
        <f>属性投放!B$35</f>
        <v>2026</v>
      </c>
      <c r="Q15" s="18">
        <f>属性投放!C$35</f>
        <v>1007</v>
      </c>
      <c r="R15" s="18">
        <f>属性投放!D$35</f>
        <v>14334</v>
      </c>
      <c r="S15" s="18">
        <f t="shared" si="2"/>
        <v>4256</v>
      </c>
      <c r="T15" s="18">
        <f t="shared" si="3"/>
        <v>60575</v>
      </c>
      <c r="U15" s="18">
        <f>T15*(1+S15/属性投放!$N$13)</f>
        <v>154323.07272727272</v>
      </c>
      <c r="V15" s="18">
        <f t="shared" si="4"/>
        <v>9807</v>
      </c>
      <c r="X15" s="27"/>
      <c r="Y15" s="27"/>
    </row>
    <row r="16" spans="1:25" ht="16.5" x14ac:dyDescent="0.2">
      <c r="A16" s="53" t="s">
        <v>222</v>
      </c>
      <c r="B16" s="16" t="s">
        <v>223</v>
      </c>
      <c r="C16" s="16">
        <v>11</v>
      </c>
      <c r="D16" s="16"/>
      <c r="E16" s="16"/>
      <c r="F16" s="16"/>
      <c r="G16" s="16"/>
      <c r="H16" s="19">
        <v>1</v>
      </c>
      <c r="I16" s="18">
        <f>L16/属性投放!$B$25</f>
        <v>1.5766289385133068</v>
      </c>
      <c r="J16" s="16">
        <v>0.9</v>
      </c>
      <c r="K16" s="16">
        <v>0.7</v>
      </c>
      <c r="L16" s="18">
        <f t="shared" si="0"/>
        <v>10308</v>
      </c>
      <c r="M16" s="18">
        <f>INT(属性投放!$C$32*K16)</f>
        <v>2274</v>
      </c>
      <c r="N16" s="18">
        <f>INT(属性投放!$D$32*J16)</f>
        <v>41616</v>
      </c>
      <c r="O16" s="18">
        <f t="shared" si="1"/>
        <v>190176</v>
      </c>
      <c r="P16" s="18">
        <f>属性投放!B$35</f>
        <v>2026</v>
      </c>
      <c r="Q16" s="18">
        <f>属性投放!C$35</f>
        <v>1007</v>
      </c>
      <c r="R16" s="18">
        <f>属性投放!D$35</f>
        <v>14334</v>
      </c>
      <c r="S16" s="18">
        <f t="shared" si="2"/>
        <v>3281</v>
      </c>
      <c r="T16" s="18">
        <f t="shared" si="3"/>
        <v>55950</v>
      </c>
      <c r="U16" s="18">
        <f>T16*(1+S16/属性投放!$N$13)</f>
        <v>122703.43636363636</v>
      </c>
      <c r="V16" s="18">
        <f t="shared" si="4"/>
        <v>12334</v>
      </c>
      <c r="X16" s="27"/>
      <c r="Y16" s="27"/>
    </row>
    <row r="17" spans="1:25" ht="16.5" x14ac:dyDescent="0.2">
      <c r="A17" s="54"/>
      <c r="B17" s="16" t="s">
        <v>224</v>
      </c>
      <c r="C17" s="16">
        <v>12</v>
      </c>
      <c r="D17" s="16"/>
      <c r="E17" s="16"/>
      <c r="F17" s="16"/>
      <c r="G17" s="16"/>
      <c r="H17" s="19">
        <v>1</v>
      </c>
      <c r="I17" s="18">
        <f>L17/属性投放!$B$25</f>
        <v>1.2366167023554604</v>
      </c>
      <c r="J17" s="16">
        <v>1.25</v>
      </c>
      <c r="K17" s="16">
        <v>0.6</v>
      </c>
      <c r="L17" s="18">
        <f t="shared" si="0"/>
        <v>8085</v>
      </c>
      <c r="M17" s="18">
        <f>INT(属性投放!$C$32*K17)</f>
        <v>1949</v>
      </c>
      <c r="N17" s="18">
        <f>INT(属性投放!$D$32*J17)</f>
        <v>57801</v>
      </c>
      <c r="O17" s="18">
        <f t="shared" si="1"/>
        <v>177631</v>
      </c>
      <c r="P17" s="18">
        <f>属性投放!B$35</f>
        <v>2026</v>
      </c>
      <c r="Q17" s="18">
        <f>属性投放!C$35</f>
        <v>1007</v>
      </c>
      <c r="R17" s="18">
        <f>属性投放!D$35</f>
        <v>14334</v>
      </c>
      <c r="S17" s="18">
        <f t="shared" si="2"/>
        <v>2956</v>
      </c>
      <c r="T17" s="18">
        <f t="shared" si="3"/>
        <v>72135</v>
      </c>
      <c r="U17" s="18">
        <f>T17*(1+S17/属性投放!$N$13)</f>
        <v>149673.56727272726</v>
      </c>
      <c r="V17" s="18">
        <f t="shared" si="4"/>
        <v>10111</v>
      </c>
      <c r="X17" s="27"/>
      <c r="Y17" s="27"/>
    </row>
  </sheetData>
  <mergeCells count="8">
    <mergeCell ref="A9:A11"/>
    <mergeCell ref="A12:A13"/>
    <mergeCell ref="A16:A17"/>
    <mergeCell ref="P4:R4"/>
    <mergeCell ref="L4:O4"/>
    <mergeCell ref="A3:U3"/>
    <mergeCell ref="S4:V4"/>
    <mergeCell ref="A6:A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K18" sqref="K18"/>
    </sheetView>
  </sheetViews>
  <sheetFormatPr defaultRowHeight="14.25" x14ac:dyDescent="0.2"/>
  <sheetData>
    <row r="2" spans="1:15" ht="20.25" x14ac:dyDescent="0.2">
      <c r="A2" s="55" t="s">
        <v>89</v>
      </c>
      <c r="B2" s="55"/>
      <c r="C2" s="55"/>
      <c r="D2" s="55"/>
      <c r="E2" s="55"/>
    </row>
    <row r="3" spans="1:15" ht="17.25" x14ac:dyDescent="0.2">
      <c r="A3" s="13" t="s">
        <v>61</v>
      </c>
      <c r="B3" s="13" t="s">
        <v>90</v>
      </c>
      <c r="C3" s="13" t="s">
        <v>105</v>
      </c>
      <c r="D3" s="13" t="s">
        <v>87</v>
      </c>
      <c r="E3" s="13" t="s">
        <v>88</v>
      </c>
      <c r="G3" s="13" t="s">
        <v>74</v>
      </c>
      <c r="H3" s="13" t="s">
        <v>100</v>
      </c>
      <c r="I3" s="13" t="s">
        <v>75</v>
      </c>
      <c r="J3" s="13" t="s">
        <v>100</v>
      </c>
      <c r="K3" s="21"/>
      <c r="L3" s="21"/>
      <c r="M3" s="21"/>
      <c r="N3" s="21"/>
      <c r="O3" s="21"/>
    </row>
    <row r="4" spans="1:15" ht="16.5" x14ac:dyDescent="0.2">
      <c r="A4" s="16" t="s">
        <v>62</v>
      </c>
      <c r="B4" s="16" t="s">
        <v>68</v>
      </c>
      <c r="C4" s="16" t="s">
        <v>93</v>
      </c>
      <c r="D4" s="16" t="s">
        <v>95</v>
      </c>
      <c r="E4" s="16" t="s">
        <v>76</v>
      </c>
      <c r="G4" s="16" t="s">
        <v>84</v>
      </c>
      <c r="H4" s="18">
        <f t="shared" ref="H4:H9" si="0">COUNTIF($B$4:$E$9,"="&amp;G4)</f>
        <v>2</v>
      </c>
      <c r="I4" s="16" t="s">
        <v>78</v>
      </c>
      <c r="J4" s="18">
        <f t="shared" ref="J4:J9" si="1">COUNTIF($B$4:$E$9,"="&amp;I4)</f>
        <v>2</v>
      </c>
      <c r="K4" s="21"/>
      <c r="L4" s="21"/>
      <c r="M4" s="21"/>
      <c r="N4" s="21"/>
      <c r="O4" s="21"/>
    </row>
    <row r="5" spans="1:15" ht="16.5" x14ac:dyDescent="0.2">
      <c r="A5" s="16" t="s">
        <v>63</v>
      </c>
      <c r="B5" s="16" t="s">
        <v>68</v>
      </c>
      <c r="C5" s="16" t="s">
        <v>73</v>
      </c>
      <c r="D5" s="16" t="s">
        <v>97</v>
      </c>
      <c r="E5" s="16" t="s">
        <v>99</v>
      </c>
      <c r="G5" s="16" t="s">
        <v>76</v>
      </c>
      <c r="H5" s="18">
        <f t="shared" si="0"/>
        <v>2</v>
      </c>
      <c r="I5" s="16" t="s">
        <v>79</v>
      </c>
      <c r="J5" s="18">
        <f t="shared" si="1"/>
        <v>2</v>
      </c>
      <c r="K5" s="21"/>
      <c r="L5" s="21"/>
      <c r="M5" s="21"/>
      <c r="N5" s="21"/>
      <c r="O5" s="21"/>
    </row>
    <row r="6" spans="1:15" ht="16.5" x14ac:dyDescent="0.2">
      <c r="A6" s="16" t="s">
        <v>64</v>
      </c>
      <c r="B6" s="16" t="s">
        <v>101</v>
      </c>
      <c r="C6" s="16" t="s">
        <v>94</v>
      </c>
      <c r="D6" s="16" t="s">
        <v>104</v>
      </c>
      <c r="E6" s="16" t="s">
        <v>99</v>
      </c>
      <c r="G6" s="16" t="s">
        <v>73</v>
      </c>
      <c r="H6" s="18">
        <f t="shared" si="0"/>
        <v>2</v>
      </c>
      <c r="I6" s="16" t="s">
        <v>80</v>
      </c>
      <c r="J6" s="18">
        <f t="shared" si="1"/>
        <v>2</v>
      </c>
      <c r="K6" s="21"/>
      <c r="L6" s="21"/>
      <c r="M6" s="21"/>
      <c r="N6" s="21"/>
      <c r="O6" s="21"/>
    </row>
    <row r="7" spans="1:15" ht="16.5" x14ac:dyDescent="0.2">
      <c r="A7" s="16" t="s">
        <v>65</v>
      </c>
      <c r="B7" s="16" t="s">
        <v>102</v>
      </c>
      <c r="C7" s="16" t="s">
        <v>91</v>
      </c>
      <c r="D7" s="16" t="s">
        <v>96</v>
      </c>
      <c r="E7" s="16" t="s">
        <v>104</v>
      </c>
      <c r="G7" s="16" t="s">
        <v>77</v>
      </c>
      <c r="H7" s="18">
        <f t="shared" si="0"/>
        <v>2</v>
      </c>
      <c r="I7" s="16" t="s">
        <v>82</v>
      </c>
      <c r="J7" s="18">
        <f t="shared" si="1"/>
        <v>2</v>
      </c>
      <c r="K7" s="21"/>
      <c r="L7" s="21"/>
      <c r="M7" s="21"/>
      <c r="N7" s="21"/>
      <c r="O7" s="21"/>
    </row>
    <row r="8" spans="1:15" ht="16.5" x14ac:dyDescent="0.2">
      <c r="A8" s="16" t="s">
        <v>66</v>
      </c>
      <c r="B8" s="16" t="s">
        <v>103</v>
      </c>
      <c r="C8" s="16" t="s">
        <v>92</v>
      </c>
      <c r="D8" s="16" t="s">
        <v>98</v>
      </c>
      <c r="E8" s="16" t="s">
        <v>97</v>
      </c>
      <c r="G8" s="16" t="s">
        <v>81</v>
      </c>
      <c r="H8" s="18">
        <f t="shared" si="0"/>
        <v>2</v>
      </c>
      <c r="I8" s="16" t="s">
        <v>83</v>
      </c>
      <c r="J8" s="18">
        <f t="shared" si="1"/>
        <v>2</v>
      </c>
      <c r="K8" s="21"/>
      <c r="L8" s="21"/>
      <c r="M8" s="21"/>
      <c r="N8" s="21"/>
      <c r="O8" s="21"/>
    </row>
    <row r="9" spans="1:15" ht="16.5" x14ac:dyDescent="0.2">
      <c r="A9" s="16" t="s">
        <v>67</v>
      </c>
      <c r="B9" s="16" t="s">
        <v>70</v>
      </c>
      <c r="C9" s="16" t="s">
        <v>69</v>
      </c>
      <c r="D9" s="16" t="s">
        <v>71</v>
      </c>
      <c r="E9" s="16" t="s">
        <v>72</v>
      </c>
      <c r="G9" s="16" t="s">
        <v>86</v>
      </c>
      <c r="H9" s="18">
        <f t="shared" si="0"/>
        <v>2</v>
      </c>
      <c r="I9" s="16" t="s">
        <v>85</v>
      </c>
      <c r="J9" s="18">
        <f t="shared" si="1"/>
        <v>2</v>
      </c>
      <c r="K9" s="21"/>
      <c r="L9" s="21"/>
      <c r="M9" s="21"/>
      <c r="N9" s="21"/>
      <c r="O9" s="21"/>
    </row>
    <row r="10" spans="1:15" x14ac:dyDescent="0.2">
      <c r="K10" s="21"/>
      <c r="L10" s="21"/>
      <c r="M10" s="21"/>
      <c r="N10" s="21"/>
      <c r="O10" s="21"/>
    </row>
    <row r="11" spans="1:15" ht="16.5" x14ac:dyDescent="0.2">
      <c r="A11" s="17" t="s">
        <v>112</v>
      </c>
      <c r="B11" s="16">
        <v>21</v>
      </c>
      <c r="K11" s="21"/>
      <c r="L11" s="21"/>
      <c r="M11" s="21"/>
      <c r="N11" s="21"/>
      <c r="O11" s="21"/>
    </row>
    <row r="12" spans="1:15" ht="16.5" x14ac:dyDescent="0.2">
      <c r="A12" s="17" t="s">
        <v>124</v>
      </c>
      <c r="B12" s="18">
        <f>B11/3</f>
        <v>7</v>
      </c>
      <c r="D12" s="16">
        <v>1</v>
      </c>
      <c r="E12" s="16">
        <v>0.8</v>
      </c>
      <c r="F12" s="16">
        <v>0.7</v>
      </c>
      <c r="K12" s="21"/>
      <c r="L12" s="21"/>
      <c r="M12" s="21"/>
      <c r="N12" s="21"/>
      <c r="O12" s="21"/>
    </row>
    <row r="13" spans="1:15" ht="17.25" x14ac:dyDescent="0.2">
      <c r="D13" s="13" t="s">
        <v>140</v>
      </c>
      <c r="E13" s="13" t="s">
        <v>141</v>
      </c>
      <c r="F13" s="13" t="s">
        <v>142</v>
      </c>
      <c r="K13" s="21"/>
      <c r="L13" s="21"/>
      <c r="M13" s="21"/>
      <c r="N13" s="21"/>
      <c r="O13" s="21"/>
    </row>
    <row r="14" spans="1:15" ht="17.25" x14ac:dyDescent="0.2">
      <c r="A14" s="13" t="s">
        <v>106</v>
      </c>
      <c r="B14" s="13" t="s">
        <v>107</v>
      </c>
      <c r="C14" s="13" t="s">
        <v>108</v>
      </c>
      <c r="D14" s="13" t="s">
        <v>109</v>
      </c>
      <c r="E14" s="13" t="s">
        <v>109</v>
      </c>
      <c r="F14" s="13" t="s">
        <v>109</v>
      </c>
    </row>
    <row r="15" spans="1:15" ht="16.5" x14ac:dyDescent="0.2">
      <c r="A15" s="16" t="s">
        <v>84</v>
      </c>
      <c r="B15" s="16" t="s">
        <v>110</v>
      </c>
      <c r="C15" s="18">
        <f>COUNTIF($B$4:$E$9,"="&amp;A15)</f>
        <v>2</v>
      </c>
      <c r="D15" s="18">
        <f>ROUND(属性投放!B35/2/B11,0)</f>
        <v>48</v>
      </c>
      <c r="E15" s="18">
        <f>INT($D15*E$12)</f>
        <v>38</v>
      </c>
      <c r="F15" s="18">
        <f>INT($D15*F$12)</f>
        <v>33</v>
      </c>
    </row>
    <row r="16" spans="1:15" ht="16.5" x14ac:dyDescent="0.2">
      <c r="A16" s="16" t="s">
        <v>76</v>
      </c>
      <c r="B16" s="16" t="s">
        <v>110</v>
      </c>
      <c r="C16" s="18">
        <f t="shared" ref="C16:C26" si="2">COUNTIF($B$4:$E$9,"="&amp;A16)</f>
        <v>2</v>
      </c>
      <c r="D16" s="23">
        <f>属性投放!H35/B12</f>
        <v>4.9999999999999996E-2</v>
      </c>
      <c r="E16" s="23">
        <f>ROUND($D16*E$12/0.005,3)*0.005</f>
        <v>0.04</v>
      </c>
      <c r="F16" s="23">
        <f>ROUND($D16*F$12/0.005,3)*0.005</f>
        <v>3.5000000000000003E-2</v>
      </c>
    </row>
    <row r="17" spans="1:6" ht="16.5" x14ac:dyDescent="0.2">
      <c r="A17" s="16" t="s">
        <v>73</v>
      </c>
      <c r="B17" s="16" t="s">
        <v>110</v>
      </c>
      <c r="C17" s="18">
        <f t="shared" si="2"/>
        <v>2</v>
      </c>
      <c r="D17" s="23">
        <f>属性投放!I35/B12</f>
        <v>9.9999999999999992E-2</v>
      </c>
      <c r="E17" s="23">
        <f t="shared" ref="E17:F20" si="3">ROUND($D17*E$12/0.005,3)*0.005</f>
        <v>0.08</v>
      </c>
      <c r="F17" s="23">
        <f t="shared" si="3"/>
        <v>7.0000000000000007E-2</v>
      </c>
    </row>
    <row r="18" spans="1:6" ht="16.5" x14ac:dyDescent="0.2">
      <c r="A18" s="16" t="s">
        <v>77</v>
      </c>
      <c r="B18" s="16" t="s">
        <v>110</v>
      </c>
      <c r="C18" s="18">
        <f t="shared" si="2"/>
        <v>2</v>
      </c>
      <c r="D18" s="23">
        <f>属性投放!J35/B12</f>
        <v>7.4999999999999983E-2</v>
      </c>
      <c r="E18" s="23">
        <f t="shared" si="3"/>
        <v>0.06</v>
      </c>
      <c r="F18" s="23">
        <f t="shared" si="3"/>
        <v>5.2499999999999998E-2</v>
      </c>
    </row>
    <row r="19" spans="1:6" ht="16.5" x14ac:dyDescent="0.2">
      <c r="A19" s="16" t="s">
        <v>81</v>
      </c>
      <c r="B19" s="16" t="s">
        <v>110</v>
      </c>
      <c r="C19" s="18">
        <f t="shared" si="2"/>
        <v>2</v>
      </c>
      <c r="D19" s="23">
        <f>属性投放!E35/羁绊之力!B12</f>
        <v>4.9999999999999996E-2</v>
      </c>
      <c r="E19" s="23">
        <f t="shared" si="3"/>
        <v>0.04</v>
      </c>
      <c r="F19" s="23">
        <f t="shared" si="3"/>
        <v>3.5000000000000003E-2</v>
      </c>
    </row>
    <row r="20" spans="1:6" ht="16.5" x14ac:dyDescent="0.2">
      <c r="A20" s="16" t="s">
        <v>86</v>
      </c>
      <c r="B20" s="16" t="s">
        <v>110</v>
      </c>
      <c r="C20" s="18">
        <f t="shared" si="2"/>
        <v>2</v>
      </c>
      <c r="D20" s="23">
        <f>属性投放!M35/羁绊之力!B12</f>
        <v>4.9999999999999996E-2</v>
      </c>
      <c r="E20" s="23">
        <f t="shared" si="3"/>
        <v>0.04</v>
      </c>
      <c r="F20" s="23">
        <f t="shared" si="3"/>
        <v>3.5000000000000003E-2</v>
      </c>
    </row>
    <row r="21" spans="1:6" ht="16.5" x14ac:dyDescent="0.2">
      <c r="A21" s="16" t="s">
        <v>78</v>
      </c>
      <c r="B21" s="16" t="s">
        <v>111</v>
      </c>
      <c r="C21" s="18">
        <f t="shared" si="2"/>
        <v>2</v>
      </c>
      <c r="D21" s="18">
        <f>INT(属性投放!D35/羁绊之力!B11/2/5)*5</f>
        <v>340</v>
      </c>
      <c r="E21" s="18">
        <f>INT($D21*E$12/5)*5</f>
        <v>270</v>
      </c>
      <c r="F21" s="18">
        <f>INT($D21*F$12/5)*5</f>
        <v>235</v>
      </c>
    </row>
    <row r="22" spans="1:6" ht="16.5" x14ac:dyDescent="0.2">
      <c r="A22" s="16" t="s">
        <v>79</v>
      </c>
      <c r="B22" s="16" t="s">
        <v>111</v>
      </c>
      <c r="C22" s="18">
        <f t="shared" si="2"/>
        <v>2</v>
      </c>
      <c r="D22" s="18">
        <f>ROUND(属性投放!C35/羁绊之力!B11/2,0)</f>
        <v>24</v>
      </c>
      <c r="E22" s="18">
        <f>INT($D22*E$12)</f>
        <v>19</v>
      </c>
      <c r="F22" s="18">
        <f>INT($D22*F$12)</f>
        <v>16</v>
      </c>
    </row>
    <row r="23" spans="1:6" ht="16.5" x14ac:dyDescent="0.2">
      <c r="A23" s="16" t="s">
        <v>80</v>
      </c>
      <c r="B23" s="16" t="s">
        <v>111</v>
      </c>
      <c r="C23" s="18">
        <f t="shared" si="2"/>
        <v>2</v>
      </c>
      <c r="D23" s="23">
        <f>属性投放!L35/羁绊之力!B12</f>
        <v>4.9999999999999996E-2</v>
      </c>
      <c r="E23" s="23">
        <f>ROUND($D23*E$12/0.005,3)*0.005</f>
        <v>0.04</v>
      </c>
      <c r="F23" s="23">
        <f>ROUND($D23*F$12/0.005,3)*0.005</f>
        <v>3.5000000000000003E-2</v>
      </c>
    </row>
    <row r="24" spans="1:6" ht="16.5" x14ac:dyDescent="0.2">
      <c r="A24" s="16" t="s">
        <v>82</v>
      </c>
      <c r="B24" s="16" t="s">
        <v>111</v>
      </c>
      <c r="C24" s="18">
        <f t="shared" si="2"/>
        <v>2</v>
      </c>
      <c r="D24" s="23">
        <f>属性投放!G35/B12</f>
        <v>4.9999999999999996E-2</v>
      </c>
      <c r="E24" s="23">
        <f t="shared" ref="E24:F26" si="4">ROUND($D24*E$12/0.005,3)*0.005</f>
        <v>0.04</v>
      </c>
      <c r="F24" s="23">
        <f t="shared" si="4"/>
        <v>3.5000000000000003E-2</v>
      </c>
    </row>
    <row r="25" spans="1:6" ht="16.5" x14ac:dyDescent="0.2">
      <c r="A25" s="16" t="s">
        <v>83</v>
      </c>
      <c r="B25" s="16" t="s">
        <v>111</v>
      </c>
      <c r="C25" s="18">
        <f t="shared" si="2"/>
        <v>2</v>
      </c>
      <c r="D25" s="23">
        <f>属性投放!F35/羁绊之力!B12</f>
        <v>4.9999999999999996E-2</v>
      </c>
      <c r="E25" s="23">
        <f t="shared" si="4"/>
        <v>0.04</v>
      </c>
      <c r="F25" s="23">
        <f t="shared" si="4"/>
        <v>3.5000000000000003E-2</v>
      </c>
    </row>
    <row r="26" spans="1:6" ht="16.5" x14ac:dyDescent="0.2">
      <c r="A26" s="16" t="s">
        <v>85</v>
      </c>
      <c r="B26" s="16" t="s">
        <v>111</v>
      </c>
      <c r="C26" s="18">
        <f t="shared" si="2"/>
        <v>2</v>
      </c>
      <c r="D26" s="23">
        <f>属性投放!K35/B12</f>
        <v>7.4999999999999983E-2</v>
      </c>
      <c r="E26" s="23">
        <f t="shared" si="4"/>
        <v>0.06</v>
      </c>
      <c r="F26" s="23">
        <f t="shared" si="4"/>
        <v>5.2499999999999998E-2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属性表</vt:lpstr>
      <vt:lpstr>属性投放</vt:lpstr>
      <vt:lpstr>职业设计</vt:lpstr>
      <vt:lpstr>羁绊之力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2019-02-16T08:58:56Z</dcterms:modified>
</cp:coreProperties>
</file>